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rober\Documents\PhD_RARR\RProjects\GitHub\GBTD_litrev_traitcat_cleaning\data\raw\trait_categories\"/>
    </mc:Choice>
  </mc:AlternateContent>
  <xr:revisionPtr revIDLastSave="0" documentId="13_ncr:1_{0B8BBFD4-6D41-491D-A1DC-43EE2E0CAB17}" xr6:coauthVersionLast="47" xr6:coauthVersionMax="47" xr10:uidLastSave="{00000000-0000-0000-0000-000000000000}"/>
  <bookViews>
    <workbookView xWindow="34485" yWindow="1740" windowWidth="14535" windowHeight="11775" tabRatio="710" activeTab="8" xr2:uid="{00000000-000D-0000-FFFF-FFFF00000000}"/>
  </bookViews>
  <sheets>
    <sheet name="Definitions" sheetId="1" r:id="rId1"/>
    <sheet name="trait_overlap" sheetId="2" r:id="rId2"/>
    <sheet name="trait_overlap_zoosum" sheetId="19" r:id="rId3"/>
    <sheet name="trait_info" sheetId="3" r:id="rId4"/>
    <sheet name="trait_info_zoosum" sheetId="20" r:id="rId5"/>
    <sheet name="Gonçalvez-Souza_2023" sheetId="7" r:id="rId6"/>
    <sheet name="Herberstein_2022" sheetId="8" r:id="rId7"/>
    <sheet name="Crane_2022" sheetId="9" r:id="rId8"/>
    <sheet name="Gonçalvez_2018" sheetId="10" r:id="rId9"/>
    <sheet name="Wilkinson_2002" sheetId="11" r:id="rId10"/>
    <sheet name="Tanalgo_2022" sheetId="12" r:id="rId11"/>
    <sheet name="Geiselman_2020" sheetId="13" r:id="rId12"/>
    <sheet name="Myhrvold_2015" sheetId="14" r:id="rId13"/>
    <sheet name="Soria_2021" sheetId="15" r:id="rId14"/>
    <sheet name="Froidevaux_2023" sheetId="16" r:id="rId15"/>
    <sheet name="Castillo-Figueroa_2021" sheetId="17" r:id="rId16"/>
    <sheet name="Cosentino_2023" sheetId="18"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19" l="1" a="1"/>
  <c r="N3" i="19" s="1"/>
  <c r="N4" i="19" a="1"/>
  <c r="N4" i="19" s="1"/>
  <c r="N5" i="19" a="1"/>
  <c r="N5" i="19" s="1"/>
  <c r="N6" i="19" a="1"/>
  <c r="N6" i="19" s="1"/>
  <c r="N7" i="19" a="1"/>
  <c r="N7" i="19" s="1"/>
  <c r="N8" i="19" a="1"/>
  <c r="N8" i="19" s="1"/>
  <c r="N9" i="19" a="1"/>
  <c r="N9" i="19" s="1"/>
  <c r="N10" i="19" a="1"/>
  <c r="N10" i="19"/>
  <c r="N11" i="19" a="1"/>
  <c r="N11" i="19" s="1"/>
  <c r="N12" i="19" a="1"/>
  <c r="N12" i="19" s="1"/>
  <c r="N13" i="19" a="1"/>
  <c r="N13" i="19" s="1"/>
  <c r="N14" i="19" a="1"/>
  <c r="N14" i="19" s="1"/>
  <c r="N15" i="19" a="1"/>
  <c r="N15" i="19" s="1"/>
  <c r="N16" i="19" a="1"/>
  <c r="N16" i="19" s="1"/>
  <c r="N17" i="19" a="1"/>
  <c r="N17" i="19" s="1"/>
  <c r="N18" i="19" a="1"/>
  <c r="N18" i="19"/>
  <c r="N19" i="19" a="1"/>
  <c r="N19" i="19" s="1"/>
  <c r="N20" i="19" a="1"/>
  <c r="N20" i="19" s="1"/>
  <c r="N21" i="19" a="1"/>
  <c r="N21" i="19" s="1"/>
  <c r="N22" i="19" a="1"/>
  <c r="N22" i="19" s="1"/>
  <c r="N23" i="19" a="1"/>
  <c r="N23" i="19" s="1"/>
  <c r="N24" i="19" a="1"/>
  <c r="N24" i="19" s="1"/>
  <c r="N25" i="19" a="1"/>
  <c r="N25" i="19" s="1"/>
  <c r="N26" i="19" a="1"/>
  <c r="N26" i="19"/>
  <c r="N27" i="19" a="1"/>
  <c r="N27" i="19" s="1"/>
  <c r="N28" i="19" a="1"/>
  <c r="N28" i="19" s="1"/>
  <c r="N29" i="19" a="1"/>
  <c r="N29" i="19" s="1"/>
  <c r="N30" i="19" a="1"/>
  <c r="N30" i="19" s="1"/>
  <c r="N31" i="19" a="1"/>
  <c r="N31" i="19" s="1"/>
  <c r="N32" i="19" a="1"/>
  <c r="N32" i="19" s="1"/>
  <c r="N33" i="19" a="1"/>
  <c r="N33" i="19" s="1"/>
  <c r="N34" i="19" a="1"/>
  <c r="N34" i="19"/>
  <c r="N35" i="19" a="1"/>
  <c r="N35" i="19" s="1"/>
  <c r="N36" i="19" a="1"/>
  <c r="N36" i="19" s="1"/>
  <c r="N37" i="19" a="1"/>
  <c r="N37" i="19" s="1"/>
  <c r="N38" i="19" a="1"/>
  <c r="N38" i="19" s="1"/>
  <c r="N39" i="19" a="1"/>
  <c r="N39" i="19" s="1"/>
  <c r="N40" i="19" a="1"/>
  <c r="N40" i="19" s="1"/>
  <c r="N41" i="19" a="1"/>
  <c r="N41" i="19" s="1"/>
  <c r="N42" i="19" a="1"/>
  <c r="N42" i="19"/>
  <c r="N43" i="19" a="1"/>
  <c r="N43" i="19" s="1"/>
  <c r="N44" i="19" a="1"/>
  <c r="N44" i="19" s="1"/>
  <c r="N45" i="19" a="1"/>
  <c r="N45" i="19" s="1"/>
  <c r="N46" i="19" a="1"/>
  <c r="N46" i="19" s="1"/>
  <c r="N47" i="19" a="1"/>
  <c r="N47" i="19" s="1"/>
  <c r="N48" i="19" a="1"/>
  <c r="N48" i="19" s="1"/>
  <c r="N49" i="19" a="1"/>
  <c r="N49" i="19" s="1"/>
  <c r="N50" i="19" a="1"/>
  <c r="N50" i="19"/>
  <c r="N51" i="19" a="1"/>
  <c r="N51" i="19" s="1"/>
  <c r="N52" i="19" a="1"/>
  <c r="N52" i="19" s="1"/>
  <c r="N53" i="19" a="1"/>
  <c r="N53" i="19" s="1"/>
  <c r="N54" i="19" a="1"/>
  <c r="N54" i="19" s="1"/>
  <c r="N55" i="19" a="1"/>
  <c r="N55" i="19" s="1"/>
  <c r="N56" i="19" a="1"/>
  <c r="N56" i="19" s="1"/>
  <c r="N57" i="19" a="1"/>
  <c r="N57" i="19" s="1"/>
  <c r="N58" i="19" a="1"/>
  <c r="N58" i="19"/>
  <c r="N59" i="19" a="1"/>
  <c r="N59" i="19" s="1"/>
  <c r="N60" i="19" a="1"/>
  <c r="N60" i="19" s="1"/>
  <c r="N61" i="19" a="1"/>
  <c r="N61" i="19" s="1"/>
  <c r="N62" i="19" a="1"/>
  <c r="N62" i="19" s="1"/>
  <c r="N63" i="19" a="1"/>
  <c r="N63" i="19" s="1"/>
  <c r="N64" i="19" a="1"/>
  <c r="N64" i="19" s="1"/>
  <c r="N65" i="19" a="1"/>
  <c r="N65" i="19" s="1"/>
  <c r="N66" i="19" a="1"/>
  <c r="N66" i="19"/>
  <c r="N67" i="19" a="1"/>
  <c r="N67" i="19" s="1"/>
  <c r="N68" i="19" a="1"/>
  <c r="N68" i="19" s="1"/>
  <c r="N69" i="19" a="1"/>
  <c r="N69" i="19" s="1"/>
  <c r="N70" i="19" a="1"/>
  <c r="N70" i="19" s="1"/>
  <c r="N71" i="19" a="1"/>
  <c r="N71" i="19" s="1"/>
  <c r="N72" i="19" a="1"/>
  <c r="N72" i="19" s="1"/>
  <c r="N73" i="19" a="1"/>
  <c r="N73" i="19" s="1"/>
  <c r="N74" i="19" a="1"/>
  <c r="N74" i="19"/>
  <c r="N75" i="19" a="1"/>
  <c r="N75" i="19" s="1"/>
  <c r="N76" i="19" a="1"/>
  <c r="N76" i="19" s="1"/>
  <c r="N77" i="19" a="1"/>
  <c r="N77" i="19" s="1"/>
  <c r="N78" i="19" a="1"/>
  <c r="N78" i="19" s="1"/>
  <c r="N79" i="19" a="1"/>
  <c r="N79" i="19" s="1"/>
  <c r="N80" i="19" a="1"/>
  <c r="N80" i="19" s="1"/>
  <c r="N81" i="19" a="1"/>
  <c r="N81" i="19" s="1"/>
  <c r="N82" i="19" a="1"/>
  <c r="N82" i="19"/>
  <c r="N83" i="19" a="1"/>
  <c r="N83" i="19" s="1"/>
  <c r="N84" i="19" a="1"/>
  <c r="N84" i="19" s="1"/>
  <c r="N85" i="19" a="1"/>
  <c r="N85" i="19" s="1"/>
  <c r="N86" i="19" a="1"/>
  <c r="N86" i="19" s="1"/>
  <c r="N87" i="19" a="1"/>
  <c r="N87" i="19" s="1"/>
  <c r="N88" i="19" a="1"/>
  <c r="N88" i="19" s="1"/>
  <c r="N89" i="19" a="1"/>
  <c r="N89" i="19" s="1"/>
  <c r="N90" i="19" a="1"/>
  <c r="N90" i="19"/>
  <c r="N91" i="19" a="1"/>
  <c r="N91" i="19" s="1"/>
  <c r="N92" i="19" a="1"/>
  <c r="N92" i="19" s="1"/>
  <c r="N93" i="19" a="1"/>
  <c r="N93" i="19" s="1"/>
  <c r="N94" i="19" a="1"/>
  <c r="N94" i="19" s="1"/>
  <c r="N95" i="19" a="1"/>
  <c r="N95" i="19" s="1"/>
  <c r="N96" i="19" a="1"/>
  <c r="N96" i="19" s="1"/>
  <c r="N97" i="19" a="1"/>
  <c r="N97" i="19" s="1"/>
  <c r="N98" i="19" a="1"/>
  <c r="N98" i="19"/>
  <c r="N99" i="19" a="1"/>
  <c r="N99" i="19" s="1"/>
  <c r="N100" i="19" a="1"/>
  <c r="N100" i="19" s="1"/>
  <c r="N101" i="19" a="1"/>
  <c r="N101" i="19" s="1"/>
  <c r="N102" i="19" a="1"/>
  <c r="N102" i="19" s="1"/>
  <c r="N103" i="19" a="1"/>
  <c r="N103" i="19" s="1"/>
  <c r="N104" i="19" a="1"/>
  <c r="N104" i="19" s="1"/>
  <c r="N105" i="19" a="1"/>
  <c r="N105" i="19" s="1"/>
  <c r="N106" i="19" a="1"/>
  <c r="N106" i="19"/>
  <c r="N107" i="19" a="1"/>
  <c r="N107" i="19" s="1"/>
  <c r="N108" i="19" a="1"/>
  <c r="N108" i="19" s="1"/>
  <c r="N109" i="19" a="1"/>
  <c r="N109" i="19" s="1"/>
  <c r="N110" i="19" a="1"/>
  <c r="N110" i="19" s="1"/>
  <c r="N111" i="19" a="1"/>
  <c r="N111" i="19" s="1"/>
  <c r="N112" i="19" a="1"/>
  <c r="N112" i="19" s="1"/>
  <c r="N113" i="19" a="1"/>
  <c r="N113" i="19" s="1"/>
  <c r="N114" i="19" a="1"/>
  <c r="N114" i="19"/>
  <c r="N115" i="19" a="1"/>
  <c r="N115" i="19" s="1"/>
  <c r="N116" i="19" a="1"/>
  <c r="N116" i="19" s="1"/>
  <c r="N117" i="19" a="1"/>
  <c r="N117" i="19" s="1"/>
  <c r="N118" i="19" a="1"/>
  <c r="N118" i="19" s="1"/>
  <c r="N119" i="19" a="1"/>
  <c r="N119" i="19" s="1"/>
  <c r="N120" i="19" a="1"/>
  <c r="N120" i="19" s="1"/>
  <c r="N121" i="19" a="1"/>
  <c r="N121" i="19" s="1"/>
  <c r="N122" i="19" a="1"/>
  <c r="N122" i="19"/>
  <c r="N123" i="19" a="1"/>
  <c r="N123" i="19" s="1"/>
  <c r="N124" i="19" a="1"/>
  <c r="N124" i="19" s="1"/>
  <c r="N125" i="19" a="1"/>
  <c r="N125" i="19" s="1"/>
  <c r="N126" i="19" a="1"/>
  <c r="N126" i="19" s="1"/>
  <c r="N127" i="19" a="1"/>
  <c r="N127" i="19" s="1"/>
  <c r="N128" i="19" a="1"/>
  <c r="N128" i="19" s="1"/>
  <c r="N129" i="19" a="1"/>
  <c r="N129" i="19" s="1"/>
  <c r="N130" i="19" a="1"/>
  <c r="N130" i="19"/>
  <c r="N131" i="19" a="1"/>
  <c r="N131" i="19" s="1"/>
  <c r="N132" i="19" a="1"/>
  <c r="N132" i="19" s="1"/>
  <c r="N133" i="19" a="1"/>
  <c r="N133" i="19" s="1"/>
  <c r="N134" i="19" a="1"/>
  <c r="N134" i="19" s="1"/>
  <c r="N135" i="19" a="1"/>
  <c r="N135" i="19" s="1"/>
  <c r="N136" i="19" a="1"/>
  <c r="N136" i="19" s="1"/>
  <c r="N137" i="19" a="1"/>
  <c r="N137" i="19" s="1"/>
  <c r="N138" i="19" a="1"/>
  <c r="N138" i="19"/>
  <c r="N139" i="19" a="1"/>
  <c r="N139" i="19" s="1"/>
  <c r="N140" i="19" a="1"/>
  <c r="N140" i="19" s="1"/>
  <c r="N141" i="19" a="1"/>
  <c r="N141" i="19" s="1"/>
  <c r="N142" i="19" a="1"/>
  <c r="N142" i="19" s="1"/>
  <c r="N143" i="19" a="1"/>
  <c r="N143" i="19" s="1"/>
  <c r="N144" i="19" a="1"/>
  <c r="N144" i="19" s="1"/>
  <c r="N145" i="19" a="1"/>
  <c r="N145" i="19" s="1"/>
  <c r="N146" i="19" a="1"/>
  <c r="N146" i="19"/>
  <c r="N147" i="19" a="1"/>
  <c r="N147" i="19" s="1"/>
  <c r="N148" i="19" a="1"/>
  <c r="N148" i="19" s="1"/>
  <c r="N149" i="19" a="1"/>
  <c r="N149" i="19" s="1"/>
  <c r="N150" i="19" a="1"/>
  <c r="N150" i="19" s="1"/>
  <c r="N151" i="19" a="1"/>
  <c r="N151" i="19" s="1"/>
  <c r="N152" i="19" a="1"/>
  <c r="N152" i="19" s="1"/>
  <c r="N153" i="19" a="1"/>
  <c r="N153" i="19" s="1"/>
  <c r="N154" i="19" a="1"/>
  <c r="N154" i="19"/>
  <c r="N155" i="19" a="1"/>
  <c r="N155" i="19" s="1"/>
  <c r="N156" i="19" a="1"/>
  <c r="N156" i="19" s="1"/>
  <c r="N157" i="19" a="1"/>
  <c r="N157" i="19" s="1"/>
  <c r="N158" i="19" a="1"/>
  <c r="N158" i="19" s="1"/>
  <c r="N159" i="19" a="1"/>
  <c r="N159" i="19" s="1"/>
  <c r="N160" i="19" a="1"/>
  <c r="N160" i="19" s="1"/>
  <c r="N161" i="19" a="1"/>
  <c r="N161" i="19" s="1"/>
  <c r="N162" i="19" a="1"/>
  <c r="N162" i="19"/>
  <c r="N163" i="19" a="1"/>
  <c r="N163" i="19" s="1"/>
  <c r="N164" i="19" a="1"/>
  <c r="N164" i="19" s="1"/>
  <c r="N165" i="19" a="1"/>
  <c r="N165" i="19" s="1"/>
  <c r="N166" i="19" a="1"/>
  <c r="N166" i="19" s="1"/>
  <c r="N167" i="19" a="1"/>
  <c r="N167" i="19" s="1"/>
  <c r="N168" i="19" a="1"/>
  <c r="N168" i="19" s="1"/>
  <c r="N169" i="19" a="1"/>
  <c r="N169" i="19" s="1"/>
  <c r="N170" i="19" a="1"/>
  <c r="N170" i="19"/>
  <c r="N171" i="19" a="1"/>
  <c r="N171" i="19" s="1"/>
  <c r="N172" i="19" a="1"/>
  <c r="N172" i="19" s="1"/>
  <c r="N173" i="19" a="1"/>
  <c r="N173" i="19" s="1"/>
  <c r="N174" i="19" a="1"/>
  <c r="N174" i="19" s="1"/>
  <c r="N175" i="19" a="1"/>
  <c r="N175" i="19" s="1"/>
  <c r="N176" i="19" a="1"/>
  <c r="N176" i="19" s="1"/>
  <c r="N177" i="19" a="1"/>
  <c r="N177" i="19" s="1"/>
  <c r="N178" i="19" a="1"/>
  <c r="N178" i="19"/>
  <c r="N179" i="19" a="1"/>
  <c r="N179" i="19" s="1"/>
  <c r="N180" i="19" a="1"/>
  <c r="N180" i="19" s="1"/>
  <c r="N181" i="19" a="1"/>
  <c r="N181" i="19" s="1"/>
  <c r="N182" i="19" a="1"/>
  <c r="N182" i="19" s="1"/>
  <c r="N183" i="19" a="1"/>
  <c r="N183" i="19" s="1"/>
  <c r="N184" i="19" a="1"/>
  <c r="N184" i="19" s="1"/>
  <c r="N185" i="19" a="1"/>
  <c r="N185" i="19" s="1"/>
  <c r="N186" i="19" a="1"/>
  <c r="N186" i="19"/>
  <c r="N187" i="19" a="1"/>
  <c r="N187" i="19" s="1"/>
  <c r="N188" i="19" a="1"/>
  <c r="N188" i="19" s="1"/>
  <c r="N189" i="19" a="1"/>
  <c r="N189" i="19" s="1"/>
  <c r="N190" i="19" a="1"/>
  <c r="N190" i="19" s="1"/>
  <c r="N191" i="19" a="1"/>
  <c r="N191" i="19" s="1"/>
  <c r="N192" i="19" a="1"/>
  <c r="N192" i="19" s="1"/>
  <c r="N193" i="19" a="1"/>
  <c r="N193" i="19" s="1"/>
  <c r="N194" i="19" a="1"/>
  <c r="N194" i="19"/>
  <c r="N195" i="19" a="1"/>
  <c r="N195" i="19" s="1"/>
  <c r="N196" i="19" a="1"/>
  <c r="N196" i="19" s="1"/>
  <c r="N197" i="19" a="1"/>
  <c r="N197" i="19" s="1"/>
  <c r="N198" i="19" a="1"/>
  <c r="N198" i="19" s="1"/>
  <c r="N199" i="19" a="1"/>
  <c r="N199" i="19" s="1"/>
  <c r="N200" i="19" a="1"/>
  <c r="N200" i="19" s="1"/>
  <c r="N201" i="19" a="1"/>
  <c r="N201" i="19" s="1"/>
  <c r="N202" i="19" a="1"/>
  <c r="N202" i="19"/>
  <c r="N203" i="19" a="1"/>
  <c r="N203" i="19" s="1"/>
  <c r="N204" i="19" a="1"/>
  <c r="N204" i="19" s="1"/>
  <c r="N205" i="19" a="1"/>
  <c r="N205" i="19" s="1"/>
  <c r="N206" i="19" a="1"/>
  <c r="N206" i="19" s="1"/>
  <c r="N207" i="19" a="1"/>
  <c r="N207" i="19" s="1"/>
  <c r="N208" i="19" a="1"/>
  <c r="N208" i="19" s="1"/>
  <c r="N209" i="19" a="1"/>
  <c r="N209" i="19" s="1"/>
  <c r="N210" i="19" a="1"/>
  <c r="N210" i="19"/>
  <c r="N211" i="19" a="1"/>
  <c r="N211" i="19" s="1"/>
  <c r="N212" i="19" a="1"/>
  <c r="N212" i="19" s="1"/>
  <c r="N213" i="19" a="1"/>
  <c r="N213" i="19" s="1"/>
  <c r="N214" i="19" a="1"/>
  <c r="N214" i="19" s="1"/>
  <c r="N215" i="19" a="1"/>
  <c r="N215" i="19" s="1"/>
  <c r="N216" i="19" a="1"/>
  <c r="N216" i="19" s="1"/>
  <c r="N217" i="19" a="1"/>
  <c r="N217" i="19" s="1"/>
  <c r="N218" i="19" a="1"/>
  <c r="N218" i="19"/>
  <c r="N219" i="19" a="1"/>
  <c r="N219" i="19" s="1"/>
  <c r="N220" i="19" a="1"/>
  <c r="N220" i="19" s="1"/>
  <c r="N221" i="19" a="1"/>
  <c r="N221" i="19" s="1"/>
  <c r="N222" i="19" a="1"/>
  <c r="N222" i="19" s="1"/>
  <c r="N223" i="19" a="1"/>
  <c r="N223" i="19" s="1"/>
  <c r="N224" i="19" a="1"/>
  <c r="N224" i="19" s="1"/>
  <c r="N225" i="19" a="1"/>
  <c r="N225" i="19" s="1"/>
  <c r="N226" i="19" a="1"/>
  <c r="N226" i="19"/>
  <c r="N227" i="19" a="1"/>
  <c r="N227" i="19" s="1"/>
  <c r="N228" i="19" a="1"/>
  <c r="N228" i="19" s="1"/>
  <c r="N229" i="19" a="1"/>
  <c r="N229" i="19" s="1"/>
  <c r="N230" i="19" a="1"/>
  <c r="N230" i="19" s="1"/>
  <c r="N231" i="19" a="1"/>
  <c r="N231" i="19" s="1"/>
  <c r="N232" i="19" a="1"/>
  <c r="N232" i="19" s="1"/>
  <c r="N233" i="19" a="1"/>
  <c r="N233" i="19" s="1"/>
  <c r="N234" i="19" a="1"/>
  <c r="N234" i="19"/>
  <c r="N235" i="19" a="1"/>
  <c r="N235" i="19" s="1"/>
  <c r="N236" i="19" a="1"/>
  <c r="N236" i="19" s="1"/>
  <c r="N237" i="19" a="1"/>
  <c r="N237" i="19" s="1"/>
  <c r="N238" i="19" a="1"/>
  <c r="N238" i="19" s="1"/>
  <c r="N239" i="19" a="1"/>
  <c r="N239" i="19" s="1"/>
  <c r="N240" i="19" a="1"/>
  <c r="N240" i="19" s="1"/>
  <c r="N241" i="19" a="1"/>
  <c r="N241" i="19" s="1"/>
  <c r="N242" i="19" a="1"/>
  <c r="N242" i="19"/>
  <c r="N243" i="19" a="1"/>
  <c r="N243" i="19" s="1"/>
  <c r="N244" i="19" a="1"/>
  <c r="N244" i="19" s="1"/>
  <c r="N245" i="19" a="1"/>
  <c r="N245" i="19" s="1"/>
  <c r="N246" i="19" a="1"/>
  <c r="N246" i="19" s="1"/>
  <c r="N247" i="19" a="1"/>
  <c r="N247" i="19" s="1"/>
  <c r="N248" i="19" a="1"/>
  <c r="N248" i="19" s="1"/>
  <c r="N249" i="19" a="1"/>
  <c r="N249" i="19" s="1"/>
  <c r="N250" i="19" a="1"/>
  <c r="N250" i="19"/>
  <c r="N251" i="19" a="1"/>
  <c r="N251" i="19" s="1"/>
  <c r="N252" i="19" a="1"/>
  <c r="N252" i="19" s="1"/>
  <c r="N253" i="19" a="1"/>
  <c r="N253" i="19" s="1"/>
  <c r="N254" i="19" a="1"/>
  <c r="N254" i="19" s="1"/>
  <c r="N255" i="19" a="1"/>
  <c r="N255" i="19" s="1"/>
  <c r="N256" i="19" a="1"/>
  <c r="N256" i="19" s="1"/>
  <c r="N257" i="19" a="1"/>
  <c r="N257" i="19" s="1"/>
  <c r="N258" i="19" a="1"/>
  <c r="N258" i="19"/>
  <c r="N259" i="19" a="1"/>
  <c r="N259" i="19" s="1"/>
  <c r="N260" i="19" a="1"/>
  <c r="N260" i="19" s="1"/>
  <c r="N261" i="19" a="1"/>
  <c r="N261" i="19" s="1"/>
  <c r="N262" i="19" a="1"/>
  <c r="N262" i="19" s="1"/>
  <c r="N263" i="19" a="1"/>
  <c r="N263" i="19" s="1"/>
  <c r="N264" i="19" a="1"/>
  <c r="N264" i="19" s="1"/>
  <c r="N265" i="19" a="1"/>
  <c r="N265" i="19" s="1"/>
  <c r="N266" i="19" a="1"/>
  <c r="N266" i="19"/>
  <c r="N267" i="19" a="1"/>
  <c r="N267" i="19" s="1"/>
  <c r="N268" i="19" a="1"/>
  <c r="N268" i="19" s="1"/>
  <c r="N269" i="19" a="1"/>
  <c r="N269" i="19" s="1"/>
  <c r="N270" i="19" a="1"/>
  <c r="N270" i="19" s="1"/>
  <c r="N271" i="19" a="1"/>
  <c r="N271" i="19" s="1"/>
  <c r="N272" i="19" a="1"/>
  <c r="N272" i="19" s="1"/>
  <c r="N273" i="19" a="1"/>
  <c r="N273" i="19" s="1"/>
  <c r="N274" i="19" a="1"/>
  <c r="N274" i="19"/>
  <c r="N275" i="19" a="1"/>
  <c r="N275" i="19" s="1"/>
  <c r="N276" i="19" a="1"/>
  <c r="N276" i="19" s="1"/>
  <c r="N277" i="19" a="1"/>
  <c r="N277" i="19" s="1"/>
  <c r="N278" i="19" a="1"/>
  <c r="N278" i="19" s="1"/>
  <c r="N279" i="19" a="1"/>
  <c r="N279" i="19" s="1"/>
  <c r="N280" i="19" a="1"/>
  <c r="N280" i="19" s="1"/>
  <c r="N281" i="19" a="1"/>
  <c r="N281" i="19" s="1"/>
  <c r="N282" i="19" a="1"/>
  <c r="N282" i="19"/>
  <c r="N283" i="19" a="1"/>
  <c r="N283" i="19" s="1"/>
  <c r="N284" i="19" a="1"/>
  <c r="N284" i="19" s="1"/>
  <c r="N285" i="19" a="1"/>
  <c r="N285" i="19" s="1"/>
  <c r="N286" i="19" a="1"/>
  <c r="N286" i="19" s="1"/>
  <c r="N287" i="19" a="1"/>
  <c r="N287" i="19" s="1"/>
  <c r="N288" i="19" a="1"/>
  <c r="N288" i="19" s="1"/>
  <c r="N289" i="19" a="1"/>
  <c r="N289" i="19" s="1"/>
  <c r="N290" i="19" a="1"/>
  <c r="N290" i="19"/>
  <c r="N291" i="19" a="1"/>
  <c r="N291" i="19" s="1"/>
  <c r="N292" i="19" a="1"/>
  <c r="N292" i="19" s="1"/>
  <c r="N293" i="19" a="1"/>
  <c r="N293" i="19" s="1"/>
  <c r="N294" i="19" a="1"/>
  <c r="N294" i="19" s="1"/>
  <c r="N295" i="19" a="1"/>
  <c r="N295" i="19" s="1"/>
  <c r="N296" i="19" a="1"/>
  <c r="N296" i="19" s="1"/>
  <c r="N297" i="19" a="1"/>
  <c r="N297" i="19" s="1"/>
  <c r="N298" i="19" a="1"/>
  <c r="N298" i="19"/>
  <c r="N299" i="19" a="1"/>
  <c r="N299" i="19" s="1"/>
  <c r="N300" i="19" a="1"/>
  <c r="N300" i="19" s="1"/>
  <c r="N301" i="19" a="1"/>
  <c r="N301" i="19" s="1"/>
  <c r="N302" i="19" a="1"/>
  <c r="N302" i="19" s="1"/>
  <c r="N303" i="19" a="1"/>
  <c r="N303" i="19" s="1"/>
  <c r="N304" i="19" a="1"/>
  <c r="N304" i="19" s="1"/>
  <c r="N305" i="19" a="1"/>
  <c r="N305" i="19" s="1"/>
  <c r="N306" i="19" a="1"/>
  <c r="N306" i="19"/>
  <c r="N307" i="19" a="1"/>
  <c r="N307" i="19" s="1"/>
  <c r="N308" i="19" a="1"/>
  <c r="N308" i="19" s="1"/>
  <c r="N309" i="19" a="1"/>
  <c r="N309" i="19" s="1"/>
  <c r="N310" i="19" a="1"/>
  <c r="N310" i="19" s="1"/>
  <c r="N311" i="19" a="1"/>
  <c r="N311" i="19" s="1"/>
  <c r="N312" i="19" a="1"/>
  <c r="N312" i="19" s="1"/>
  <c r="N313" i="19" a="1"/>
  <c r="N313" i="19" s="1"/>
  <c r="N314" i="19" a="1"/>
  <c r="N314" i="19"/>
  <c r="N315" i="19" a="1"/>
  <c r="N315" i="19" s="1"/>
  <c r="N316" i="19" a="1"/>
  <c r="N316" i="19" s="1"/>
  <c r="N317" i="19" a="1"/>
  <c r="N317" i="19" s="1"/>
  <c r="N318" i="19" a="1"/>
  <c r="N318" i="19" s="1"/>
  <c r="N319" i="19" a="1"/>
  <c r="N319" i="19" s="1"/>
  <c r="N320" i="19" a="1"/>
  <c r="N320" i="19" s="1"/>
  <c r="N321" i="19" a="1"/>
  <c r="N321" i="19" s="1"/>
  <c r="N322" i="19" a="1"/>
  <c r="N322" i="19"/>
  <c r="N323" i="19" a="1"/>
  <c r="N323" i="19" s="1"/>
  <c r="N324" i="19" a="1"/>
  <c r="N324" i="19" s="1"/>
  <c r="N325" i="19" a="1"/>
  <c r="N325" i="19" s="1"/>
  <c r="N326" i="19" a="1"/>
  <c r="N326" i="19" s="1"/>
  <c r="N327" i="19" a="1"/>
  <c r="N327" i="19" s="1"/>
  <c r="N328" i="19" a="1"/>
  <c r="N328" i="19" s="1"/>
  <c r="N329" i="19" a="1"/>
  <c r="N329" i="19" s="1"/>
  <c r="N330" i="19" a="1"/>
  <c r="N330" i="19"/>
  <c r="N331" i="19" a="1"/>
  <c r="N331" i="19" s="1"/>
  <c r="N332" i="19" a="1"/>
  <c r="N332" i="19" s="1"/>
  <c r="N333" i="19" a="1"/>
  <c r="N333" i="19" s="1"/>
  <c r="N334" i="19" a="1"/>
  <c r="N334" i="19" s="1"/>
  <c r="N335" i="19" a="1"/>
  <c r="N335" i="19" s="1"/>
  <c r="N336" i="19" a="1"/>
  <c r="N336" i="19" s="1"/>
  <c r="N337" i="19" a="1"/>
  <c r="N337" i="19" s="1"/>
  <c r="N338" i="19" a="1"/>
  <c r="N338" i="19"/>
  <c r="N339" i="19" a="1"/>
  <c r="N339" i="19" s="1"/>
  <c r="N340" i="19" a="1"/>
  <c r="N340" i="19" s="1"/>
  <c r="N341" i="19" a="1"/>
  <c r="N341" i="19" s="1"/>
  <c r="N342" i="19" a="1"/>
  <c r="N342" i="19" s="1"/>
  <c r="N343" i="19" a="1"/>
  <c r="N343" i="19" s="1"/>
  <c r="N344" i="19" a="1"/>
  <c r="N344" i="19" s="1"/>
  <c r="N345" i="19" a="1"/>
  <c r="N345" i="19" s="1"/>
  <c r="N346" i="19" a="1"/>
  <c r="N346" i="19"/>
  <c r="N347" i="19" a="1"/>
  <c r="N347" i="19" s="1"/>
  <c r="N2" i="19" a="1"/>
  <c r="N2" i="19" s="1"/>
  <c r="T31" i="7"/>
  <c r="U30" i="7"/>
  <c r="T30" i="7"/>
  <c r="U29" i="7"/>
  <c r="T29" i="7"/>
  <c r="U28" i="7"/>
  <c r="T28" i="7"/>
  <c r="U27" i="7"/>
  <c r="T27" i="7"/>
  <c r="U26" i="7"/>
  <c r="T26" i="7"/>
  <c r="U25" i="7"/>
  <c r="T25" i="7"/>
  <c r="U24" i="7"/>
  <c r="T24" i="7"/>
  <c r="U23" i="7"/>
  <c r="T23" i="7"/>
  <c r="U22" i="7"/>
  <c r="T22" i="7"/>
  <c r="U21" i="7"/>
  <c r="T21" i="7"/>
  <c r="U20" i="7"/>
  <c r="T20" i="7"/>
  <c r="U19" i="7"/>
  <c r="T19" i="7"/>
  <c r="U18" i="7"/>
  <c r="T18" i="7"/>
  <c r="U17" i="7"/>
  <c r="T17" i="7"/>
  <c r="U16" i="7"/>
  <c r="T16" i="7"/>
  <c r="U15" i="7"/>
  <c r="T15" i="7"/>
  <c r="U14" i="7"/>
  <c r="T14" i="7"/>
  <c r="U13" i="7"/>
  <c r="T13" i="7"/>
  <c r="U12" i="7"/>
  <c r="T12" i="7"/>
  <c r="U11" i="7"/>
  <c r="T11" i="7"/>
  <c r="U10" i="7"/>
  <c r="T10" i="7"/>
  <c r="U9" i="7"/>
  <c r="T9" i="7"/>
  <c r="U8" i="7"/>
  <c r="T8" i="7"/>
  <c r="U7" i="7"/>
  <c r="T7" i="7"/>
  <c r="U6" i="7"/>
  <c r="T6" i="7"/>
  <c r="U5" i="7"/>
  <c r="T5" i="7"/>
  <c r="U4" i="7"/>
  <c r="T4" i="7"/>
  <c r="U3" i="7"/>
  <c r="T3" i="7"/>
  <c r="M677" i="3"/>
  <c r="L677" i="3"/>
  <c r="K677" i="3"/>
  <c r="I677" i="3"/>
  <c r="H677" i="3"/>
  <c r="G677" i="3"/>
  <c r="F677" i="3"/>
  <c r="E677" i="3"/>
  <c r="A677" i="3"/>
  <c r="M676" i="3"/>
  <c r="L676" i="3"/>
  <c r="K676" i="3"/>
  <c r="G676" i="3"/>
  <c r="E676" i="3"/>
  <c r="A676" i="3"/>
  <c r="M675" i="3"/>
  <c r="L675" i="3"/>
  <c r="K675" i="3"/>
  <c r="I675" i="3"/>
  <c r="H675" i="3"/>
  <c r="G675" i="3"/>
  <c r="F675" i="3"/>
  <c r="E675" i="3"/>
  <c r="A675" i="3"/>
  <c r="M674" i="3"/>
  <c r="L674" i="3"/>
  <c r="K674" i="3"/>
  <c r="G674" i="3"/>
  <c r="F674" i="3"/>
  <c r="E674" i="3"/>
  <c r="A674" i="3"/>
  <c r="M673" i="3"/>
  <c r="L673" i="3"/>
  <c r="K673" i="3"/>
  <c r="J673" i="3"/>
  <c r="G673" i="3"/>
  <c r="E673" i="3"/>
  <c r="B673" i="3"/>
  <c r="A673" i="3"/>
  <c r="M672" i="3"/>
  <c r="L672" i="3"/>
  <c r="K672" i="3"/>
  <c r="J672" i="3"/>
  <c r="G672" i="3"/>
  <c r="E672" i="3"/>
  <c r="B672" i="3"/>
  <c r="A672" i="3"/>
  <c r="M671" i="3"/>
  <c r="L671" i="3"/>
  <c r="K671" i="3"/>
  <c r="J671" i="3"/>
  <c r="G671" i="3"/>
  <c r="E671" i="3"/>
  <c r="B671" i="3"/>
  <c r="A671" i="3"/>
  <c r="M670" i="3"/>
  <c r="L670" i="3"/>
  <c r="K670" i="3"/>
  <c r="J670" i="3"/>
  <c r="G670" i="3"/>
  <c r="E670" i="3"/>
  <c r="B670" i="3"/>
  <c r="A670" i="3"/>
  <c r="M669" i="3"/>
  <c r="L669" i="3"/>
  <c r="K669" i="3"/>
  <c r="J669" i="3"/>
  <c r="G669" i="3"/>
  <c r="E669" i="3"/>
  <c r="B669" i="3"/>
  <c r="A669" i="3"/>
  <c r="M668" i="3"/>
  <c r="L668" i="3"/>
  <c r="K668" i="3"/>
  <c r="J668" i="3"/>
  <c r="G668" i="3"/>
  <c r="E668" i="3"/>
  <c r="A668" i="3"/>
  <c r="M667" i="3"/>
  <c r="L667" i="3"/>
  <c r="K667" i="3"/>
  <c r="J667" i="3"/>
  <c r="G667" i="3"/>
  <c r="E667" i="3"/>
  <c r="A667" i="3"/>
  <c r="M666" i="3"/>
  <c r="L666" i="3"/>
  <c r="K666" i="3"/>
  <c r="J666" i="3"/>
  <c r="G666" i="3"/>
  <c r="F666" i="3"/>
  <c r="E666" i="3"/>
  <c r="A666" i="3"/>
  <c r="M665" i="3"/>
  <c r="L665" i="3"/>
  <c r="K665" i="3"/>
  <c r="J665" i="3"/>
  <c r="G665" i="3"/>
  <c r="F665" i="3"/>
  <c r="E665" i="3"/>
  <c r="A665" i="3"/>
  <c r="M664" i="3"/>
  <c r="L664" i="3"/>
  <c r="K664" i="3"/>
  <c r="G664" i="3"/>
  <c r="E664" i="3"/>
  <c r="B664" i="3"/>
  <c r="A664" i="3"/>
  <c r="M663" i="3"/>
  <c r="L663" i="3"/>
  <c r="K663" i="3"/>
  <c r="G663" i="3"/>
  <c r="E663" i="3"/>
  <c r="B663" i="3"/>
  <c r="A663" i="3"/>
  <c r="M662" i="3"/>
  <c r="L662" i="3"/>
  <c r="K662" i="3"/>
  <c r="G662" i="3"/>
  <c r="E662" i="3"/>
  <c r="B662" i="3"/>
  <c r="A662" i="3"/>
  <c r="M661" i="3"/>
  <c r="L661" i="3"/>
  <c r="K661" i="3"/>
  <c r="G661" i="3"/>
  <c r="E661" i="3"/>
  <c r="B661" i="3"/>
  <c r="A661" i="3"/>
  <c r="M660" i="3"/>
  <c r="L660" i="3"/>
  <c r="K660" i="3"/>
  <c r="G660" i="3"/>
  <c r="E660" i="3"/>
  <c r="B660" i="3"/>
  <c r="A660" i="3"/>
  <c r="M659" i="3"/>
  <c r="L659" i="3"/>
  <c r="K659" i="3"/>
  <c r="G659" i="3"/>
  <c r="E659" i="3"/>
  <c r="B659" i="3"/>
  <c r="A659" i="3"/>
  <c r="M658" i="3"/>
  <c r="L658" i="3"/>
  <c r="K658" i="3"/>
  <c r="G658" i="3"/>
  <c r="E658" i="3"/>
  <c r="B658" i="3"/>
  <c r="A658" i="3"/>
  <c r="M657" i="3"/>
  <c r="L657" i="3"/>
  <c r="K657" i="3"/>
  <c r="G657" i="3"/>
  <c r="E657" i="3"/>
  <c r="B657" i="3"/>
  <c r="A657" i="3"/>
  <c r="M656" i="3"/>
  <c r="L656" i="3"/>
  <c r="K656" i="3"/>
  <c r="G656" i="3"/>
  <c r="E656" i="3"/>
  <c r="B656" i="3"/>
  <c r="A656" i="3"/>
  <c r="M655" i="3"/>
  <c r="L655" i="3"/>
  <c r="K655" i="3"/>
  <c r="G655" i="3"/>
  <c r="E655" i="3"/>
  <c r="B655" i="3"/>
  <c r="A655" i="3"/>
  <c r="M654" i="3"/>
  <c r="L654" i="3"/>
  <c r="K654" i="3"/>
  <c r="I654" i="3"/>
  <c r="H654" i="3"/>
  <c r="G654" i="3"/>
  <c r="F654" i="3"/>
  <c r="E654" i="3"/>
  <c r="A654" i="3"/>
  <c r="M653" i="3"/>
  <c r="L653" i="3"/>
  <c r="K653" i="3"/>
  <c r="I653" i="3"/>
  <c r="H653" i="3"/>
  <c r="G653" i="3"/>
  <c r="F653" i="3"/>
  <c r="E653" i="3"/>
  <c r="A653" i="3"/>
  <c r="M652" i="3"/>
  <c r="L652" i="3"/>
  <c r="K652" i="3"/>
  <c r="I652" i="3"/>
  <c r="H652" i="3"/>
  <c r="G652" i="3"/>
  <c r="F652" i="3"/>
  <c r="E652" i="3"/>
  <c r="A652" i="3"/>
  <c r="M651" i="3"/>
  <c r="L651" i="3"/>
  <c r="K651" i="3"/>
  <c r="G651" i="3"/>
  <c r="E651" i="3"/>
  <c r="A651" i="3"/>
  <c r="M650" i="3"/>
  <c r="L650" i="3"/>
  <c r="K650" i="3"/>
  <c r="G650" i="3"/>
  <c r="E650" i="3"/>
  <c r="A650" i="3"/>
  <c r="M649" i="3"/>
  <c r="L649" i="3"/>
  <c r="K649" i="3"/>
  <c r="G649" i="3"/>
  <c r="E649" i="3"/>
  <c r="A649" i="3"/>
  <c r="M648" i="3"/>
  <c r="L648" i="3"/>
  <c r="K648" i="3"/>
  <c r="G648" i="3"/>
  <c r="E648" i="3"/>
  <c r="A648" i="3"/>
  <c r="M647" i="3"/>
  <c r="L647" i="3"/>
  <c r="K647" i="3"/>
  <c r="G647" i="3"/>
  <c r="E647" i="3"/>
  <c r="A647" i="3"/>
  <c r="M646" i="3"/>
  <c r="L646" i="3"/>
  <c r="K646" i="3"/>
  <c r="J646" i="3"/>
  <c r="G646" i="3"/>
  <c r="F646" i="3"/>
  <c r="E646" i="3"/>
  <c r="A646" i="3"/>
  <c r="M645" i="3"/>
  <c r="L645" i="3"/>
  <c r="K645" i="3"/>
  <c r="I645" i="3"/>
  <c r="H645" i="3"/>
  <c r="G645" i="3"/>
  <c r="F645" i="3"/>
  <c r="E645" i="3"/>
  <c r="A645" i="3"/>
  <c r="M644" i="3"/>
  <c r="L644" i="3"/>
  <c r="K644" i="3"/>
  <c r="I644" i="3"/>
  <c r="H644" i="3"/>
  <c r="G644" i="3"/>
  <c r="F644" i="3"/>
  <c r="E644" i="3"/>
  <c r="A644" i="3"/>
  <c r="M643" i="3"/>
  <c r="L643" i="3"/>
  <c r="K643" i="3"/>
  <c r="G643" i="3"/>
  <c r="E643" i="3"/>
  <c r="A643" i="3"/>
  <c r="M642" i="3"/>
  <c r="L642" i="3"/>
  <c r="K642" i="3"/>
  <c r="G642" i="3"/>
  <c r="E642" i="3"/>
  <c r="A642" i="3"/>
  <c r="M641" i="3"/>
  <c r="L641" i="3"/>
  <c r="K641" i="3"/>
  <c r="G641" i="3"/>
  <c r="E641" i="3"/>
  <c r="A641" i="3"/>
  <c r="M640" i="3"/>
  <c r="L640" i="3"/>
  <c r="K640" i="3"/>
  <c r="I640" i="3"/>
  <c r="H640" i="3"/>
  <c r="G640" i="3"/>
  <c r="F640" i="3"/>
  <c r="E640" i="3"/>
  <c r="A640" i="3"/>
  <c r="M639" i="3"/>
  <c r="L639" i="3"/>
  <c r="K639" i="3"/>
  <c r="I639" i="3"/>
  <c r="H639" i="3"/>
  <c r="G639" i="3"/>
  <c r="F639" i="3"/>
  <c r="E639" i="3"/>
  <c r="A639" i="3"/>
  <c r="M638" i="3"/>
  <c r="L638" i="3"/>
  <c r="K638" i="3"/>
  <c r="I638" i="3"/>
  <c r="H638" i="3"/>
  <c r="G638" i="3"/>
  <c r="F638" i="3"/>
  <c r="E638" i="3"/>
  <c r="A638" i="3"/>
  <c r="M637" i="3"/>
  <c r="L637" i="3"/>
  <c r="K637" i="3"/>
  <c r="G637" i="3"/>
  <c r="F637" i="3"/>
  <c r="E637" i="3"/>
  <c r="A637" i="3"/>
  <c r="M636" i="3"/>
  <c r="L636" i="3"/>
  <c r="K636" i="3"/>
  <c r="G636" i="3"/>
  <c r="E636" i="3"/>
  <c r="A636" i="3"/>
  <c r="M635" i="3"/>
  <c r="L635" i="3"/>
  <c r="K635" i="3"/>
  <c r="G635" i="3"/>
  <c r="E635" i="3"/>
  <c r="A635" i="3"/>
  <c r="M634" i="3"/>
  <c r="L634" i="3"/>
  <c r="K634" i="3"/>
  <c r="G634" i="3"/>
  <c r="F634" i="3"/>
  <c r="E634" i="3"/>
  <c r="A634" i="3"/>
  <c r="M633" i="3"/>
  <c r="L633" i="3"/>
  <c r="K633" i="3"/>
  <c r="G633" i="3"/>
  <c r="E633" i="3"/>
  <c r="A633" i="3"/>
  <c r="M632" i="3"/>
  <c r="L632" i="3"/>
  <c r="K632" i="3"/>
  <c r="G632" i="3"/>
  <c r="E632" i="3"/>
  <c r="A632" i="3"/>
  <c r="M631" i="3"/>
  <c r="L631" i="3"/>
  <c r="K631" i="3"/>
  <c r="G631" i="3"/>
  <c r="E631" i="3"/>
  <c r="A631" i="3"/>
  <c r="M630" i="3"/>
  <c r="L630" i="3"/>
  <c r="K630" i="3"/>
  <c r="G630" i="3"/>
  <c r="E630" i="3"/>
  <c r="A630" i="3"/>
  <c r="M629" i="3"/>
  <c r="L629" i="3"/>
  <c r="K629" i="3"/>
  <c r="G629" i="3"/>
  <c r="E629" i="3"/>
  <c r="A629" i="3"/>
  <c r="M628" i="3"/>
  <c r="L628" i="3"/>
  <c r="K628" i="3"/>
  <c r="G628" i="3"/>
  <c r="E628" i="3"/>
  <c r="A628" i="3"/>
  <c r="M627" i="3"/>
  <c r="L627" i="3"/>
  <c r="K627" i="3"/>
  <c r="G627" i="3"/>
  <c r="E627" i="3"/>
  <c r="A627" i="3"/>
  <c r="M626" i="3"/>
  <c r="L626" i="3"/>
  <c r="K626" i="3"/>
  <c r="I626" i="3"/>
  <c r="H626" i="3"/>
  <c r="G626" i="3"/>
  <c r="F626" i="3"/>
  <c r="E626" i="3"/>
  <c r="A626" i="3"/>
  <c r="M625" i="3"/>
  <c r="L625" i="3"/>
  <c r="K625" i="3"/>
  <c r="J625" i="3"/>
  <c r="G625" i="3"/>
  <c r="E625" i="3"/>
  <c r="A625" i="3"/>
  <c r="M624" i="3"/>
  <c r="L624" i="3"/>
  <c r="K624" i="3"/>
  <c r="I624" i="3"/>
  <c r="H624" i="3"/>
  <c r="G624" i="3"/>
  <c r="F624" i="3"/>
  <c r="E624" i="3"/>
  <c r="A624" i="3"/>
  <c r="M623" i="3"/>
  <c r="L623" i="3"/>
  <c r="K623" i="3"/>
  <c r="G623" i="3"/>
  <c r="E623" i="3"/>
  <c r="A623" i="3"/>
  <c r="M622" i="3"/>
  <c r="L622" i="3"/>
  <c r="K622" i="3"/>
  <c r="G622" i="3"/>
  <c r="E622" i="3"/>
  <c r="A622" i="3"/>
  <c r="M621" i="3"/>
  <c r="L621" i="3"/>
  <c r="K621" i="3"/>
  <c r="G621" i="3"/>
  <c r="E621" i="3"/>
  <c r="A621" i="3"/>
  <c r="M620" i="3"/>
  <c r="L620" i="3"/>
  <c r="K620" i="3"/>
  <c r="G620" i="3"/>
  <c r="E620" i="3"/>
  <c r="A620" i="3"/>
  <c r="M619" i="3"/>
  <c r="L619" i="3"/>
  <c r="K619" i="3"/>
  <c r="G619" i="3"/>
  <c r="E619" i="3"/>
  <c r="A619" i="3"/>
  <c r="M618" i="3"/>
  <c r="L618" i="3"/>
  <c r="K618" i="3"/>
  <c r="G618" i="3"/>
  <c r="E618" i="3"/>
  <c r="A618" i="3"/>
  <c r="M617" i="3"/>
  <c r="L617" i="3"/>
  <c r="K617" i="3"/>
  <c r="G617" i="3"/>
  <c r="E617" i="3"/>
  <c r="A617" i="3"/>
  <c r="M616" i="3"/>
  <c r="L616" i="3"/>
  <c r="K616" i="3"/>
  <c r="G616" i="3"/>
  <c r="E616" i="3"/>
  <c r="A616" i="3"/>
  <c r="M615" i="3"/>
  <c r="L615" i="3"/>
  <c r="K615" i="3"/>
  <c r="G615" i="3"/>
  <c r="E615" i="3"/>
  <c r="A615" i="3"/>
  <c r="M614" i="3"/>
  <c r="L614" i="3"/>
  <c r="K614" i="3"/>
  <c r="G614" i="3"/>
  <c r="E614" i="3"/>
  <c r="A614" i="3"/>
  <c r="M613" i="3"/>
  <c r="L613" i="3"/>
  <c r="K613" i="3"/>
  <c r="I613" i="3"/>
  <c r="H613" i="3"/>
  <c r="G613" i="3"/>
  <c r="F613" i="3"/>
  <c r="E613" i="3"/>
  <c r="A613" i="3"/>
  <c r="M612" i="3"/>
  <c r="L612" i="3"/>
  <c r="K612" i="3"/>
  <c r="I612" i="3"/>
  <c r="H612" i="3"/>
  <c r="G612" i="3"/>
  <c r="F612" i="3"/>
  <c r="E612" i="3"/>
  <c r="A612" i="3"/>
  <c r="M611" i="3"/>
  <c r="L611" i="3"/>
  <c r="K611" i="3"/>
  <c r="I611" i="3"/>
  <c r="H611" i="3"/>
  <c r="G611" i="3"/>
  <c r="F611" i="3"/>
  <c r="E611" i="3"/>
  <c r="A611" i="3"/>
  <c r="M610" i="3"/>
  <c r="L610" i="3"/>
  <c r="K610" i="3"/>
  <c r="I610" i="3"/>
  <c r="H610" i="3"/>
  <c r="G610" i="3"/>
  <c r="F610" i="3"/>
  <c r="E610" i="3"/>
  <c r="A610" i="3"/>
  <c r="M609" i="3"/>
  <c r="L609" i="3"/>
  <c r="K609" i="3"/>
  <c r="G609" i="3"/>
  <c r="E609" i="3"/>
  <c r="A609" i="3"/>
  <c r="M608" i="3"/>
  <c r="L608" i="3"/>
  <c r="K608" i="3"/>
  <c r="G608" i="3"/>
  <c r="E608" i="3"/>
  <c r="A608" i="3"/>
  <c r="M607" i="3"/>
  <c r="L607" i="3"/>
  <c r="K607" i="3"/>
  <c r="G607" i="3"/>
  <c r="E607" i="3"/>
  <c r="A607" i="3"/>
  <c r="M606" i="3"/>
  <c r="L606" i="3"/>
  <c r="K606" i="3"/>
  <c r="G606" i="3"/>
  <c r="E606" i="3"/>
  <c r="A606" i="3"/>
  <c r="M605" i="3"/>
  <c r="L605" i="3"/>
  <c r="K605" i="3"/>
  <c r="G605" i="3"/>
  <c r="E605" i="3"/>
  <c r="A605" i="3"/>
  <c r="M604" i="3"/>
  <c r="L604" i="3"/>
  <c r="K604" i="3"/>
  <c r="G604" i="3"/>
  <c r="E604" i="3"/>
  <c r="A604" i="3"/>
  <c r="M603" i="3"/>
  <c r="L603" i="3"/>
  <c r="K603" i="3"/>
  <c r="G603" i="3"/>
  <c r="E603" i="3"/>
  <c r="A603" i="3"/>
  <c r="M602" i="3"/>
  <c r="L602" i="3"/>
  <c r="K602" i="3"/>
  <c r="I602" i="3"/>
  <c r="H602" i="3"/>
  <c r="G602" i="3"/>
  <c r="F602" i="3"/>
  <c r="E602" i="3"/>
  <c r="B602" i="3"/>
  <c r="A602" i="3"/>
  <c r="M601" i="3"/>
  <c r="L601" i="3"/>
  <c r="K601" i="3"/>
  <c r="G601" i="3"/>
  <c r="E601" i="3"/>
  <c r="A601" i="3"/>
  <c r="M600" i="3"/>
  <c r="L600" i="3"/>
  <c r="K600" i="3"/>
  <c r="G600" i="3"/>
  <c r="E600" i="3"/>
  <c r="A600" i="3"/>
  <c r="M599" i="3"/>
  <c r="L599" i="3"/>
  <c r="K599" i="3"/>
  <c r="G599" i="3"/>
  <c r="E599" i="3"/>
  <c r="A599" i="3"/>
  <c r="M598" i="3"/>
  <c r="L598" i="3"/>
  <c r="K598" i="3"/>
  <c r="G598" i="3"/>
  <c r="E598" i="3"/>
  <c r="A598" i="3"/>
  <c r="M597" i="3"/>
  <c r="L597" i="3"/>
  <c r="K597" i="3"/>
  <c r="G597" i="3"/>
  <c r="E597" i="3"/>
  <c r="A597" i="3"/>
  <c r="M596" i="3"/>
  <c r="L596" i="3"/>
  <c r="K596" i="3"/>
  <c r="G596" i="3"/>
  <c r="E596" i="3"/>
  <c r="A596" i="3"/>
  <c r="M595" i="3"/>
  <c r="L595" i="3"/>
  <c r="K595" i="3"/>
  <c r="G595" i="3"/>
  <c r="E595" i="3"/>
  <c r="A595" i="3"/>
  <c r="M594" i="3"/>
  <c r="L594" i="3"/>
  <c r="K594" i="3"/>
  <c r="G594" i="3"/>
  <c r="E594" i="3"/>
  <c r="A594" i="3"/>
  <c r="M593" i="3"/>
  <c r="L593" i="3"/>
  <c r="K593" i="3"/>
  <c r="G593" i="3"/>
  <c r="E593" i="3"/>
  <c r="A593" i="3"/>
  <c r="M592" i="3"/>
  <c r="L592" i="3"/>
  <c r="K592" i="3"/>
  <c r="G592" i="3"/>
  <c r="E592" i="3"/>
  <c r="A592" i="3"/>
  <c r="M591" i="3"/>
  <c r="L591" i="3"/>
  <c r="K591" i="3"/>
  <c r="I591" i="3"/>
  <c r="H591" i="3"/>
  <c r="G591" i="3"/>
  <c r="F591" i="3"/>
  <c r="E591" i="3"/>
  <c r="A591" i="3"/>
  <c r="M590" i="3"/>
  <c r="L590" i="3"/>
  <c r="K590" i="3"/>
  <c r="I590" i="3"/>
  <c r="H590" i="3"/>
  <c r="G590" i="3"/>
  <c r="F590" i="3"/>
  <c r="E590" i="3"/>
  <c r="A590" i="3"/>
  <c r="M589" i="3"/>
  <c r="L589" i="3"/>
  <c r="K589" i="3"/>
  <c r="I589" i="3"/>
  <c r="H589" i="3"/>
  <c r="G589" i="3"/>
  <c r="F589" i="3"/>
  <c r="E589" i="3"/>
  <c r="A589" i="3"/>
  <c r="M588" i="3"/>
  <c r="L588" i="3"/>
  <c r="K588" i="3"/>
  <c r="I588" i="3"/>
  <c r="H588" i="3"/>
  <c r="G588" i="3"/>
  <c r="F588" i="3"/>
  <c r="E588" i="3"/>
  <c r="A588" i="3"/>
  <c r="M587" i="3"/>
  <c r="L587" i="3"/>
  <c r="K587" i="3"/>
  <c r="J587" i="3"/>
  <c r="G587" i="3"/>
  <c r="E587" i="3"/>
  <c r="B587" i="3"/>
  <c r="A587" i="3"/>
  <c r="M586" i="3"/>
  <c r="L586" i="3"/>
  <c r="K586" i="3"/>
  <c r="J586" i="3"/>
  <c r="G586" i="3"/>
  <c r="E586" i="3"/>
  <c r="B586" i="3"/>
  <c r="A586" i="3"/>
  <c r="M585" i="3"/>
  <c r="L585" i="3"/>
  <c r="K585" i="3"/>
  <c r="J585" i="3"/>
  <c r="I585" i="3"/>
  <c r="H585" i="3"/>
  <c r="G585" i="3"/>
  <c r="F585" i="3"/>
  <c r="E585" i="3"/>
  <c r="A585" i="3"/>
  <c r="M584" i="3"/>
  <c r="L584" i="3"/>
  <c r="K584" i="3"/>
  <c r="J584" i="3"/>
  <c r="I584" i="3"/>
  <c r="H584" i="3"/>
  <c r="G584" i="3"/>
  <c r="F584" i="3"/>
  <c r="E584" i="3"/>
  <c r="A584" i="3"/>
  <c r="M583" i="3"/>
  <c r="L583" i="3"/>
  <c r="K583" i="3"/>
  <c r="J583" i="3"/>
  <c r="I583" i="3"/>
  <c r="H583" i="3"/>
  <c r="G583" i="3"/>
  <c r="F583" i="3"/>
  <c r="E583" i="3"/>
  <c r="A583" i="3"/>
  <c r="M582" i="3"/>
  <c r="L582" i="3"/>
  <c r="K582" i="3"/>
  <c r="I582" i="3"/>
  <c r="H582" i="3"/>
  <c r="G582" i="3"/>
  <c r="F582" i="3"/>
  <c r="E582" i="3"/>
  <c r="A582" i="3"/>
  <c r="M581" i="3"/>
  <c r="L581" i="3"/>
  <c r="K581" i="3"/>
  <c r="G581" i="3"/>
  <c r="E581" i="3"/>
  <c r="A581" i="3"/>
  <c r="M580" i="3"/>
  <c r="L580" i="3"/>
  <c r="K580" i="3"/>
  <c r="I580" i="3"/>
  <c r="H580" i="3"/>
  <c r="G580" i="3"/>
  <c r="F580" i="3"/>
  <c r="E580" i="3"/>
  <c r="B580" i="3"/>
  <c r="A580" i="3"/>
  <c r="M579" i="3"/>
  <c r="L579" i="3"/>
  <c r="K579" i="3"/>
  <c r="I579" i="3"/>
  <c r="H579" i="3"/>
  <c r="G579" i="3"/>
  <c r="F579" i="3"/>
  <c r="E579" i="3"/>
  <c r="A579" i="3"/>
  <c r="M578" i="3"/>
  <c r="L578" i="3"/>
  <c r="K578" i="3"/>
  <c r="G578" i="3"/>
  <c r="F578" i="3"/>
  <c r="E578" i="3"/>
  <c r="A578" i="3"/>
  <c r="M577" i="3"/>
  <c r="L577" i="3"/>
  <c r="K577" i="3"/>
  <c r="G577" i="3"/>
  <c r="E577" i="3"/>
  <c r="A577" i="3"/>
  <c r="M576" i="3"/>
  <c r="L576" i="3"/>
  <c r="K576" i="3"/>
  <c r="I576" i="3"/>
  <c r="H576" i="3"/>
  <c r="G576" i="3"/>
  <c r="F576" i="3"/>
  <c r="E576" i="3"/>
  <c r="A576" i="3"/>
  <c r="M575" i="3"/>
  <c r="L575" i="3"/>
  <c r="K575" i="3"/>
  <c r="I575" i="3"/>
  <c r="H575" i="3"/>
  <c r="G575" i="3"/>
  <c r="F575" i="3"/>
  <c r="E575" i="3"/>
  <c r="A575" i="3"/>
  <c r="M574" i="3"/>
  <c r="L574" i="3"/>
  <c r="K574" i="3"/>
  <c r="I574" i="3"/>
  <c r="H574" i="3"/>
  <c r="G574" i="3"/>
  <c r="F574" i="3"/>
  <c r="E574" i="3"/>
  <c r="A574" i="3"/>
  <c r="M573" i="3"/>
  <c r="L573" i="3"/>
  <c r="K573" i="3"/>
  <c r="I573" i="3"/>
  <c r="H573" i="3"/>
  <c r="G573" i="3"/>
  <c r="F573" i="3"/>
  <c r="E573" i="3"/>
  <c r="A573" i="3"/>
  <c r="M572" i="3"/>
  <c r="L572" i="3"/>
  <c r="K572" i="3"/>
  <c r="I572" i="3"/>
  <c r="H572" i="3"/>
  <c r="G572" i="3"/>
  <c r="F572" i="3"/>
  <c r="E572" i="3"/>
  <c r="A572" i="3"/>
  <c r="M571" i="3"/>
  <c r="L571" i="3"/>
  <c r="K571" i="3"/>
  <c r="I571" i="3"/>
  <c r="H571" i="3"/>
  <c r="G571" i="3"/>
  <c r="F571" i="3"/>
  <c r="E571" i="3"/>
  <c r="A571" i="3"/>
  <c r="M570" i="3"/>
  <c r="L570" i="3"/>
  <c r="K570" i="3"/>
  <c r="I570" i="3"/>
  <c r="H570" i="3"/>
  <c r="G570" i="3"/>
  <c r="F570" i="3"/>
  <c r="E570" i="3"/>
  <c r="A570" i="3"/>
  <c r="M569" i="3"/>
  <c r="L569" i="3"/>
  <c r="K569" i="3"/>
  <c r="G569" i="3"/>
  <c r="E569" i="3"/>
  <c r="A569" i="3"/>
  <c r="M568" i="3"/>
  <c r="L568" i="3"/>
  <c r="K568" i="3"/>
  <c r="G568" i="3"/>
  <c r="E568" i="3"/>
  <c r="A568" i="3"/>
  <c r="M567" i="3"/>
  <c r="L567" i="3"/>
  <c r="K567" i="3"/>
  <c r="G567" i="3"/>
  <c r="E567" i="3"/>
  <c r="A567" i="3"/>
  <c r="M566" i="3"/>
  <c r="L566" i="3"/>
  <c r="K566" i="3"/>
  <c r="G566" i="3"/>
  <c r="E566" i="3"/>
  <c r="A566" i="3"/>
  <c r="M565" i="3"/>
  <c r="L565" i="3"/>
  <c r="K565" i="3"/>
  <c r="G565" i="3"/>
  <c r="E565" i="3"/>
  <c r="A565" i="3"/>
  <c r="M564" i="3"/>
  <c r="L564" i="3"/>
  <c r="K564" i="3"/>
  <c r="G564" i="3"/>
  <c r="E564" i="3"/>
  <c r="A564" i="3"/>
  <c r="M563" i="3"/>
  <c r="L563" i="3"/>
  <c r="K563" i="3"/>
  <c r="G563" i="3"/>
  <c r="E563" i="3"/>
  <c r="A563" i="3"/>
  <c r="M562" i="3"/>
  <c r="L562" i="3"/>
  <c r="K562" i="3"/>
  <c r="G562" i="3"/>
  <c r="E562" i="3"/>
  <c r="A562" i="3"/>
  <c r="M561" i="3"/>
  <c r="L561" i="3"/>
  <c r="K561" i="3"/>
  <c r="G561" i="3"/>
  <c r="E561" i="3"/>
  <c r="A561" i="3"/>
  <c r="M560" i="3"/>
  <c r="L560" i="3"/>
  <c r="K560" i="3"/>
  <c r="G560" i="3"/>
  <c r="E560" i="3"/>
  <c r="A560" i="3"/>
  <c r="M559" i="3"/>
  <c r="L559" i="3"/>
  <c r="K559" i="3"/>
  <c r="I559" i="3"/>
  <c r="H559" i="3"/>
  <c r="G559" i="3"/>
  <c r="F559" i="3"/>
  <c r="E559" i="3"/>
  <c r="A559" i="3"/>
  <c r="M558" i="3"/>
  <c r="L558" i="3"/>
  <c r="K558" i="3"/>
  <c r="I558" i="3"/>
  <c r="H558" i="3"/>
  <c r="G558" i="3"/>
  <c r="F558" i="3"/>
  <c r="E558" i="3"/>
  <c r="A558" i="3"/>
  <c r="M557" i="3"/>
  <c r="L557" i="3"/>
  <c r="K557" i="3"/>
  <c r="I557" i="3"/>
  <c r="H557" i="3"/>
  <c r="G557" i="3"/>
  <c r="F557" i="3"/>
  <c r="E557" i="3"/>
  <c r="A557" i="3"/>
  <c r="M556" i="3"/>
  <c r="L556" i="3"/>
  <c r="K556" i="3"/>
  <c r="I556" i="3"/>
  <c r="H556" i="3"/>
  <c r="G556" i="3"/>
  <c r="F556" i="3"/>
  <c r="E556" i="3"/>
  <c r="A556" i="3"/>
  <c r="M555" i="3"/>
  <c r="L555" i="3"/>
  <c r="K555" i="3"/>
  <c r="G555" i="3"/>
  <c r="E555" i="3"/>
  <c r="A555" i="3"/>
  <c r="M554" i="3"/>
  <c r="L554" i="3"/>
  <c r="K554" i="3"/>
  <c r="G554" i="3"/>
  <c r="E554" i="3"/>
  <c r="A554" i="3"/>
  <c r="M553" i="3"/>
  <c r="L553" i="3"/>
  <c r="K553" i="3"/>
  <c r="G553" i="3"/>
  <c r="E553" i="3"/>
  <c r="B553" i="3"/>
  <c r="A553" i="3"/>
  <c r="M552" i="3"/>
  <c r="L552" i="3"/>
  <c r="K552" i="3"/>
  <c r="G552" i="3"/>
  <c r="E552" i="3"/>
  <c r="B552" i="3"/>
  <c r="A552" i="3"/>
  <c r="M551" i="3"/>
  <c r="L551" i="3"/>
  <c r="K551" i="3"/>
  <c r="G551" i="3"/>
  <c r="E551" i="3"/>
  <c r="B551" i="3"/>
  <c r="A551" i="3"/>
  <c r="M550" i="3"/>
  <c r="L550" i="3"/>
  <c r="K550" i="3"/>
  <c r="G550" i="3"/>
  <c r="E550" i="3"/>
  <c r="B550" i="3"/>
  <c r="A550" i="3"/>
  <c r="M549" i="3"/>
  <c r="L549" i="3"/>
  <c r="K549" i="3"/>
  <c r="G549" i="3"/>
  <c r="E549" i="3"/>
  <c r="B549" i="3"/>
  <c r="A549" i="3"/>
  <c r="M548" i="3"/>
  <c r="L548" i="3"/>
  <c r="K548" i="3"/>
  <c r="G548" i="3"/>
  <c r="E548" i="3"/>
  <c r="B548" i="3"/>
  <c r="A548" i="3"/>
  <c r="M547" i="3"/>
  <c r="L547" i="3"/>
  <c r="K547" i="3"/>
  <c r="G547" i="3"/>
  <c r="E547" i="3"/>
  <c r="B547" i="3"/>
  <c r="A547" i="3"/>
  <c r="M546" i="3"/>
  <c r="L546" i="3"/>
  <c r="K546" i="3"/>
  <c r="G546" i="3"/>
  <c r="E546" i="3"/>
  <c r="B546" i="3"/>
  <c r="A546" i="3"/>
  <c r="M545" i="3"/>
  <c r="L545" i="3"/>
  <c r="K545" i="3"/>
  <c r="G545" i="3"/>
  <c r="E545" i="3"/>
  <c r="B545" i="3"/>
  <c r="A545" i="3"/>
  <c r="M544" i="3"/>
  <c r="L544" i="3"/>
  <c r="K544" i="3"/>
  <c r="G544" i="3"/>
  <c r="E544" i="3"/>
  <c r="B544" i="3"/>
  <c r="A544" i="3"/>
  <c r="M543" i="3"/>
  <c r="L543" i="3"/>
  <c r="K543" i="3"/>
  <c r="I543" i="3"/>
  <c r="H543" i="3"/>
  <c r="G543" i="3"/>
  <c r="F543" i="3"/>
  <c r="E543" i="3"/>
  <c r="B543" i="3"/>
  <c r="A543" i="3"/>
  <c r="M542" i="3"/>
  <c r="L542" i="3"/>
  <c r="K542" i="3"/>
  <c r="I542" i="3"/>
  <c r="H542" i="3"/>
  <c r="G542" i="3"/>
  <c r="F542" i="3"/>
  <c r="E542" i="3"/>
  <c r="B542" i="3"/>
  <c r="A542" i="3"/>
  <c r="M541" i="3"/>
  <c r="L541" i="3"/>
  <c r="K541" i="3"/>
  <c r="I541" i="3"/>
  <c r="H541" i="3"/>
  <c r="G541" i="3"/>
  <c r="F541" i="3"/>
  <c r="E541" i="3"/>
  <c r="B541" i="3"/>
  <c r="A541" i="3"/>
  <c r="M540" i="3"/>
  <c r="L540" i="3"/>
  <c r="K540" i="3"/>
  <c r="I540" i="3"/>
  <c r="H540" i="3"/>
  <c r="G540" i="3"/>
  <c r="F540" i="3"/>
  <c r="E540" i="3"/>
  <c r="B540" i="3"/>
  <c r="A540" i="3"/>
  <c r="M539" i="3"/>
  <c r="L539" i="3"/>
  <c r="K539" i="3"/>
  <c r="I539" i="3"/>
  <c r="H539" i="3"/>
  <c r="G539" i="3"/>
  <c r="F539" i="3"/>
  <c r="E539" i="3"/>
  <c r="B539" i="3"/>
  <c r="A539" i="3"/>
  <c r="M538" i="3"/>
  <c r="L538" i="3"/>
  <c r="K538" i="3"/>
  <c r="I538" i="3"/>
  <c r="H538" i="3"/>
  <c r="G538" i="3"/>
  <c r="F538" i="3"/>
  <c r="E538" i="3"/>
  <c r="B538" i="3"/>
  <c r="A538" i="3"/>
  <c r="M537" i="3"/>
  <c r="L537" i="3"/>
  <c r="K537" i="3"/>
  <c r="I537" i="3"/>
  <c r="H537" i="3"/>
  <c r="G537" i="3"/>
  <c r="F537" i="3"/>
  <c r="E537" i="3"/>
  <c r="B537" i="3"/>
  <c r="A537" i="3"/>
  <c r="M536" i="3"/>
  <c r="L536" i="3"/>
  <c r="K536" i="3"/>
  <c r="I536" i="3"/>
  <c r="H536" i="3"/>
  <c r="G536" i="3"/>
  <c r="F536" i="3"/>
  <c r="E536" i="3"/>
  <c r="B536" i="3"/>
  <c r="A536" i="3"/>
  <c r="M535" i="3"/>
  <c r="L535" i="3"/>
  <c r="K535" i="3"/>
  <c r="I535" i="3"/>
  <c r="H535" i="3"/>
  <c r="G535" i="3"/>
  <c r="F535" i="3"/>
  <c r="E535" i="3"/>
  <c r="B535" i="3"/>
  <c r="A535" i="3"/>
  <c r="M534" i="3"/>
  <c r="L534" i="3"/>
  <c r="K534" i="3"/>
  <c r="I534" i="3"/>
  <c r="H534" i="3"/>
  <c r="G534" i="3"/>
  <c r="F534" i="3"/>
  <c r="E534" i="3"/>
  <c r="B534" i="3"/>
  <c r="A534" i="3"/>
  <c r="M533" i="3"/>
  <c r="L533" i="3"/>
  <c r="K533" i="3"/>
  <c r="I533" i="3"/>
  <c r="H533" i="3"/>
  <c r="G533" i="3"/>
  <c r="F533" i="3"/>
  <c r="E533" i="3"/>
  <c r="B533" i="3"/>
  <c r="A533" i="3"/>
  <c r="M532" i="3"/>
  <c r="L532" i="3"/>
  <c r="K532" i="3"/>
  <c r="I532" i="3"/>
  <c r="H532" i="3"/>
  <c r="G532" i="3"/>
  <c r="F532" i="3"/>
  <c r="E532" i="3"/>
  <c r="B532" i="3"/>
  <c r="A532" i="3"/>
  <c r="M531" i="3"/>
  <c r="L531" i="3"/>
  <c r="K531" i="3"/>
  <c r="I531" i="3"/>
  <c r="H531" i="3"/>
  <c r="G531" i="3"/>
  <c r="F531" i="3"/>
  <c r="E531" i="3"/>
  <c r="B531" i="3"/>
  <c r="A531" i="3"/>
  <c r="M530" i="3"/>
  <c r="L530" i="3"/>
  <c r="K530" i="3"/>
  <c r="I530" i="3"/>
  <c r="H530" i="3"/>
  <c r="G530" i="3"/>
  <c r="F530" i="3"/>
  <c r="E530" i="3"/>
  <c r="B530" i="3"/>
  <c r="A530" i="3"/>
  <c r="M529" i="3"/>
  <c r="L529" i="3"/>
  <c r="K529" i="3"/>
  <c r="I529" i="3"/>
  <c r="H529" i="3"/>
  <c r="G529" i="3"/>
  <c r="F529" i="3"/>
  <c r="E529" i="3"/>
  <c r="B529" i="3"/>
  <c r="A529" i="3"/>
  <c r="M528" i="3"/>
  <c r="L528" i="3"/>
  <c r="K528" i="3"/>
  <c r="I528" i="3"/>
  <c r="H528" i="3"/>
  <c r="G528" i="3"/>
  <c r="F528" i="3"/>
  <c r="E528" i="3"/>
  <c r="B528" i="3"/>
  <c r="A528" i="3"/>
  <c r="M527" i="3"/>
  <c r="L527" i="3"/>
  <c r="K527" i="3"/>
  <c r="I527" i="3"/>
  <c r="H527" i="3"/>
  <c r="G527" i="3"/>
  <c r="F527" i="3"/>
  <c r="E527" i="3"/>
  <c r="A527" i="3"/>
  <c r="M526" i="3"/>
  <c r="L526" i="3"/>
  <c r="K526" i="3"/>
  <c r="J526" i="3"/>
  <c r="I526" i="3"/>
  <c r="H526" i="3"/>
  <c r="G526" i="3"/>
  <c r="F526" i="3"/>
  <c r="E526" i="3"/>
  <c r="A526" i="3"/>
  <c r="M525" i="3"/>
  <c r="L525" i="3"/>
  <c r="K525" i="3"/>
  <c r="G525" i="3"/>
  <c r="E525" i="3"/>
  <c r="A525" i="3"/>
  <c r="M524" i="3"/>
  <c r="L524" i="3"/>
  <c r="K524" i="3"/>
  <c r="G524" i="3"/>
  <c r="E524" i="3"/>
  <c r="A524" i="3"/>
  <c r="M523" i="3"/>
  <c r="L523" i="3"/>
  <c r="K523" i="3"/>
  <c r="G523" i="3"/>
  <c r="E523" i="3"/>
  <c r="A523" i="3"/>
  <c r="M522" i="3"/>
  <c r="L522" i="3"/>
  <c r="K522" i="3"/>
  <c r="G522" i="3"/>
  <c r="E522" i="3"/>
  <c r="A522" i="3"/>
  <c r="M521" i="3"/>
  <c r="L521" i="3"/>
  <c r="K521" i="3"/>
  <c r="G521" i="3"/>
  <c r="E521" i="3"/>
  <c r="A521" i="3"/>
  <c r="M520" i="3"/>
  <c r="L520" i="3"/>
  <c r="K520" i="3"/>
  <c r="G520" i="3"/>
  <c r="E520" i="3"/>
  <c r="A520" i="3"/>
  <c r="M519" i="3"/>
  <c r="L519" i="3"/>
  <c r="K519" i="3"/>
  <c r="G519" i="3"/>
  <c r="E519" i="3"/>
  <c r="A519" i="3"/>
  <c r="M518" i="3"/>
  <c r="L518" i="3"/>
  <c r="K518" i="3"/>
  <c r="G518" i="3"/>
  <c r="E518" i="3"/>
  <c r="A518" i="3"/>
  <c r="M517" i="3"/>
  <c r="L517" i="3"/>
  <c r="K517" i="3"/>
  <c r="G517" i="3"/>
  <c r="E517" i="3"/>
  <c r="A517" i="3"/>
  <c r="M516" i="3"/>
  <c r="L516" i="3"/>
  <c r="K516" i="3"/>
  <c r="G516" i="3"/>
  <c r="E516" i="3"/>
  <c r="A516" i="3"/>
  <c r="M515" i="3"/>
  <c r="L515" i="3"/>
  <c r="K515" i="3"/>
  <c r="G515" i="3"/>
  <c r="E515" i="3"/>
  <c r="A515" i="3"/>
  <c r="M514" i="3"/>
  <c r="L514" i="3"/>
  <c r="K514" i="3"/>
  <c r="G514" i="3"/>
  <c r="E514" i="3"/>
  <c r="A514" i="3"/>
  <c r="M513" i="3"/>
  <c r="L513" i="3"/>
  <c r="K513" i="3"/>
  <c r="G513" i="3"/>
  <c r="E513" i="3"/>
  <c r="A513" i="3"/>
  <c r="M512" i="3"/>
  <c r="L512" i="3"/>
  <c r="K512" i="3"/>
  <c r="G512" i="3"/>
  <c r="E512" i="3"/>
  <c r="A512" i="3"/>
  <c r="M511" i="3"/>
  <c r="L511" i="3"/>
  <c r="K511" i="3"/>
  <c r="G511" i="3"/>
  <c r="E511" i="3"/>
  <c r="A511" i="3"/>
  <c r="M510" i="3"/>
  <c r="L510" i="3"/>
  <c r="K510" i="3"/>
  <c r="G510" i="3"/>
  <c r="E510" i="3"/>
  <c r="A510" i="3"/>
  <c r="M509" i="3"/>
  <c r="L509" i="3"/>
  <c r="K509" i="3"/>
  <c r="G509" i="3"/>
  <c r="E509" i="3"/>
  <c r="B509" i="3"/>
  <c r="A509" i="3"/>
  <c r="M508" i="3"/>
  <c r="L508" i="3"/>
  <c r="K508" i="3"/>
  <c r="G508" i="3"/>
  <c r="E508" i="3"/>
  <c r="B508" i="3"/>
  <c r="A508" i="3"/>
  <c r="M507" i="3"/>
  <c r="L507" i="3"/>
  <c r="K507" i="3"/>
  <c r="G507" i="3"/>
  <c r="E507" i="3"/>
  <c r="B507" i="3"/>
  <c r="A507" i="3"/>
  <c r="M506" i="3"/>
  <c r="L506" i="3"/>
  <c r="K506" i="3"/>
  <c r="G506" i="3"/>
  <c r="E506" i="3"/>
  <c r="B506" i="3"/>
  <c r="A506" i="3"/>
  <c r="M505" i="3"/>
  <c r="L505" i="3"/>
  <c r="K505" i="3"/>
  <c r="G505" i="3"/>
  <c r="E505" i="3"/>
  <c r="B505" i="3"/>
  <c r="A505" i="3"/>
  <c r="M504" i="3"/>
  <c r="L504" i="3"/>
  <c r="K504" i="3"/>
  <c r="G504" i="3"/>
  <c r="E504" i="3"/>
  <c r="B504" i="3"/>
  <c r="A504" i="3"/>
  <c r="M503" i="3"/>
  <c r="L503" i="3"/>
  <c r="K503" i="3"/>
  <c r="G503" i="3"/>
  <c r="E503" i="3"/>
  <c r="B503" i="3"/>
  <c r="A503" i="3"/>
  <c r="M502" i="3"/>
  <c r="L502" i="3"/>
  <c r="K502" i="3"/>
  <c r="G502" i="3"/>
  <c r="E502" i="3"/>
  <c r="B502" i="3"/>
  <c r="A502" i="3"/>
  <c r="M501" i="3"/>
  <c r="L501" i="3"/>
  <c r="K501" i="3"/>
  <c r="G501" i="3"/>
  <c r="E501" i="3"/>
  <c r="B501" i="3"/>
  <c r="A501" i="3"/>
  <c r="M500" i="3"/>
  <c r="L500" i="3"/>
  <c r="K500" i="3"/>
  <c r="G500" i="3"/>
  <c r="E500" i="3"/>
  <c r="B500" i="3"/>
  <c r="A500" i="3"/>
  <c r="M499" i="3"/>
  <c r="L499" i="3"/>
  <c r="K499" i="3"/>
  <c r="I499" i="3"/>
  <c r="H499" i="3"/>
  <c r="G499" i="3"/>
  <c r="F499" i="3"/>
  <c r="E499" i="3"/>
  <c r="A499" i="3"/>
  <c r="M498" i="3"/>
  <c r="L498" i="3"/>
  <c r="K498" i="3"/>
  <c r="I498" i="3"/>
  <c r="H498" i="3"/>
  <c r="G498" i="3"/>
  <c r="F498" i="3"/>
  <c r="E498" i="3"/>
  <c r="A498" i="3"/>
  <c r="M497" i="3"/>
  <c r="L497" i="3"/>
  <c r="K497" i="3"/>
  <c r="I497" i="3"/>
  <c r="H497" i="3"/>
  <c r="G497" i="3"/>
  <c r="F497" i="3"/>
  <c r="E497" i="3"/>
  <c r="A497" i="3"/>
  <c r="M496" i="3"/>
  <c r="L496" i="3"/>
  <c r="K496" i="3"/>
  <c r="J496" i="3"/>
  <c r="G496" i="3"/>
  <c r="E496" i="3"/>
  <c r="A496" i="3"/>
  <c r="M495" i="3"/>
  <c r="L495" i="3"/>
  <c r="K495" i="3"/>
  <c r="J495" i="3"/>
  <c r="G495" i="3"/>
  <c r="E495" i="3"/>
  <c r="A495" i="3"/>
  <c r="M494" i="3"/>
  <c r="L494" i="3"/>
  <c r="K494" i="3"/>
  <c r="J494" i="3"/>
  <c r="G494" i="3"/>
  <c r="E494" i="3"/>
  <c r="A494" i="3"/>
  <c r="M493" i="3"/>
  <c r="L493" i="3"/>
  <c r="K493" i="3"/>
  <c r="J493" i="3"/>
  <c r="G493" i="3"/>
  <c r="E493" i="3"/>
  <c r="A493" i="3"/>
  <c r="M492" i="3"/>
  <c r="L492" i="3"/>
  <c r="K492" i="3"/>
  <c r="J492" i="3"/>
  <c r="I492" i="3"/>
  <c r="H492" i="3"/>
  <c r="G492" i="3"/>
  <c r="F492" i="3"/>
  <c r="E492" i="3"/>
  <c r="A492" i="3"/>
  <c r="M491" i="3"/>
  <c r="L491" i="3"/>
  <c r="K491" i="3"/>
  <c r="J491" i="3"/>
  <c r="I491" i="3"/>
  <c r="H491" i="3"/>
  <c r="G491" i="3"/>
  <c r="F491" i="3"/>
  <c r="E491" i="3"/>
  <c r="A491" i="3"/>
  <c r="M490" i="3"/>
  <c r="L490" i="3"/>
  <c r="K490" i="3"/>
  <c r="J490" i="3"/>
  <c r="I490" i="3"/>
  <c r="H490" i="3"/>
  <c r="G490" i="3"/>
  <c r="F490" i="3"/>
  <c r="E490" i="3"/>
  <c r="A490" i="3"/>
  <c r="M489" i="3"/>
  <c r="L489" i="3"/>
  <c r="K489" i="3"/>
  <c r="I489" i="3"/>
  <c r="H489" i="3"/>
  <c r="G489" i="3"/>
  <c r="F489" i="3"/>
  <c r="E489" i="3"/>
  <c r="A489" i="3"/>
  <c r="M488" i="3"/>
  <c r="L488" i="3"/>
  <c r="K488" i="3"/>
  <c r="G488" i="3"/>
  <c r="F488" i="3"/>
  <c r="E488" i="3"/>
  <c r="B488" i="3"/>
  <c r="A488" i="3"/>
  <c r="M487" i="3"/>
  <c r="L487" i="3"/>
  <c r="K487" i="3"/>
  <c r="G487" i="3"/>
  <c r="E487" i="3"/>
  <c r="B487" i="3"/>
  <c r="A487" i="3"/>
  <c r="M486" i="3"/>
  <c r="L486" i="3"/>
  <c r="K486" i="3"/>
  <c r="G486" i="3"/>
  <c r="F486" i="3"/>
  <c r="E486" i="3"/>
  <c r="B486" i="3"/>
  <c r="A486" i="3"/>
  <c r="M485" i="3"/>
  <c r="L485" i="3"/>
  <c r="K485" i="3"/>
  <c r="G485" i="3"/>
  <c r="F485" i="3"/>
  <c r="E485" i="3"/>
  <c r="B485" i="3"/>
  <c r="A485" i="3"/>
  <c r="M484" i="3"/>
  <c r="L484" i="3"/>
  <c r="K484" i="3"/>
  <c r="I484" i="3"/>
  <c r="H484" i="3"/>
  <c r="G484" i="3"/>
  <c r="F484" i="3"/>
  <c r="E484" i="3"/>
  <c r="A484" i="3"/>
  <c r="M483" i="3"/>
  <c r="L483" i="3"/>
  <c r="K483" i="3"/>
  <c r="I483" i="3"/>
  <c r="H483" i="3"/>
  <c r="G483" i="3"/>
  <c r="F483" i="3"/>
  <c r="E483" i="3"/>
  <c r="A483" i="3"/>
  <c r="M482" i="3"/>
  <c r="L482" i="3"/>
  <c r="K482" i="3"/>
  <c r="G482" i="3"/>
  <c r="E482" i="3"/>
  <c r="B482" i="3"/>
  <c r="A482" i="3"/>
  <c r="M481" i="3"/>
  <c r="L481" i="3"/>
  <c r="K481" i="3"/>
  <c r="G481" i="3"/>
  <c r="E481" i="3"/>
  <c r="B481" i="3"/>
  <c r="A481" i="3"/>
  <c r="M480" i="3"/>
  <c r="L480" i="3"/>
  <c r="K480" i="3"/>
  <c r="I480" i="3"/>
  <c r="H480" i="3"/>
  <c r="G480" i="3"/>
  <c r="F480" i="3"/>
  <c r="E480" i="3"/>
  <c r="A480" i="3"/>
  <c r="M479" i="3"/>
  <c r="L479" i="3"/>
  <c r="K479" i="3"/>
  <c r="I479" i="3"/>
  <c r="H479" i="3"/>
  <c r="G479" i="3"/>
  <c r="F479" i="3"/>
  <c r="E479" i="3"/>
  <c r="A479" i="3"/>
  <c r="M478" i="3"/>
  <c r="L478" i="3"/>
  <c r="K478" i="3"/>
  <c r="I478" i="3"/>
  <c r="H478" i="3"/>
  <c r="G478" i="3"/>
  <c r="F478" i="3"/>
  <c r="E478" i="3"/>
  <c r="A478" i="3"/>
  <c r="M477" i="3"/>
  <c r="L477" i="3"/>
  <c r="K477" i="3"/>
  <c r="G477" i="3"/>
  <c r="E477" i="3"/>
  <c r="A477" i="3"/>
  <c r="M476" i="3"/>
  <c r="L476" i="3"/>
  <c r="K476" i="3"/>
  <c r="I476" i="3"/>
  <c r="H476" i="3"/>
  <c r="G476" i="3"/>
  <c r="F476" i="3"/>
  <c r="E476" i="3"/>
  <c r="A476" i="3"/>
  <c r="M475" i="3"/>
  <c r="L475" i="3"/>
  <c r="K475" i="3"/>
  <c r="G475" i="3"/>
  <c r="E475" i="3"/>
  <c r="B475" i="3"/>
  <c r="A475" i="3"/>
  <c r="M474" i="3"/>
  <c r="L474" i="3"/>
  <c r="K474" i="3"/>
  <c r="G474" i="3"/>
  <c r="E474" i="3"/>
  <c r="B474" i="3"/>
  <c r="A474" i="3"/>
  <c r="M473" i="3"/>
  <c r="L473" i="3"/>
  <c r="K473" i="3"/>
  <c r="G473" i="3"/>
  <c r="E473" i="3"/>
  <c r="B473" i="3"/>
  <c r="A473" i="3"/>
  <c r="M472" i="3"/>
  <c r="L472" i="3"/>
  <c r="K472" i="3"/>
  <c r="G472" i="3"/>
  <c r="E472" i="3"/>
  <c r="B472" i="3"/>
  <c r="A472" i="3"/>
  <c r="M471" i="3"/>
  <c r="L471" i="3"/>
  <c r="K471" i="3"/>
  <c r="G471" i="3"/>
  <c r="E471" i="3"/>
  <c r="B471" i="3"/>
  <c r="A471" i="3"/>
  <c r="M470" i="3"/>
  <c r="L470" i="3"/>
  <c r="K470" i="3"/>
  <c r="G470" i="3"/>
  <c r="E470" i="3"/>
  <c r="B470" i="3"/>
  <c r="A470" i="3"/>
  <c r="M469" i="3"/>
  <c r="L469" i="3"/>
  <c r="K469" i="3"/>
  <c r="G469" i="3"/>
  <c r="E469" i="3"/>
  <c r="B469" i="3"/>
  <c r="A469" i="3"/>
  <c r="M468" i="3"/>
  <c r="L468" i="3"/>
  <c r="K468" i="3"/>
  <c r="G468" i="3"/>
  <c r="E468" i="3"/>
  <c r="B468" i="3"/>
  <c r="A468" i="3"/>
  <c r="M467" i="3"/>
  <c r="L467" i="3"/>
  <c r="K467" i="3"/>
  <c r="G467" i="3"/>
  <c r="E467" i="3"/>
  <c r="B467" i="3"/>
  <c r="A467" i="3"/>
  <c r="M466" i="3"/>
  <c r="L466" i="3"/>
  <c r="K466" i="3"/>
  <c r="G466" i="3"/>
  <c r="E466" i="3"/>
  <c r="B466" i="3"/>
  <c r="A466" i="3"/>
  <c r="M465" i="3"/>
  <c r="L465" i="3"/>
  <c r="K465" i="3"/>
  <c r="G465" i="3"/>
  <c r="E465" i="3"/>
  <c r="B465" i="3"/>
  <c r="A465" i="3"/>
  <c r="M464" i="3"/>
  <c r="L464" i="3"/>
  <c r="K464" i="3"/>
  <c r="G464" i="3"/>
  <c r="E464" i="3"/>
  <c r="B464" i="3"/>
  <c r="A464" i="3"/>
  <c r="M463" i="3"/>
  <c r="L463" i="3"/>
  <c r="K463" i="3"/>
  <c r="G463" i="3"/>
  <c r="E463" i="3"/>
  <c r="B463" i="3"/>
  <c r="A463" i="3"/>
  <c r="M462" i="3"/>
  <c r="L462" i="3"/>
  <c r="K462" i="3"/>
  <c r="G462" i="3"/>
  <c r="E462" i="3"/>
  <c r="B462" i="3"/>
  <c r="A462" i="3"/>
  <c r="M461" i="3"/>
  <c r="L461" i="3"/>
  <c r="K461" i="3"/>
  <c r="G461" i="3"/>
  <c r="E461" i="3"/>
  <c r="B461" i="3"/>
  <c r="A461" i="3"/>
  <c r="M460" i="3"/>
  <c r="L460" i="3"/>
  <c r="K460" i="3"/>
  <c r="G460" i="3"/>
  <c r="E460" i="3"/>
  <c r="B460" i="3"/>
  <c r="A460" i="3"/>
  <c r="M459" i="3"/>
  <c r="L459" i="3"/>
  <c r="K459" i="3"/>
  <c r="G459" i="3"/>
  <c r="E459" i="3"/>
  <c r="B459" i="3"/>
  <c r="A459" i="3"/>
  <c r="M458" i="3"/>
  <c r="L458" i="3"/>
  <c r="K458" i="3"/>
  <c r="G458" i="3"/>
  <c r="E458" i="3"/>
  <c r="B458" i="3"/>
  <c r="A458" i="3"/>
  <c r="M457" i="3"/>
  <c r="L457" i="3"/>
  <c r="K457" i="3"/>
  <c r="G457" i="3"/>
  <c r="E457" i="3"/>
  <c r="B457" i="3"/>
  <c r="A457" i="3"/>
  <c r="M456" i="3"/>
  <c r="L456" i="3"/>
  <c r="K456" i="3"/>
  <c r="G456" i="3"/>
  <c r="E456" i="3"/>
  <c r="B456" i="3"/>
  <c r="A456" i="3"/>
  <c r="M455" i="3"/>
  <c r="L455" i="3"/>
  <c r="K455" i="3"/>
  <c r="G455" i="3"/>
  <c r="E455" i="3"/>
  <c r="B455" i="3"/>
  <c r="A455" i="3"/>
  <c r="M454" i="3"/>
  <c r="L454" i="3"/>
  <c r="K454" i="3"/>
  <c r="G454" i="3"/>
  <c r="E454" i="3"/>
  <c r="B454" i="3"/>
  <c r="A454" i="3"/>
  <c r="M453" i="3"/>
  <c r="L453" i="3"/>
  <c r="K453" i="3"/>
  <c r="G453" i="3"/>
  <c r="E453" i="3"/>
  <c r="B453" i="3"/>
  <c r="A453" i="3"/>
  <c r="M452" i="3"/>
  <c r="L452" i="3"/>
  <c r="K452" i="3"/>
  <c r="G452" i="3"/>
  <c r="E452" i="3"/>
  <c r="B452" i="3"/>
  <c r="A452" i="3"/>
  <c r="M451" i="3"/>
  <c r="L451" i="3"/>
  <c r="K451" i="3"/>
  <c r="G451" i="3"/>
  <c r="E451" i="3"/>
  <c r="B451" i="3"/>
  <c r="A451" i="3"/>
  <c r="M450" i="3"/>
  <c r="L450" i="3"/>
  <c r="K450" i="3"/>
  <c r="G450" i="3"/>
  <c r="E450" i="3"/>
  <c r="B450" i="3"/>
  <c r="A450" i="3"/>
  <c r="M449" i="3"/>
  <c r="L449" i="3"/>
  <c r="K449" i="3"/>
  <c r="G449" i="3"/>
  <c r="E449" i="3"/>
  <c r="B449" i="3"/>
  <c r="A449" i="3"/>
  <c r="M448" i="3"/>
  <c r="L448" i="3"/>
  <c r="K448" i="3"/>
  <c r="I448" i="3"/>
  <c r="H448" i="3"/>
  <c r="G448" i="3"/>
  <c r="F448" i="3"/>
  <c r="E448" i="3"/>
  <c r="A448" i="3"/>
  <c r="M447" i="3"/>
  <c r="L447" i="3"/>
  <c r="K447" i="3"/>
  <c r="J447" i="3"/>
  <c r="G447" i="3"/>
  <c r="F447" i="3"/>
  <c r="E447" i="3"/>
  <c r="A447" i="3"/>
  <c r="M446" i="3"/>
  <c r="L446" i="3"/>
  <c r="K446" i="3"/>
  <c r="J446" i="3"/>
  <c r="G446" i="3"/>
  <c r="E446" i="3"/>
  <c r="A446" i="3"/>
  <c r="M445" i="3"/>
  <c r="L445" i="3"/>
  <c r="K445" i="3"/>
  <c r="G445" i="3"/>
  <c r="E445" i="3"/>
  <c r="A445" i="3"/>
  <c r="M444" i="3"/>
  <c r="L444" i="3"/>
  <c r="K444" i="3"/>
  <c r="G444" i="3"/>
  <c r="F444" i="3"/>
  <c r="E444" i="3"/>
  <c r="A444" i="3"/>
  <c r="M443" i="3"/>
  <c r="L443" i="3"/>
  <c r="K443" i="3"/>
  <c r="I443" i="3"/>
  <c r="H443" i="3"/>
  <c r="G443" i="3"/>
  <c r="F443" i="3"/>
  <c r="E443" i="3"/>
  <c r="A443" i="3"/>
  <c r="M442" i="3"/>
  <c r="L442" i="3"/>
  <c r="K442" i="3"/>
  <c r="J442" i="3"/>
  <c r="I442" i="3"/>
  <c r="H442" i="3"/>
  <c r="G442" i="3"/>
  <c r="F442" i="3"/>
  <c r="E442" i="3"/>
  <c r="A442" i="3"/>
  <c r="M441" i="3"/>
  <c r="L441" i="3"/>
  <c r="K441" i="3"/>
  <c r="I441" i="3"/>
  <c r="H441" i="3"/>
  <c r="G441" i="3"/>
  <c r="F441" i="3"/>
  <c r="E441" i="3"/>
  <c r="A441" i="3"/>
  <c r="M440" i="3"/>
  <c r="L440" i="3"/>
  <c r="K440" i="3"/>
  <c r="I440" i="3"/>
  <c r="H440" i="3"/>
  <c r="G440" i="3"/>
  <c r="F440" i="3"/>
  <c r="E440" i="3"/>
  <c r="A440" i="3"/>
  <c r="M439" i="3"/>
  <c r="L439" i="3"/>
  <c r="K439" i="3"/>
  <c r="I439" i="3"/>
  <c r="H439" i="3"/>
  <c r="G439" i="3"/>
  <c r="F439" i="3"/>
  <c r="E439" i="3"/>
  <c r="A439" i="3"/>
  <c r="M438" i="3"/>
  <c r="L438" i="3"/>
  <c r="K438" i="3"/>
  <c r="I438" i="3"/>
  <c r="H438" i="3"/>
  <c r="G438" i="3"/>
  <c r="F438" i="3"/>
  <c r="E438" i="3"/>
  <c r="A438" i="3"/>
  <c r="M437" i="3"/>
  <c r="L437" i="3"/>
  <c r="K437" i="3"/>
  <c r="J437" i="3"/>
  <c r="G437" i="3"/>
  <c r="E437" i="3"/>
  <c r="B437" i="3"/>
  <c r="A437" i="3"/>
  <c r="M436" i="3"/>
  <c r="L436" i="3"/>
  <c r="K436" i="3"/>
  <c r="J436" i="3"/>
  <c r="G436" i="3"/>
  <c r="E436" i="3"/>
  <c r="B436" i="3"/>
  <c r="A436" i="3"/>
  <c r="M435" i="3"/>
  <c r="L435" i="3"/>
  <c r="K435" i="3"/>
  <c r="J435" i="3"/>
  <c r="G435" i="3"/>
  <c r="E435" i="3"/>
  <c r="B435" i="3"/>
  <c r="A435" i="3"/>
  <c r="M434" i="3"/>
  <c r="L434" i="3"/>
  <c r="K434" i="3"/>
  <c r="G434" i="3"/>
  <c r="E434" i="3"/>
  <c r="A434" i="3"/>
  <c r="M433" i="3"/>
  <c r="L433" i="3"/>
  <c r="K433" i="3"/>
  <c r="J433" i="3"/>
  <c r="G433" i="3"/>
  <c r="E433" i="3"/>
  <c r="A433" i="3"/>
  <c r="M432" i="3"/>
  <c r="L432" i="3"/>
  <c r="K432" i="3"/>
  <c r="J432" i="3"/>
  <c r="I432" i="3"/>
  <c r="H432" i="3"/>
  <c r="G432" i="3"/>
  <c r="F432" i="3"/>
  <c r="E432" i="3"/>
  <c r="A432" i="3"/>
  <c r="M431" i="3"/>
  <c r="L431" i="3"/>
  <c r="J431" i="3"/>
  <c r="G431" i="3"/>
  <c r="E431" i="3"/>
  <c r="A431" i="3"/>
  <c r="M430" i="3"/>
  <c r="L430" i="3"/>
  <c r="J430" i="3"/>
  <c r="G430" i="3"/>
  <c r="F430" i="3"/>
  <c r="E430" i="3"/>
  <c r="A430" i="3"/>
  <c r="M429" i="3"/>
  <c r="L429" i="3"/>
  <c r="J429" i="3"/>
  <c r="G429" i="3"/>
  <c r="E429" i="3"/>
  <c r="A429" i="3"/>
  <c r="M428" i="3"/>
  <c r="L428" i="3"/>
  <c r="J428" i="3"/>
  <c r="G428" i="3"/>
  <c r="E428" i="3"/>
  <c r="A428" i="3"/>
  <c r="M427" i="3"/>
  <c r="L427" i="3"/>
  <c r="J427" i="3"/>
  <c r="G427" i="3"/>
  <c r="E427" i="3"/>
  <c r="A427" i="3"/>
  <c r="M426" i="3"/>
  <c r="L426" i="3"/>
  <c r="J426" i="3"/>
  <c r="G426" i="3"/>
  <c r="F426" i="3"/>
  <c r="E426" i="3"/>
  <c r="A426" i="3"/>
  <c r="M425" i="3"/>
  <c r="L425" i="3"/>
  <c r="J425" i="3"/>
  <c r="G425" i="3"/>
  <c r="E425" i="3"/>
  <c r="A425" i="3"/>
  <c r="M424" i="3"/>
  <c r="L424" i="3"/>
  <c r="J424" i="3"/>
  <c r="G424" i="3"/>
  <c r="F424" i="3"/>
  <c r="E424" i="3"/>
  <c r="A424" i="3"/>
  <c r="M423" i="3"/>
  <c r="L423" i="3"/>
  <c r="J423" i="3"/>
  <c r="I423" i="3"/>
  <c r="H423" i="3"/>
  <c r="G423" i="3"/>
  <c r="F423" i="3"/>
  <c r="E423" i="3"/>
  <c r="A423" i="3"/>
  <c r="M422" i="3"/>
  <c r="L422" i="3"/>
  <c r="J422" i="3"/>
  <c r="I422" i="3"/>
  <c r="H422" i="3"/>
  <c r="G422" i="3"/>
  <c r="F422" i="3"/>
  <c r="E422" i="3"/>
  <c r="A422" i="3"/>
  <c r="M421" i="3"/>
  <c r="L421" i="3"/>
  <c r="J421" i="3"/>
  <c r="I421" i="3"/>
  <c r="H421" i="3"/>
  <c r="G421" i="3"/>
  <c r="F421" i="3"/>
  <c r="E421" i="3"/>
  <c r="A421" i="3"/>
  <c r="M420" i="3"/>
  <c r="L420" i="3"/>
  <c r="I420" i="3"/>
  <c r="H420" i="3"/>
  <c r="G420" i="3"/>
  <c r="F420" i="3"/>
  <c r="E420" i="3"/>
  <c r="A420" i="3"/>
  <c r="M419" i="3"/>
  <c r="L419" i="3"/>
  <c r="J419" i="3"/>
  <c r="G419" i="3"/>
  <c r="F419" i="3"/>
  <c r="E419" i="3"/>
  <c r="A419" i="3"/>
  <c r="M418" i="3"/>
  <c r="L418" i="3"/>
  <c r="J418" i="3"/>
  <c r="G418" i="3"/>
  <c r="E418" i="3"/>
  <c r="A418" i="3"/>
  <c r="M417" i="3"/>
  <c r="L417" i="3"/>
  <c r="J417" i="3"/>
  <c r="G417" i="3"/>
  <c r="E417" i="3"/>
  <c r="A417" i="3"/>
  <c r="M416" i="3"/>
  <c r="L416" i="3"/>
  <c r="J416" i="3"/>
  <c r="G416" i="3"/>
  <c r="E416" i="3"/>
  <c r="A416" i="3"/>
  <c r="M415" i="3"/>
  <c r="L415" i="3"/>
  <c r="J415" i="3"/>
  <c r="G415" i="3"/>
  <c r="E415" i="3"/>
  <c r="A415" i="3"/>
  <c r="M414" i="3"/>
  <c r="L414" i="3"/>
  <c r="J414" i="3"/>
  <c r="I414" i="3"/>
  <c r="H414" i="3"/>
  <c r="G414" i="3"/>
  <c r="F414" i="3"/>
  <c r="E414" i="3"/>
  <c r="B414" i="3"/>
  <c r="A414" i="3"/>
  <c r="M413" i="3"/>
  <c r="L413" i="3"/>
  <c r="J413" i="3"/>
  <c r="I413" i="3"/>
  <c r="H413" i="3"/>
  <c r="G413" i="3"/>
  <c r="F413" i="3"/>
  <c r="E413" i="3"/>
  <c r="B413" i="3"/>
  <c r="A413" i="3"/>
  <c r="M412" i="3"/>
  <c r="L412" i="3"/>
  <c r="J412" i="3"/>
  <c r="I412" i="3"/>
  <c r="H412" i="3"/>
  <c r="G412" i="3"/>
  <c r="F412" i="3"/>
  <c r="E412" i="3"/>
  <c r="B412" i="3"/>
  <c r="A412" i="3"/>
  <c r="M411" i="3"/>
  <c r="L411" i="3"/>
  <c r="J411" i="3"/>
  <c r="I411" i="3"/>
  <c r="H411" i="3"/>
  <c r="G411" i="3"/>
  <c r="F411" i="3"/>
  <c r="E411" i="3"/>
  <c r="B411" i="3"/>
  <c r="A411" i="3"/>
  <c r="M410" i="3"/>
  <c r="L410" i="3"/>
  <c r="J410" i="3"/>
  <c r="I410" i="3"/>
  <c r="H410" i="3"/>
  <c r="G410" i="3"/>
  <c r="F410" i="3"/>
  <c r="E410" i="3"/>
  <c r="B410" i="3"/>
  <c r="A410" i="3"/>
  <c r="M409" i="3"/>
  <c r="L409" i="3"/>
  <c r="J409" i="3"/>
  <c r="I409" i="3"/>
  <c r="H409" i="3"/>
  <c r="G409" i="3"/>
  <c r="F409" i="3"/>
  <c r="E409" i="3"/>
  <c r="B409" i="3"/>
  <c r="A409" i="3"/>
  <c r="M408" i="3"/>
  <c r="L408" i="3"/>
  <c r="J408" i="3"/>
  <c r="I408" i="3"/>
  <c r="H408" i="3"/>
  <c r="G408" i="3"/>
  <c r="F408" i="3"/>
  <c r="E408" i="3"/>
  <c r="B408" i="3"/>
  <c r="A408" i="3"/>
  <c r="M407" i="3"/>
  <c r="L407" i="3"/>
  <c r="J407" i="3"/>
  <c r="I407" i="3"/>
  <c r="H407" i="3"/>
  <c r="G407" i="3"/>
  <c r="F407" i="3"/>
  <c r="E407" i="3"/>
  <c r="B407" i="3"/>
  <c r="A407" i="3"/>
  <c r="M406" i="3"/>
  <c r="L406" i="3"/>
  <c r="J406" i="3"/>
  <c r="I406" i="3"/>
  <c r="H406" i="3"/>
  <c r="G406" i="3"/>
  <c r="F406" i="3"/>
  <c r="E406" i="3"/>
  <c r="B406" i="3"/>
  <c r="A406" i="3"/>
  <c r="M405" i="3"/>
  <c r="L405" i="3"/>
  <c r="J405" i="3"/>
  <c r="I405" i="3"/>
  <c r="H405" i="3"/>
  <c r="G405" i="3"/>
  <c r="F405" i="3"/>
  <c r="E405" i="3"/>
  <c r="B405" i="3"/>
  <c r="A405" i="3"/>
  <c r="M404" i="3"/>
  <c r="L404" i="3"/>
  <c r="J404" i="3"/>
  <c r="I404" i="3"/>
  <c r="H404" i="3"/>
  <c r="G404" i="3"/>
  <c r="F404" i="3"/>
  <c r="E404" i="3"/>
  <c r="B404" i="3"/>
  <c r="A404" i="3"/>
  <c r="M403" i="3"/>
  <c r="L403" i="3"/>
  <c r="J403" i="3"/>
  <c r="I403" i="3"/>
  <c r="H403" i="3"/>
  <c r="G403" i="3"/>
  <c r="F403" i="3"/>
  <c r="E403" i="3"/>
  <c r="B403" i="3"/>
  <c r="A403" i="3"/>
  <c r="M402" i="3"/>
  <c r="L402" i="3"/>
  <c r="J402" i="3"/>
  <c r="I402" i="3"/>
  <c r="H402" i="3"/>
  <c r="G402" i="3"/>
  <c r="F402" i="3"/>
  <c r="E402" i="3"/>
  <c r="B402" i="3"/>
  <c r="A402" i="3"/>
  <c r="M401" i="3"/>
  <c r="L401" i="3"/>
  <c r="J401" i="3"/>
  <c r="I401" i="3"/>
  <c r="H401" i="3"/>
  <c r="G401" i="3"/>
  <c r="F401" i="3"/>
  <c r="E401" i="3"/>
  <c r="B401" i="3"/>
  <c r="A401" i="3"/>
  <c r="M400" i="3"/>
  <c r="L400" i="3"/>
  <c r="J400" i="3"/>
  <c r="I400" i="3"/>
  <c r="H400" i="3"/>
  <c r="G400" i="3"/>
  <c r="F400" i="3"/>
  <c r="E400" i="3"/>
  <c r="B400" i="3"/>
  <c r="A400" i="3"/>
  <c r="M399" i="3"/>
  <c r="L399" i="3"/>
  <c r="J399" i="3"/>
  <c r="I399" i="3"/>
  <c r="H399" i="3"/>
  <c r="G399" i="3"/>
  <c r="F399" i="3"/>
  <c r="E399" i="3"/>
  <c r="B399" i="3"/>
  <c r="A399" i="3"/>
  <c r="M398" i="3"/>
  <c r="L398" i="3"/>
  <c r="J398" i="3"/>
  <c r="I398" i="3"/>
  <c r="H398" i="3"/>
  <c r="G398" i="3"/>
  <c r="F398" i="3"/>
  <c r="E398" i="3"/>
  <c r="B398" i="3"/>
  <c r="A398" i="3"/>
  <c r="M397" i="3"/>
  <c r="L397" i="3"/>
  <c r="J397" i="3"/>
  <c r="I397" i="3"/>
  <c r="H397" i="3"/>
  <c r="G397" i="3"/>
  <c r="F397" i="3"/>
  <c r="E397" i="3"/>
  <c r="B397" i="3"/>
  <c r="A397" i="3"/>
  <c r="M396" i="3"/>
  <c r="L396" i="3"/>
  <c r="J396" i="3"/>
  <c r="I396" i="3"/>
  <c r="H396" i="3"/>
  <c r="G396" i="3"/>
  <c r="F396" i="3"/>
  <c r="E396" i="3"/>
  <c r="B396" i="3"/>
  <c r="A396" i="3"/>
  <c r="M395" i="3"/>
  <c r="L395" i="3"/>
  <c r="J395" i="3"/>
  <c r="I395" i="3"/>
  <c r="H395" i="3"/>
  <c r="G395" i="3"/>
  <c r="F395" i="3"/>
  <c r="E395" i="3"/>
  <c r="B395" i="3"/>
  <c r="A395" i="3"/>
  <c r="M394" i="3"/>
  <c r="L394" i="3"/>
  <c r="J394" i="3"/>
  <c r="I394" i="3"/>
  <c r="H394" i="3"/>
  <c r="G394" i="3"/>
  <c r="F394" i="3"/>
  <c r="E394" i="3"/>
  <c r="B394" i="3"/>
  <c r="A394" i="3"/>
  <c r="M393" i="3"/>
  <c r="L393" i="3"/>
  <c r="J393" i="3"/>
  <c r="G393" i="3"/>
  <c r="E393" i="3"/>
  <c r="A393" i="3"/>
  <c r="M392" i="3"/>
  <c r="L392" i="3"/>
  <c r="J392" i="3"/>
  <c r="G392" i="3"/>
  <c r="E392" i="3"/>
  <c r="A392" i="3"/>
  <c r="M391" i="3"/>
  <c r="L391" i="3"/>
  <c r="K391" i="3"/>
  <c r="J391" i="3"/>
  <c r="G391" i="3"/>
  <c r="E391" i="3"/>
  <c r="A391" i="3"/>
  <c r="M390" i="3"/>
  <c r="L390" i="3"/>
  <c r="J390" i="3"/>
  <c r="G390" i="3"/>
  <c r="E390" i="3"/>
  <c r="A390" i="3"/>
  <c r="M389" i="3"/>
  <c r="L389" i="3"/>
  <c r="J389" i="3"/>
  <c r="I389" i="3"/>
  <c r="H389" i="3"/>
  <c r="G389" i="3"/>
  <c r="F389" i="3"/>
  <c r="E389" i="3"/>
  <c r="A389" i="3"/>
  <c r="M388" i="3"/>
  <c r="L388" i="3"/>
  <c r="J388" i="3"/>
  <c r="I388" i="3"/>
  <c r="H388" i="3"/>
  <c r="G388" i="3"/>
  <c r="F388" i="3"/>
  <c r="E388" i="3"/>
  <c r="A388" i="3"/>
  <c r="M387" i="3"/>
  <c r="L387" i="3"/>
  <c r="J387" i="3"/>
  <c r="I387" i="3"/>
  <c r="H387" i="3"/>
  <c r="G387" i="3"/>
  <c r="F387" i="3"/>
  <c r="E387" i="3"/>
  <c r="A387" i="3"/>
  <c r="M386" i="3"/>
  <c r="L386" i="3"/>
  <c r="J386" i="3"/>
  <c r="I386" i="3"/>
  <c r="H386" i="3"/>
  <c r="G386" i="3"/>
  <c r="F386" i="3"/>
  <c r="E386" i="3"/>
  <c r="A386" i="3"/>
  <c r="M385" i="3"/>
  <c r="L385" i="3"/>
  <c r="J385" i="3"/>
  <c r="I385" i="3"/>
  <c r="H385" i="3"/>
  <c r="G385" i="3"/>
  <c r="F385" i="3"/>
  <c r="E385" i="3"/>
  <c r="A385" i="3"/>
  <c r="M384" i="3"/>
  <c r="L384" i="3"/>
  <c r="J384" i="3"/>
  <c r="I384" i="3"/>
  <c r="H384" i="3"/>
  <c r="G384" i="3"/>
  <c r="F384" i="3"/>
  <c r="E384" i="3"/>
  <c r="A384" i="3"/>
  <c r="M383" i="3"/>
  <c r="L383" i="3"/>
  <c r="J383" i="3"/>
  <c r="I383" i="3"/>
  <c r="H383" i="3"/>
  <c r="G383" i="3"/>
  <c r="F383" i="3"/>
  <c r="E383" i="3"/>
  <c r="B383" i="3"/>
  <c r="A383" i="3"/>
  <c r="M382" i="3"/>
  <c r="L382" i="3"/>
  <c r="J382" i="3"/>
  <c r="I382" i="3"/>
  <c r="H382" i="3"/>
  <c r="G382" i="3"/>
  <c r="F382" i="3"/>
  <c r="E382" i="3"/>
  <c r="B382" i="3"/>
  <c r="A382" i="3"/>
  <c r="M381" i="3"/>
  <c r="L381" i="3"/>
  <c r="J381" i="3"/>
  <c r="I381" i="3"/>
  <c r="H381" i="3"/>
  <c r="G381" i="3"/>
  <c r="F381" i="3"/>
  <c r="E381" i="3"/>
  <c r="B381" i="3"/>
  <c r="A381" i="3"/>
  <c r="M380" i="3"/>
  <c r="L380" i="3"/>
  <c r="J380" i="3"/>
  <c r="I380" i="3"/>
  <c r="H380" i="3"/>
  <c r="G380" i="3"/>
  <c r="F380" i="3"/>
  <c r="E380" i="3"/>
  <c r="B380" i="3"/>
  <c r="A380" i="3"/>
  <c r="M379" i="3"/>
  <c r="L379" i="3"/>
  <c r="J379" i="3"/>
  <c r="I379" i="3"/>
  <c r="H379" i="3"/>
  <c r="G379" i="3"/>
  <c r="F379" i="3"/>
  <c r="E379" i="3"/>
  <c r="B379" i="3"/>
  <c r="A379" i="3"/>
  <c r="M378" i="3"/>
  <c r="L378" i="3"/>
  <c r="J378" i="3"/>
  <c r="I378" i="3"/>
  <c r="H378" i="3"/>
  <c r="G378" i="3"/>
  <c r="F378" i="3"/>
  <c r="E378" i="3"/>
  <c r="B378" i="3"/>
  <c r="A378" i="3"/>
  <c r="M377" i="3"/>
  <c r="L377" i="3"/>
  <c r="K377" i="3"/>
  <c r="J377" i="3"/>
  <c r="I377" i="3"/>
  <c r="H377" i="3"/>
  <c r="G377" i="3"/>
  <c r="F377" i="3"/>
  <c r="E377" i="3"/>
  <c r="A377" i="3"/>
  <c r="M376" i="3"/>
  <c r="L376" i="3"/>
  <c r="K376" i="3"/>
  <c r="J376" i="3"/>
  <c r="I376" i="3"/>
  <c r="H376" i="3"/>
  <c r="G376" i="3"/>
  <c r="F376" i="3"/>
  <c r="E376" i="3"/>
  <c r="A376" i="3"/>
  <c r="M375" i="3"/>
  <c r="L375" i="3"/>
  <c r="J375" i="3"/>
  <c r="I375" i="3"/>
  <c r="H375" i="3"/>
  <c r="G375" i="3"/>
  <c r="F375" i="3"/>
  <c r="E375" i="3"/>
  <c r="A375" i="3"/>
  <c r="M374" i="3"/>
  <c r="L374" i="3"/>
  <c r="J374" i="3"/>
  <c r="I374" i="3"/>
  <c r="H374" i="3"/>
  <c r="G374" i="3"/>
  <c r="F374" i="3"/>
  <c r="E374" i="3"/>
  <c r="A374" i="3"/>
  <c r="M373" i="3"/>
  <c r="L373" i="3"/>
  <c r="J373" i="3"/>
  <c r="I373" i="3"/>
  <c r="H373" i="3"/>
  <c r="G373" i="3"/>
  <c r="F373" i="3"/>
  <c r="E373" i="3"/>
  <c r="A373" i="3"/>
  <c r="M372" i="3"/>
  <c r="L372" i="3"/>
  <c r="J372" i="3"/>
  <c r="I372" i="3"/>
  <c r="H372" i="3"/>
  <c r="G372" i="3"/>
  <c r="F372" i="3"/>
  <c r="E372" i="3"/>
  <c r="A372" i="3"/>
  <c r="M371" i="3"/>
  <c r="L371" i="3"/>
  <c r="J371" i="3"/>
  <c r="G371" i="3"/>
  <c r="F371" i="3"/>
  <c r="E371" i="3"/>
  <c r="A371" i="3"/>
  <c r="M370" i="3"/>
  <c r="L370" i="3"/>
  <c r="J370" i="3"/>
  <c r="G370" i="3"/>
  <c r="F370" i="3"/>
  <c r="E370" i="3"/>
  <c r="A370" i="3"/>
  <c r="M369" i="3"/>
  <c r="L369" i="3"/>
  <c r="J369" i="3"/>
  <c r="G369" i="3"/>
  <c r="F369" i="3"/>
  <c r="E369" i="3"/>
  <c r="A369" i="3"/>
  <c r="M368" i="3"/>
  <c r="L368" i="3"/>
  <c r="J368" i="3"/>
  <c r="G368" i="3"/>
  <c r="F368" i="3"/>
  <c r="E368" i="3"/>
  <c r="A368" i="3"/>
  <c r="M367" i="3"/>
  <c r="L367" i="3"/>
  <c r="K367" i="3"/>
  <c r="J367" i="3"/>
  <c r="G367" i="3"/>
  <c r="F367" i="3"/>
  <c r="E367" i="3"/>
  <c r="A367" i="3"/>
  <c r="M366" i="3"/>
  <c r="L366" i="3"/>
  <c r="K366" i="3"/>
  <c r="J366" i="3"/>
  <c r="G366" i="3"/>
  <c r="F366" i="3"/>
  <c r="E366" i="3"/>
  <c r="A366" i="3"/>
  <c r="M365" i="3"/>
  <c r="L365" i="3"/>
  <c r="K365" i="3"/>
  <c r="J365" i="3"/>
  <c r="G365" i="3"/>
  <c r="F365" i="3"/>
  <c r="E365" i="3"/>
  <c r="A365" i="3"/>
  <c r="M364" i="3"/>
  <c r="L364" i="3"/>
  <c r="K364" i="3"/>
  <c r="J364" i="3"/>
  <c r="G364" i="3"/>
  <c r="F364" i="3"/>
  <c r="E364" i="3"/>
  <c r="A364" i="3"/>
  <c r="M363" i="3"/>
  <c r="L363" i="3"/>
  <c r="K363" i="3"/>
  <c r="J363" i="3"/>
  <c r="G363" i="3"/>
  <c r="F363" i="3"/>
  <c r="E363" i="3"/>
  <c r="A363" i="3"/>
  <c r="M362" i="3"/>
  <c r="L362" i="3"/>
  <c r="K362" i="3"/>
  <c r="J362" i="3"/>
  <c r="G362" i="3"/>
  <c r="F362" i="3"/>
  <c r="E362" i="3"/>
  <c r="A362" i="3"/>
  <c r="M361" i="3"/>
  <c r="L361" i="3"/>
  <c r="K361" i="3"/>
  <c r="J361" i="3"/>
  <c r="G361" i="3"/>
  <c r="F361" i="3"/>
  <c r="E361" i="3"/>
  <c r="A361" i="3"/>
  <c r="M360" i="3"/>
  <c r="L360" i="3"/>
  <c r="K360" i="3"/>
  <c r="J360" i="3"/>
  <c r="G360" i="3"/>
  <c r="F360" i="3"/>
  <c r="E360" i="3"/>
  <c r="A360" i="3"/>
  <c r="M359" i="3"/>
  <c r="L359" i="3"/>
  <c r="K359" i="3"/>
  <c r="J359" i="3"/>
  <c r="F359" i="3"/>
  <c r="A359" i="3"/>
  <c r="M358" i="3"/>
  <c r="L358" i="3"/>
  <c r="K358" i="3"/>
  <c r="J358" i="3"/>
  <c r="F358" i="3"/>
  <c r="A358" i="3"/>
  <c r="M357" i="3"/>
  <c r="L357" i="3"/>
  <c r="K357" i="3"/>
  <c r="J357" i="3"/>
  <c r="F357" i="3"/>
  <c r="A357" i="3"/>
  <c r="M356" i="3"/>
  <c r="L356" i="3"/>
  <c r="K356" i="3"/>
  <c r="J356" i="3"/>
  <c r="G356" i="3"/>
  <c r="F356" i="3"/>
  <c r="E356" i="3"/>
  <c r="A356" i="3"/>
  <c r="M355" i="3"/>
  <c r="L355" i="3"/>
  <c r="K355" i="3"/>
  <c r="J355" i="3"/>
  <c r="G355" i="3"/>
  <c r="F355" i="3"/>
  <c r="E355" i="3"/>
  <c r="A355" i="3"/>
  <c r="M354" i="3"/>
  <c r="L354" i="3"/>
  <c r="K354" i="3"/>
  <c r="J354" i="3"/>
  <c r="G354" i="3"/>
  <c r="F354" i="3"/>
  <c r="E354" i="3"/>
  <c r="A354" i="3"/>
  <c r="M353" i="3"/>
  <c r="L353" i="3"/>
  <c r="K353" i="3"/>
  <c r="J353" i="3"/>
  <c r="G353" i="3"/>
  <c r="F353" i="3"/>
  <c r="E353" i="3"/>
  <c r="A353" i="3"/>
  <c r="M352" i="3"/>
  <c r="L352" i="3"/>
  <c r="K352" i="3"/>
  <c r="J352" i="3"/>
  <c r="G352" i="3"/>
  <c r="F352" i="3"/>
  <c r="E352" i="3"/>
  <c r="A352" i="3"/>
  <c r="M351" i="3"/>
  <c r="L351" i="3"/>
  <c r="K351" i="3"/>
  <c r="J351" i="3"/>
  <c r="G351" i="3"/>
  <c r="F351" i="3"/>
  <c r="E351" i="3"/>
  <c r="A351" i="3"/>
  <c r="M350" i="3"/>
  <c r="L350" i="3"/>
  <c r="K350" i="3"/>
  <c r="J350" i="3"/>
  <c r="F350" i="3"/>
  <c r="A350" i="3"/>
  <c r="M349" i="3"/>
  <c r="L349" i="3"/>
  <c r="K349" i="3"/>
  <c r="J349" i="3"/>
  <c r="F349" i="3"/>
  <c r="A349" i="3"/>
  <c r="M348" i="3"/>
  <c r="L348" i="3"/>
  <c r="K348" i="3"/>
  <c r="J348" i="3"/>
  <c r="F348" i="3"/>
  <c r="A348" i="3"/>
  <c r="M347" i="3"/>
  <c r="L347" i="3"/>
  <c r="K347" i="3"/>
  <c r="J347" i="3"/>
  <c r="G347" i="3"/>
  <c r="F347" i="3"/>
  <c r="E347" i="3"/>
  <c r="A347" i="3"/>
  <c r="M346" i="3"/>
  <c r="L346" i="3"/>
  <c r="K346" i="3"/>
  <c r="J346" i="3"/>
  <c r="G346" i="3"/>
  <c r="F346" i="3"/>
  <c r="E346" i="3"/>
  <c r="A346" i="3"/>
  <c r="M345" i="3"/>
  <c r="L345" i="3"/>
  <c r="K345" i="3"/>
  <c r="J345" i="3"/>
  <c r="G345" i="3"/>
  <c r="F345" i="3"/>
  <c r="E345" i="3"/>
  <c r="A345" i="3"/>
  <c r="M344" i="3"/>
  <c r="L344" i="3"/>
  <c r="K344" i="3"/>
  <c r="J344" i="3"/>
  <c r="G344" i="3"/>
  <c r="F344" i="3"/>
  <c r="E344" i="3"/>
  <c r="A344" i="3"/>
  <c r="M343" i="3"/>
  <c r="L343" i="3"/>
  <c r="K343" i="3"/>
  <c r="J343" i="3"/>
  <c r="G343" i="3"/>
  <c r="F343" i="3"/>
  <c r="E343" i="3"/>
  <c r="A343" i="3"/>
  <c r="M342" i="3"/>
  <c r="L342" i="3"/>
  <c r="K342" i="3"/>
  <c r="J342" i="3"/>
  <c r="G342" i="3"/>
  <c r="F342" i="3"/>
  <c r="E342" i="3"/>
  <c r="A342" i="3"/>
  <c r="M341" i="3"/>
  <c r="L341" i="3"/>
  <c r="K341" i="3"/>
  <c r="J341" i="3"/>
  <c r="G341" i="3"/>
  <c r="F341" i="3"/>
  <c r="E341" i="3"/>
  <c r="A341" i="3"/>
  <c r="M340" i="3"/>
  <c r="L340" i="3"/>
  <c r="K340" i="3"/>
  <c r="J340" i="3"/>
  <c r="G340" i="3"/>
  <c r="F340" i="3"/>
  <c r="E340" i="3"/>
  <c r="A340" i="3"/>
  <c r="M339" i="3"/>
  <c r="L339" i="3"/>
  <c r="K339" i="3"/>
  <c r="J339" i="3"/>
  <c r="G339" i="3"/>
  <c r="F339" i="3"/>
  <c r="E339" i="3"/>
  <c r="A339" i="3"/>
  <c r="M338" i="3"/>
  <c r="L338" i="3"/>
  <c r="J338" i="3"/>
  <c r="G338" i="3"/>
  <c r="F338" i="3"/>
  <c r="E338" i="3"/>
  <c r="A338" i="3"/>
  <c r="M337" i="3"/>
  <c r="L337" i="3"/>
  <c r="J337" i="3"/>
  <c r="G337" i="3"/>
  <c r="F337" i="3"/>
  <c r="E337" i="3"/>
  <c r="A337" i="3"/>
  <c r="M336" i="3"/>
  <c r="L336" i="3"/>
  <c r="J336" i="3"/>
  <c r="G336" i="3"/>
  <c r="F336" i="3"/>
  <c r="E336" i="3"/>
  <c r="A336" i="3"/>
  <c r="M335" i="3"/>
  <c r="L335" i="3"/>
  <c r="J335" i="3"/>
  <c r="G335" i="3"/>
  <c r="F335" i="3"/>
  <c r="E335" i="3"/>
  <c r="A335" i="3"/>
  <c r="M334" i="3"/>
  <c r="L334" i="3"/>
  <c r="J334" i="3"/>
  <c r="G334" i="3"/>
  <c r="F334" i="3"/>
  <c r="E334" i="3"/>
  <c r="A334" i="3"/>
  <c r="M333" i="3"/>
  <c r="L333" i="3"/>
  <c r="J333" i="3"/>
  <c r="G333" i="3"/>
  <c r="F333" i="3"/>
  <c r="E333" i="3"/>
  <c r="A333" i="3"/>
  <c r="M332" i="3"/>
  <c r="L332" i="3"/>
  <c r="J332" i="3"/>
  <c r="G332" i="3"/>
  <c r="F332" i="3"/>
  <c r="E332" i="3"/>
  <c r="A332" i="3"/>
  <c r="M331" i="3"/>
  <c r="L331" i="3"/>
  <c r="J331" i="3"/>
  <c r="G331" i="3"/>
  <c r="F331" i="3"/>
  <c r="E331" i="3"/>
  <c r="A331" i="3"/>
  <c r="M330" i="3"/>
  <c r="L330" i="3"/>
  <c r="J330" i="3"/>
  <c r="G330" i="3"/>
  <c r="F330" i="3"/>
  <c r="E330" i="3"/>
  <c r="A330" i="3"/>
  <c r="M329" i="3"/>
  <c r="L329" i="3"/>
  <c r="J329" i="3"/>
  <c r="G329" i="3"/>
  <c r="F329" i="3"/>
  <c r="E329" i="3"/>
  <c r="A329" i="3"/>
  <c r="M328" i="3"/>
  <c r="L328" i="3"/>
  <c r="J328" i="3"/>
  <c r="G328" i="3"/>
  <c r="F328" i="3"/>
  <c r="E328" i="3"/>
  <c r="A328" i="3"/>
  <c r="M327" i="3"/>
  <c r="L327" i="3"/>
  <c r="J327" i="3"/>
  <c r="G327" i="3"/>
  <c r="F327" i="3"/>
  <c r="E327" i="3"/>
  <c r="A327" i="3"/>
  <c r="M326" i="3"/>
  <c r="L326" i="3"/>
  <c r="J326" i="3"/>
  <c r="G326" i="3"/>
  <c r="F326" i="3"/>
  <c r="E326" i="3"/>
  <c r="A326" i="3"/>
  <c r="M325" i="3"/>
  <c r="L325" i="3"/>
  <c r="J325" i="3"/>
  <c r="G325" i="3"/>
  <c r="F325" i="3"/>
  <c r="E325" i="3"/>
  <c r="A325" i="3"/>
  <c r="M324" i="3"/>
  <c r="L324" i="3"/>
  <c r="J324" i="3"/>
  <c r="G324" i="3"/>
  <c r="F324" i="3"/>
  <c r="E324" i="3"/>
  <c r="A324" i="3"/>
  <c r="M323" i="3"/>
  <c r="L323" i="3"/>
  <c r="J323" i="3"/>
  <c r="G323" i="3"/>
  <c r="F323" i="3"/>
  <c r="E323" i="3"/>
  <c r="A323" i="3"/>
  <c r="M322" i="3"/>
  <c r="L322" i="3"/>
  <c r="J322" i="3"/>
  <c r="G322" i="3"/>
  <c r="F322" i="3"/>
  <c r="E322" i="3"/>
  <c r="A322" i="3"/>
  <c r="M321" i="3"/>
  <c r="L321" i="3"/>
  <c r="J321" i="3"/>
  <c r="I321" i="3"/>
  <c r="H321" i="3"/>
  <c r="G321" i="3"/>
  <c r="F321" i="3"/>
  <c r="E321" i="3"/>
  <c r="A321" i="3"/>
  <c r="M320" i="3"/>
  <c r="L320" i="3"/>
  <c r="J320" i="3"/>
  <c r="I320" i="3"/>
  <c r="H320" i="3"/>
  <c r="G320" i="3"/>
  <c r="F320" i="3"/>
  <c r="E320" i="3"/>
  <c r="A320" i="3"/>
  <c r="M319" i="3"/>
  <c r="L319" i="3"/>
  <c r="J319" i="3"/>
  <c r="I319" i="3"/>
  <c r="H319" i="3"/>
  <c r="G319" i="3"/>
  <c r="F319" i="3"/>
  <c r="E319" i="3"/>
  <c r="A319" i="3"/>
  <c r="M318" i="3"/>
  <c r="L318" i="3"/>
  <c r="J318" i="3"/>
  <c r="I318" i="3"/>
  <c r="H318" i="3"/>
  <c r="G318" i="3"/>
  <c r="F318" i="3"/>
  <c r="E318" i="3"/>
  <c r="A318" i="3"/>
  <c r="M317" i="3"/>
  <c r="L317" i="3"/>
  <c r="J317" i="3"/>
  <c r="I317" i="3"/>
  <c r="H317" i="3"/>
  <c r="G317" i="3"/>
  <c r="F317" i="3"/>
  <c r="E317" i="3"/>
  <c r="A317" i="3"/>
  <c r="M316" i="3"/>
  <c r="L316" i="3"/>
  <c r="J316" i="3"/>
  <c r="I316" i="3"/>
  <c r="H316" i="3"/>
  <c r="G316" i="3"/>
  <c r="F316" i="3"/>
  <c r="E316" i="3"/>
  <c r="A316" i="3"/>
  <c r="M315" i="3"/>
  <c r="L315" i="3"/>
  <c r="J315" i="3"/>
  <c r="I315" i="3"/>
  <c r="H315" i="3"/>
  <c r="G315" i="3"/>
  <c r="F315" i="3"/>
  <c r="E315" i="3"/>
  <c r="A315" i="3"/>
  <c r="M314" i="3"/>
  <c r="L314" i="3"/>
  <c r="J314" i="3"/>
  <c r="I314" i="3"/>
  <c r="H314" i="3"/>
  <c r="G314" i="3"/>
  <c r="F314" i="3"/>
  <c r="E314" i="3"/>
  <c r="A314" i="3"/>
  <c r="M313" i="3"/>
  <c r="L313" i="3"/>
  <c r="J313" i="3"/>
  <c r="I313" i="3"/>
  <c r="H313" i="3"/>
  <c r="G313" i="3"/>
  <c r="F313" i="3"/>
  <c r="E313" i="3"/>
  <c r="A313" i="3"/>
  <c r="M312" i="3"/>
  <c r="L312" i="3"/>
  <c r="J312" i="3"/>
  <c r="I312" i="3"/>
  <c r="H312" i="3"/>
  <c r="G312" i="3"/>
  <c r="F312" i="3"/>
  <c r="E312" i="3"/>
  <c r="A312" i="3"/>
  <c r="M311" i="3"/>
  <c r="L311" i="3"/>
  <c r="J311" i="3"/>
  <c r="I311" i="3"/>
  <c r="H311" i="3"/>
  <c r="G311" i="3"/>
  <c r="F311" i="3"/>
  <c r="E311" i="3"/>
  <c r="A311" i="3"/>
  <c r="M310" i="3"/>
  <c r="L310" i="3"/>
  <c r="J310" i="3"/>
  <c r="I310" i="3"/>
  <c r="H310" i="3"/>
  <c r="G310" i="3"/>
  <c r="F310" i="3"/>
  <c r="E310" i="3"/>
  <c r="A310" i="3"/>
  <c r="M309" i="3"/>
  <c r="L309" i="3"/>
  <c r="J309" i="3"/>
  <c r="G309" i="3"/>
  <c r="F309" i="3"/>
  <c r="E309" i="3"/>
  <c r="A309" i="3"/>
  <c r="M308" i="3"/>
  <c r="L308" i="3"/>
  <c r="J308" i="3"/>
  <c r="G308" i="3"/>
  <c r="F308" i="3"/>
  <c r="E308" i="3"/>
  <c r="A308" i="3"/>
  <c r="M307" i="3"/>
  <c r="L307" i="3"/>
  <c r="J307" i="3"/>
  <c r="G307" i="3"/>
  <c r="F307" i="3"/>
  <c r="E307" i="3"/>
  <c r="A307" i="3"/>
  <c r="M306" i="3"/>
  <c r="L306" i="3"/>
  <c r="J306" i="3"/>
  <c r="G306" i="3"/>
  <c r="F306" i="3"/>
  <c r="E306" i="3"/>
  <c r="A306" i="3"/>
  <c r="M305" i="3"/>
  <c r="L305" i="3"/>
  <c r="J305" i="3"/>
  <c r="G305" i="3"/>
  <c r="F305" i="3"/>
  <c r="E305" i="3"/>
  <c r="A305" i="3"/>
  <c r="M304" i="3"/>
  <c r="L304" i="3"/>
  <c r="J304" i="3"/>
  <c r="G304" i="3"/>
  <c r="F304" i="3"/>
  <c r="E304" i="3"/>
  <c r="A304" i="3"/>
  <c r="M303" i="3"/>
  <c r="L303" i="3"/>
  <c r="J303" i="3"/>
  <c r="G303" i="3"/>
  <c r="F303" i="3"/>
  <c r="E303" i="3"/>
  <c r="A303" i="3"/>
  <c r="M302" i="3"/>
  <c r="L302" i="3"/>
  <c r="J302" i="3"/>
  <c r="G302" i="3"/>
  <c r="F302" i="3"/>
  <c r="E302" i="3"/>
  <c r="A302" i="3"/>
  <c r="M301" i="3"/>
  <c r="L301" i="3"/>
  <c r="J301" i="3"/>
  <c r="G301" i="3"/>
  <c r="F301" i="3"/>
  <c r="E301" i="3"/>
  <c r="A301" i="3"/>
  <c r="M300" i="3"/>
  <c r="L300" i="3"/>
  <c r="J300" i="3"/>
  <c r="I300" i="3"/>
  <c r="H300" i="3"/>
  <c r="G300" i="3"/>
  <c r="F300" i="3"/>
  <c r="E300" i="3"/>
  <c r="A300" i="3"/>
  <c r="M299" i="3"/>
  <c r="L299" i="3"/>
  <c r="J299" i="3"/>
  <c r="G299" i="3"/>
  <c r="F299" i="3"/>
  <c r="E299" i="3"/>
  <c r="A299" i="3"/>
  <c r="M298" i="3"/>
  <c r="L298" i="3"/>
  <c r="J298" i="3"/>
  <c r="G298" i="3"/>
  <c r="F298" i="3"/>
  <c r="E298" i="3"/>
  <c r="A298" i="3"/>
  <c r="M297" i="3"/>
  <c r="L297" i="3"/>
  <c r="J297" i="3"/>
  <c r="G297" i="3"/>
  <c r="F297" i="3"/>
  <c r="E297" i="3"/>
  <c r="A297" i="3"/>
  <c r="M296" i="3"/>
  <c r="L296" i="3"/>
  <c r="J296" i="3"/>
  <c r="G296" i="3"/>
  <c r="F296" i="3"/>
  <c r="E296" i="3"/>
  <c r="A296" i="3"/>
  <c r="M295" i="3"/>
  <c r="L295" i="3"/>
  <c r="J295" i="3"/>
  <c r="G295" i="3"/>
  <c r="F295" i="3"/>
  <c r="E295" i="3"/>
  <c r="A295" i="3"/>
  <c r="M294" i="3"/>
  <c r="L294" i="3"/>
  <c r="J294" i="3"/>
  <c r="G294" i="3"/>
  <c r="F294" i="3"/>
  <c r="E294" i="3"/>
  <c r="A294" i="3"/>
  <c r="M293" i="3"/>
  <c r="L293" i="3"/>
  <c r="J293" i="3"/>
  <c r="G293" i="3"/>
  <c r="F293" i="3"/>
  <c r="E293" i="3"/>
  <c r="A293" i="3"/>
  <c r="M292" i="3"/>
  <c r="L292" i="3"/>
  <c r="J292" i="3"/>
  <c r="G292" i="3"/>
  <c r="F292" i="3"/>
  <c r="E292" i="3"/>
  <c r="A292" i="3"/>
  <c r="M291" i="3"/>
  <c r="L291" i="3"/>
  <c r="J291" i="3"/>
  <c r="G291" i="3"/>
  <c r="F291" i="3"/>
  <c r="E291" i="3"/>
  <c r="A291" i="3"/>
  <c r="M290" i="3"/>
  <c r="L290" i="3"/>
  <c r="J290" i="3"/>
  <c r="G290" i="3"/>
  <c r="F290" i="3"/>
  <c r="E290" i="3"/>
  <c r="A290" i="3"/>
  <c r="M289" i="3"/>
  <c r="L289" i="3"/>
  <c r="J289" i="3"/>
  <c r="G289" i="3"/>
  <c r="F289" i="3"/>
  <c r="E289" i="3"/>
  <c r="A289" i="3"/>
  <c r="M288" i="3"/>
  <c r="L288" i="3"/>
  <c r="J288" i="3"/>
  <c r="G288" i="3"/>
  <c r="F288" i="3"/>
  <c r="E288" i="3"/>
  <c r="A288" i="3"/>
  <c r="M287" i="3"/>
  <c r="L287" i="3"/>
  <c r="J287" i="3"/>
  <c r="G287" i="3"/>
  <c r="F287" i="3"/>
  <c r="E287" i="3"/>
  <c r="A287" i="3"/>
  <c r="M286" i="3"/>
  <c r="L286" i="3"/>
  <c r="J286" i="3"/>
  <c r="I286" i="3"/>
  <c r="H286" i="3"/>
  <c r="F286" i="3"/>
  <c r="E286" i="3"/>
  <c r="A286" i="3"/>
  <c r="M285" i="3"/>
  <c r="L285" i="3"/>
  <c r="J285" i="3"/>
  <c r="I285" i="3"/>
  <c r="H285" i="3"/>
  <c r="F285" i="3"/>
  <c r="E285" i="3"/>
  <c r="A285" i="3"/>
  <c r="M284" i="3"/>
  <c r="L284" i="3"/>
  <c r="J284" i="3"/>
  <c r="I284" i="3"/>
  <c r="H284" i="3"/>
  <c r="F284" i="3"/>
  <c r="E284" i="3"/>
  <c r="A284" i="3"/>
  <c r="M283" i="3"/>
  <c r="L283" i="3"/>
  <c r="J283" i="3"/>
  <c r="G283" i="3"/>
  <c r="F283" i="3"/>
  <c r="E283" i="3"/>
  <c r="A283" i="3"/>
  <c r="M282" i="3"/>
  <c r="L282" i="3"/>
  <c r="J282" i="3"/>
  <c r="G282" i="3"/>
  <c r="F282" i="3"/>
  <c r="E282" i="3"/>
  <c r="A282" i="3"/>
  <c r="M281" i="3"/>
  <c r="L281" i="3"/>
  <c r="J281" i="3"/>
  <c r="G281" i="3"/>
  <c r="F281" i="3"/>
  <c r="E281" i="3"/>
  <c r="A281" i="3"/>
  <c r="M280" i="3"/>
  <c r="L280" i="3"/>
  <c r="J280" i="3"/>
  <c r="G280" i="3"/>
  <c r="F280" i="3"/>
  <c r="E280" i="3"/>
  <c r="A280" i="3"/>
  <c r="M279" i="3"/>
  <c r="L279" i="3"/>
  <c r="J279" i="3"/>
  <c r="G279" i="3"/>
  <c r="F279" i="3"/>
  <c r="E279" i="3"/>
  <c r="A279" i="3"/>
  <c r="M278" i="3"/>
  <c r="L278" i="3"/>
  <c r="J278" i="3"/>
  <c r="G278" i="3"/>
  <c r="F278" i="3"/>
  <c r="E278" i="3"/>
  <c r="A278" i="3"/>
  <c r="M277" i="3"/>
  <c r="L277" i="3"/>
  <c r="J277" i="3"/>
  <c r="G277" i="3"/>
  <c r="F277" i="3"/>
  <c r="E277" i="3"/>
  <c r="A277" i="3"/>
  <c r="M276" i="3"/>
  <c r="L276" i="3"/>
  <c r="J276" i="3"/>
  <c r="G276" i="3"/>
  <c r="F276" i="3"/>
  <c r="E276" i="3"/>
  <c r="A276" i="3"/>
  <c r="M275" i="3"/>
  <c r="L275" i="3"/>
  <c r="J275" i="3"/>
  <c r="I275" i="3"/>
  <c r="H275" i="3"/>
  <c r="G275" i="3"/>
  <c r="F275" i="3"/>
  <c r="E275" i="3"/>
  <c r="A275" i="3"/>
  <c r="M274" i="3"/>
  <c r="L274" i="3"/>
  <c r="J274" i="3"/>
  <c r="I274" i="3"/>
  <c r="H274" i="3"/>
  <c r="G274" i="3"/>
  <c r="F274" i="3"/>
  <c r="E274" i="3"/>
  <c r="A274" i="3"/>
  <c r="M273" i="3"/>
  <c r="L273" i="3"/>
  <c r="J273" i="3"/>
  <c r="G273" i="3"/>
  <c r="F273" i="3"/>
  <c r="E273" i="3"/>
  <c r="A273" i="3"/>
  <c r="M272" i="3"/>
  <c r="L272" i="3"/>
  <c r="J272" i="3"/>
  <c r="G272" i="3"/>
  <c r="F272" i="3"/>
  <c r="E272" i="3"/>
  <c r="A272" i="3"/>
  <c r="M271" i="3"/>
  <c r="L271" i="3"/>
  <c r="J271" i="3"/>
  <c r="G271" i="3"/>
  <c r="F271" i="3"/>
  <c r="E271" i="3"/>
  <c r="A271" i="3"/>
  <c r="M270" i="3"/>
  <c r="L270" i="3"/>
  <c r="J270" i="3"/>
  <c r="G270" i="3"/>
  <c r="F270" i="3"/>
  <c r="E270" i="3"/>
  <c r="A270" i="3"/>
  <c r="M269" i="3"/>
  <c r="L269" i="3"/>
  <c r="J269" i="3"/>
  <c r="G269" i="3"/>
  <c r="F269" i="3"/>
  <c r="E269" i="3"/>
  <c r="A269" i="3"/>
  <c r="M268" i="3"/>
  <c r="L268" i="3"/>
  <c r="J268" i="3"/>
  <c r="G268" i="3"/>
  <c r="F268" i="3"/>
  <c r="E268" i="3"/>
  <c r="A268" i="3"/>
  <c r="M267" i="3"/>
  <c r="L267" i="3"/>
  <c r="J267" i="3"/>
  <c r="G267" i="3"/>
  <c r="F267" i="3"/>
  <c r="E267" i="3"/>
  <c r="A267" i="3"/>
  <c r="M266" i="3"/>
  <c r="L266" i="3"/>
  <c r="J266" i="3"/>
  <c r="I266" i="3"/>
  <c r="H266" i="3"/>
  <c r="G266" i="3"/>
  <c r="F266" i="3"/>
  <c r="E266" i="3"/>
  <c r="A266" i="3"/>
  <c r="M265" i="3"/>
  <c r="L265" i="3"/>
  <c r="J265" i="3"/>
  <c r="G265" i="3"/>
  <c r="F265" i="3"/>
  <c r="E265" i="3"/>
  <c r="A265" i="3"/>
  <c r="M264" i="3"/>
  <c r="L264" i="3"/>
  <c r="J264" i="3"/>
  <c r="G264" i="3"/>
  <c r="F264" i="3"/>
  <c r="E264" i="3"/>
  <c r="A264" i="3"/>
  <c r="M263" i="3"/>
  <c r="L263" i="3"/>
  <c r="J263" i="3"/>
  <c r="G263" i="3"/>
  <c r="F263" i="3"/>
  <c r="E263" i="3"/>
  <c r="A263" i="3"/>
  <c r="M262" i="3"/>
  <c r="L262" i="3"/>
  <c r="J262" i="3"/>
  <c r="G262" i="3"/>
  <c r="F262" i="3"/>
  <c r="E262" i="3"/>
  <c r="A262" i="3"/>
  <c r="M261" i="3"/>
  <c r="L261" i="3"/>
  <c r="J261" i="3"/>
  <c r="I261" i="3"/>
  <c r="H261" i="3"/>
  <c r="G261" i="3"/>
  <c r="F261" i="3"/>
  <c r="E261" i="3"/>
  <c r="A261" i="3"/>
  <c r="M260" i="3"/>
  <c r="L260" i="3"/>
  <c r="J260" i="3"/>
  <c r="I260" i="3"/>
  <c r="H260" i="3"/>
  <c r="G260" i="3"/>
  <c r="F260" i="3"/>
  <c r="E260" i="3"/>
  <c r="A260" i="3"/>
  <c r="M259" i="3"/>
  <c r="L259" i="3"/>
  <c r="J259" i="3"/>
  <c r="I259" i="3"/>
  <c r="H259" i="3"/>
  <c r="G259" i="3"/>
  <c r="F259" i="3"/>
  <c r="E259" i="3"/>
  <c r="A259" i="3"/>
  <c r="M258" i="3"/>
  <c r="L258" i="3"/>
  <c r="J258" i="3"/>
  <c r="I258" i="3"/>
  <c r="H258" i="3"/>
  <c r="G258" i="3"/>
  <c r="F258" i="3"/>
  <c r="E258" i="3"/>
  <c r="A258" i="3"/>
  <c r="M257" i="3"/>
  <c r="L257" i="3"/>
  <c r="J257" i="3"/>
  <c r="I257" i="3"/>
  <c r="H257" i="3"/>
  <c r="G257" i="3"/>
  <c r="F257" i="3"/>
  <c r="E257" i="3"/>
  <c r="A257" i="3"/>
  <c r="M256" i="3"/>
  <c r="L256" i="3"/>
  <c r="J256" i="3"/>
  <c r="I256" i="3"/>
  <c r="H256" i="3"/>
  <c r="G256" i="3"/>
  <c r="F256" i="3"/>
  <c r="E256" i="3"/>
  <c r="A256" i="3"/>
  <c r="M255" i="3"/>
  <c r="L255" i="3"/>
  <c r="J255" i="3"/>
  <c r="I255" i="3"/>
  <c r="H255" i="3"/>
  <c r="G255" i="3"/>
  <c r="F255" i="3"/>
  <c r="E255" i="3"/>
  <c r="A255" i="3"/>
  <c r="M254" i="3"/>
  <c r="L254" i="3"/>
  <c r="J254" i="3"/>
  <c r="I254" i="3"/>
  <c r="H254" i="3"/>
  <c r="G254" i="3"/>
  <c r="F254" i="3"/>
  <c r="E254" i="3"/>
  <c r="A254" i="3"/>
  <c r="M253" i="3"/>
  <c r="L253" i="3"/>
  <c r="J253" i="3"/>
  <c r="I253" i="3"/>
  <c r="H253" i="3"/>
  <c r="G253" i="3"/>
  <c r="F253" i="3"/>
  <c r="E253" i="3"/>
  <c r="A253" i="3"/>
  <c r="M252" i="3"/>
  <c r="L252" i="3"/>
  <c r="J252" i="3"/>
  <c r="I252" i="3"/>
  <c r="H252" i="3"/>
  <c r="G252" i="3"/>
  <c r="F252" i="3"/>
  <c r="E252" i="3"/>
  <c r="A252" i="3"/>
  <c r="M251" i="3"/>
  <c r="L251" i="3"/>
  <c r="J251" i="3"/>
  <c r="G251" i="3"/>
  <c r="F251" i="3"/>
  <c r="E251" i="3"/>
  <c r="A251" i="3"/>
  <c r="M250" i="3"/>
  <c r="L250" i="3"/>
  <c r="J250" i="3"/>
  <c r="G250" i="3"/>
  <c r="F250" i="3"/>
  <c r="E250" i="3"/>
  <c r="A250" i="3"/>
  <c r="M249" i="3"/>
  <c r="L249" i="3"/>
  <c r="J249" i="3"/>
  <c r="G249" i="3"/>
  <c r="F249" i="3"/>
  <c r="E249" i="3"/>
  <c r="A249" i="3"/>
  <c r="M248" i="3"/>
  <c r="L248" i="3"/>
  <c r="J248" i="3"/>
  <c r="G248" i="3"/>
  <c r="F248" i="3"/>
  <c r="E248" i="3"/>
  <c r="A248" i="3"/>
  <c r="M247" i="3"/>
  <c r="L247" i="3"/>
  <c r="J247" i="3"/>
  <c r="G247" i="3"/>
  <c r="F247" i="3"/>
  <c r="E247" i="3"/>
  <c r="A247" i="3"/>
  <c r="M246" i="3"/>
  <c r="L246" i="3"/>
  <c r="J246" i="3"/>
  <c r="G246" i="3"/>
  <c r="F246" i="3"/>
  <c r="E246" i="3"/>
  <c r="A246" i="3"/>
  <c r="M245" i="3"/>
  <c r="L245" i="3"/>
  <c r="J245" i="3"/>
  <c r="G245" i="3"/>
  <c r="F245" i="3"/>
  <c r="E245" i="3"/>
  <c r="A245" i="3"/>
  <c r="M244" i="3"/>
  <c r="L244" i="3"/>
  <c r="J244" i="3"/>
  <c r="G244" i="3"/>
  <c r="F244" i="3"/>
  <c r="E244" i="3"/>
  <c r="A244" i="3"/>
  <c r="M243" i="3"/>
  <c r="L243" i="3"/>
  <c r="J243" i="3"/>
  <c r="G243" i="3"/>
  <c r="F243" i="3"/>
  <c r="E243" i="3"/>
  <c r="A243" i="3"/>
  <c r="M242" i="3"/>
  <c r="L242" i="3"/>
  <c r="J242" i="3"/>
  <c r="G242" i="3"/>
  <c r="F242" i="3"/>
  <c r="E242" i="3"/>
  <c r="A242" i="3"/>
  <c r="M241" i="3"/>
  <c r="L241" i="3"/>
  <c r="J241" i="3"/>
  <c r="G241" i="3"/>
  <c r="F241" i="3"/>
  <c r="E241" i="3"/>
  <c r="A241" i="3"/>
  <c r="M240" i="3"/>
  <c r="L240" i="3"/>
  <c r="J240" i="3"/>
  <c r="G240" i="3"/>
  <c r="F240" i="3"/>
  <c r="E240" i="3"/>
  <c r="A240" i="3"/>
  <c r="M239" i="3"/>
  <c r="L239" i="3"/>
  <c r="J239" i="3"/>
  <c r="G239" i="3"/>
  <c r="F239" i="3"/>
  <c r="E239" i="3"/>
  <c r="A239" i="3"/>
  <c r="M238" i="3"/>
  <c r="L238" i="3"/>
  <c r="J238" i="3"/>
  <c r="G238" i="3"/>
  <c r="F238" i="3"/>
  <c r="E238" i="3"/>
  <c r="A238" i="3"/>
  <c r="M237" i="3"/>
  <c r="L237" i="3"/>
  <c r="J237" i="3"/>
  <c r="G237" i="3"/>
  <c r="F237" i="3"/>
  <c r="E237" i="3"/>
  <c r="A237" i="3"/>
  <c r="M236" i="3"/>
  <c r="L236" i="3"/>
  <c r="J236" i="3"/>
  <c r="G236" i="3"/>
  <c r="F236" i="3"/>
  <c r="E236" i="3"/>
  <c r="A236" i="3"/>
  <c r="M235" i="3"/>
  <c r="L235" i="3"/>
  <c r="J235" i="3"/>
  <c r="G235" i="3"/>
  <c r="F235" i="3"/>
  <c r="E235" i="3"/>
  <c r="A235" i="3"/>
  <c r="M234" i="3"/>
  <c r="L234" i="3"/>
  <c r="J234" i="3"/>
  <c r="G234" i="3"/>
  <c r="F234" i="3"/>
  <c r="E234" i="3"/>
  <c r="A234" i="3"/>
  <c r="M233" i="3"/>
  <c r="L233" i="3"/>
  <c r="J233" i="3"/>
  <c r="G233" i="3"/>
  <c r="F233" i="3"/>
  <c r="E233" i="3"/>
  <c r="A233" i="3"/>
  <c r="M232" i="3"/>
  <c r="L232" i="3"/>
  <c r="J232" i="3"/>
  <c r="G232" i="3"/>
  <c r="F232" i="3"/>
  <c r="E232" i="3"/>
  <c r="A232" i="3"/>
  <c r="M231" i="3"/>
  <c r="L231" i="3"/>
  <c r="J231" i="3"/>
  <c r="I231" i="3"/>
  <c r="H231" i="3"/>
  <c r="G231" i="3"/>
  <c r="F231" i="3"/>
  <c r="E231" i="3"/>
  <c r="A231" i="3"/>
  <c r="M230" i="3"/>
  <c r="L230" i="3"/>
  <c r="J230" i="3"/>
  <c r="G230" i="3"/>
  <c r="F230" i="3"/>
  <c r="E230" i="3"/>
  <c r="A230" i="3"/>
  <c r="M229" i="3"/>
  <c r="L229" i="3"/>
  <c r="J229" i="3"/>
  <c r="G229" i="3"/>
  <c r="F229" i="3"/>
  <c r="E229" i="3"/>
  <c r="A229" i="3"/>
  <c r="M228" i="3"/>
  <c r="L228" i="3"/>
  <c r="J228" i="3"/>
  <c r="I228" i="3"/>
  <c r="H228" i="3"/>
  <c r="G228" i="3"/>
  <c r="F228" i="3"/>
  <c r="E228" i="3"/>
  <c r="A228" i="3"/>
  <c r="M227" i="3"/>
  <c r="L227" i="3"/>
  <c r="J227" i="3"/>
  <c r="I227" i="3"/>
  <c r="H227" i="3"/>
  <c r="G227" i="3"/>
  <c r="F227" i="3"/>
  <c r="E227" i="3"/>
  <c r="A227" i="3"/>
  <c r="M226" i="3"/>
  <c r="L226" i="3"/>
  <c r="J226" i="3"/>
  <c r="I226" i="3"/>
  <c r="H226" i="3"/>
  <c r="G226" i="3"/>
  <c r="F226" i="3"/>
  <c r="E226" i="3"/>
  <c r="A226" i="3"/>
  <c r="M225" i="3"/>
  <c r="L225" i="3"/>
  <c r="J225" i="3"/>
  <c r="G225" i="3"/>
  <c r="F225" i="3"/>
  <c r="E225" i="3"/>
  <c r="A225" i="3"/>
  <c r="M224" i="3"/>
  <c r="L224" i="3"/>
  <c r="J224" i="3"/>
  <c r="I224" i="3"/>
  <c r="H224" i="3"/>
  <c r="G224" i="3"/>
  <c r="F224" i="3"/>
  <c r="E224" i="3"/>
  <c r="A224" i="3"/>
  <c r="M223" i="3"/>
  <c r="L223" i="3"/>
  <c r="J223" i="3"/>
  <c r="G223" i="3"/>
  <c r="F223" i="3"/>
  <c r="E223" i="3"/>
  <c r="A223" i="3"/>
  <c r="M222" i="3"/>
  <c r="L222" i="3"/>
  <c r="J222" i="3"/>
  <c r="G222" i="3"/>
  <c r="F222" i="3"/>
  <c r="E222" i="3"/>
  <c r="A222" i="3"/>
  <c r="M221" i="3"/>
  <c r="L221" i="3"/>
  <c r="J221" i="3"/>
  <c r="G221" i="3"/>
  <c r="F221" i="3"/>
  <c r="E221" i="3"/>
  <c r="A221" i="3"/>
  <c r="M220" i="3"/>
  <c r="L220" i="3"/>
  <c r="J220" i="3"/>
  <c r="G220" i="3"/>
  <c r="F220" i="3"/>
  <c r="E220" i="3"/>
  <c r="A220" i="3"/>
  <c r="M219" i="3"/>
  <c r="L219" i="3"/>
  <c r="J219" i="3"/>
  <c r="G219" i="3"/>
  <c r="F219" i="3"/>
  <c r="E219" i="3"/>
  <c r="A219" i="3"/>
  <c r="M218" i="3"/>
  <c r="L218" i="3"/>
  <c r="J218" i="3"/>
  <c r="G218" i="3"/>
  <c r="F218" i="3"/>
  <c r="E218" i="3"/>
  <c r="A218" i="3"/>
  <c r="M217" i="3"/>
  <c r="L217" i="3"/>
  <c r="J217" i="3"/>
  <c r="G217" i="3"/>
  <c r="F217" i="3"/>
  <c r="E217" i="3"/>
  <c r="A217" i="3"/>
  <c r="M216" i="3"/>
  <c r="L216" i="3"/>
  <c r="J216" i="3"/>
  <c r="G216" i="3"/>
  <c r="F216" i="3"/>
  <c r="E216" i="3"/>
  <c r="A216" i="3"/>
  <c r="M215" i="3"/>
  <c r="L215" i="3"/>
  <c r="J215" i="3"/>
  <c r="G215" i="3"/>
  <c r="F215" i="3"/>
  <c r="E215" i="3"/>
  <c r="A215" i="3"/>
  <c r="M214" i="3"/>
  <c r="L214" i="3"/>
  <c r="J214" i="3"/>
  <c r="G214" i="3"/>
  <c r="F214" i="3"/>
  <c r="E214" i="3"/>
  <c r="A214" i="3"/>
  <c r="M213" i="3"/>
  <c r="L213" i="3"/>
  <c r="J213" i="3"/>
  <c r="G213" i="3"/>
  <c r="F213" i="3"/>
  <c r="E213" i="3"/>
  <c r="A213" i="3"/>
  <c r="M212" i="3"/>
  <c r="L212" i="3"/>
  <c r="J212" i="3"/>
  <c r="G212" i="3"/>
  <c r="F212" i="3"/>
  <c r="E212" i="3"/>
  <c r="A212" i="3"/>
  <c r="M211" i="3"/>
  <c r="L211" i="3"/>
  <c r="J211" i="3"/>
  <c r="G211" i="3"/>
  <c r="F211" i="3"/>
  <c r="E211" i="3"/>
  <c r="A211" i="3"/>
  <c r="M210" i="3"/>
  <c r="L210" i="3"/>
  <c r="J210" i="3"/>
  <c r="I210" i="3"/>
  <c r="H210" i="3"/>
  <c r="G210" i="3"/>
  <c r="F210" i="3"/>
  <c r="E210" i="3"/>
  <c r="A210" i="3"/>
  <c r="M209" i="3"/>
  <c r="L209" i="3"/>
  <c r="J209" i="3"/>
  <c r="I209" i="3"/>
  <c r="H209" i="3"/>
  <c r="G209" i="3"/>
  <c r="F209" i="3"/>
  <c r="E209" i="3"/>
  <c r="A209" i="3"/>
  <c r="M208" i="3"/>
  <c r="L208" i="3"/>
  <c r="J208" i="3"/>
  <c r="I208" i="3"/>
  <c r="H208" i="3"/>
  <c r="G208" i="3"/>
  <c r="F208" i="3"/>
  <c r="E208" i="3"/>
  <c r="A208" i="3"/>
  <c r="M207" i="3"/>
  <c r="L207" i="3"/>
  <c r="J207" i="3"/>
  <c r="I207" i="3"/>
  <c r="H207" i="3"/>
  <c r="G207" i="3"/>
  <c r="F207" i="3"/>
  <c r="E207" i="3"/>
  <c r="A207" i="3"/>
  <c r="M206" i="3"/>
  <c r="L206" i="3"/>
  <c r="J206" i="3"/>
  <c r="I206" i="3"/>
  <c r="H206" i="3"/>
  <c r="G206" i="3"/>
  <c r="F206" i="3"/>
  <c r="E206" i="3"/>
  <c r="A206" i="3"/>
  <c r="M205" i="3"/>
  <c r="L205" i="3"/>
  <c r="J205" i="3"/>
  <c r="I205" i="3"/>
  <c r="H205" i="3"/>
  <c r="G205" i="3"/>
  <c r="F205" i="3"/>
  <c r="E205" i="3"/>
  <c r="A205" i="3"/>
  <c r="M204" i="3"/>
  <c r="L204" i="3"/>
  <c r="J204" i="3"/>
  <c r="I204" i="3"/>
  <c r="H204" i="3"/>
  <c r="G204" i="3"/>
  <c r="F204" i="3"/>
  <c r="E204" i="3"/>
  <c r="A204" i="3"/>
  <c r="M203" i="3"/>
  <c r="L203" i="3"/>
  <c r="J203" i="3"/>
  <c r="I203" i="3"/>
  <c r="H203" i="3"/>
  <c r="G203" i="3"/>
  <c r="F203" i="3"/>
  <c r="E203" i="3"/>
  <c r="A203" i="3"/>
  <c r="M202" i="3"/>
  <c r="L202" i="3"/>
  <c r="J202" i="3"/>
  <c r="I202" i="3"/>
  <c r="H202" i="3"/>
  <c r="G202" i="3"/>
  <c r="F202" i="3"/>
  <c r="E202" i="3"/>
  <c r="A202" i="3"/>
  <c r="M201" i="3"/>
  <c r="L201" i="3"/>
  <c r="J201" i="3"/>
  <c r="I201" i="3"/>
  <c r="H201" i="3"/>
  <c r="G201" i="3"/>
  <c r="F201" i="3"/>
  <c r="E201" i="3"/>
  <c r="A201" i="3"/>
  <c r="M200" i="3"/>
  <c r="L200" i="3"/>
  <c r="J200" i="3"/>
  <c r="I200" i="3"/>
  <c r="H200" i="3"/>
  <c r="G200" i="3"/>
  <c r="F200" i="3"/>
  <c r="E200" i="3"/>
  <c r="A200" i="3"/>
  <c r="M199" i="3"/>
  <c r="L199" i="3"/>
  <c r="J199" i="3"/>
  <c r="I199" i="3"/>
  <c r="H199" i="3"/>
  <c r="G199" i="3"/>
  <c r="F199" i="3"/>
  <c r="E199" i="3"/>
  <c r="A199" i="3"/>
  <c r="M198" i="3"/>
  <c r="L198" i="3"/>
  <c r="J198" i="3"/>
  <c r="I198" i="3"/>
  <c r="H198" i="3"/>
  <c r="G198" i="3"/>
  <c r="F198" i="3"/>
  <c r="E198" i="3"/>
  <c r="A198" i="3"/>
  <c r="M197" i="3"/>
  <c r="L197" i="3"/>
  <c r="J197" i="3"/>
  <c r="I197" i="3"/>
  <c r="H197" i="3"/>
  <c r="G197" i="3"/>
  <c r="F197" i="3"/>
  <c r="E197" i="3"/>
  <c r="A197" i="3"/>
  <c r="M196" i="3"/>
  <c r="L196" i="3"/>
  <c r="J196" i="3"/>
  <c r="I196" i="3"/>
  <c r="H196" i="3"/>
  <c r="G196" i="3"/>
  <c r="F196" i="3"/>
  <c r="E196" i="3"/>
  <c r="A196" i="3"/>
  <c r="M195" i="3"/>
  <c r="L195" i="3"/>
  <c r="J195" i="3"/>
  <c r="I195" i="3"/>
  <c r="H195" i="3"/>
  <c r="G195" i="3"/>
  <c r="F195" i="3"/>
  <c r="E195" i="3"/>
  <c r="A195" i="3"/>
  <c r="M194" i="3"/>
  <c r="L194" i="3"/>
  <c r="J194" i="3"/>
  <c r="I194" i="3"/>
  <c r="H194" i="3"/>
  <c r="G194" i="3"/>
  <c r="F194" i="3"/>
  <c r="E194" i="3"/>
  <c r="A194" i="3"/>
  <c r="M193" i="3"/>
  <c r="L193" i="3"/>
  <c r="J193" i="3"/>
  <c r="I193" i="3"/>
  <c r="H193" i="3"/>
  <c r="G193" i="3"/>
  <c r="F193" i="3"/>
  <c r="E193" i="3"/>
  <c r="A193" i="3"/>
  <c r="M192" i="3"/>
  <c r="L192" i="3"/>
  <c r="J192" i="3"/>
  <c r="I192" i="3"/>
  <c r="H192" i="3"/>
  <c r="G192" i="3"/>
  <c r="F192" i="3"/>
  <c r="E192" i="3"/>
  <c r="A192" i="3"/>
  <c r="M191" i="3"/>
  <c r="L191" i="3"/>
  <c r="J191" i="3"/>
  <c r="I191" i="3"/>
  <c r="H191" i="3"/>
  <c r="G191" i="3"/>
  <c r="F191" i="3"/>
  <c r="E191" i="3"/>
  <c r="A191" i="3"/>
  <c r="M190" i="3"/>
  <c r="L190" i="3"/>
  <c r="J190" i="3"/>
  <c r="I190" i="3"/>
  <c r="H190" i="3"/>
  <c r="G190" i="3"/>
  <c r="F190" i="3"/>
  <c r="E190" i="3"/>
  <c r="A190" i="3"/>
  <c r="M189" i="3"/>
  <c r="L189" i="3"/>
  <c r="J189" i="3"/>
  <c r="I189" i="3"/>
  <c r="H189" i="3"/>
  <c r="G189" i="3"/>
  <c r="F189" i="3"/>
  <c r="E189" i="3"/>
  <c r="A189" i="3"/>
  <c r="M188" i="3"/>
  <c r="L188" i="3"/>
  <c r="J188" i="3"/>
  <c r="I188" i="3"/>
  <c r="H188" i="3"/>
  <c r="G188" i="3"/>
  <c r="F188" i="3"/>
  <c r="E188" i="3"/>
  <c r="A188" i="3"/>
  <c r="M187" i="3"/>
  <c r="L187" i="3"/>
  <c r="J187" i="3"/>
  <c r="I187" i="3"/>
  <c r="H187" i="3"/>
  <c r="G187" i="3"/>
  <c r="F187" i="3"/>
  <c r="E187" i="3"/>
  <c r="A187" i="3"/>
  <c r="M186" i="3"/>
  <c r="L186" i="3"/>
  <c r="J186" i="3"/>
  <c r="I186" i="3"/>
  <c r="H186" i="3"/>
  <c r="G186" i="3"/>
  <c r="F186" i="3"/>
  <c r="E186" i="3"/>
  <c r="A186" i="3"/>
  <c r="M185" i="3"/>
  <c r="L185" i="3"/>
  <c r="J185" i="3"/>
  <c r="I185" i="3"/>
  <c r="H185" i="3"/>
  <c r="G185" i="3"/>
  <c r="F185" i="3"/>
  <c r="E185" i="3"/>
  <c r="A185" i="3"/>
  <c r="M184" i="3"/>
  <c r="L184" i="3"/>
  <c r="J184" i="3"/>
  <c r="I184" i="3"/>
  <c r="H184" i="3"/>
  <c r="G184" i="3"/>
  <c r="F184" i="3"/>
  <c r="E184" i="3"/>
  <c r="A184" i="3"/>
  <c r="M183" i="3"/>
  <c r="L183" i="3"/>
  <c r="J183" i="3"/>
  <c r="I183" i="3"/>
  <c r="H183" i="3"/>
  <c r="G183" i="3"/>
  <c r="F183" i="3"/>
  <c r="E183" i="3"/>
  <c r="A183" i="3"/>
  <c r="M182" i="3"/>
  <c r="L182" i="3"/>
  <c r="J182" i="3"/>
  <c r="I182" i="3"/>
  <c r="H182" i="3"/>
  <c r="G182" i="3"/>
  <c r="F182" i="3"/>
  <c r="E182" i="3"/>
  <c r="A182" i="3"/>
  <c r="M181" i="3"/>
  <c r="L181" i="3"/>
  <c r="J181" i="3"/>
  <c r="I181" i="3"/>
  <c r="H181" i="3"/>
  <c r="G181" i="3"/>
  <c r="F181" i="3"/>
  <c r="E181" i="3"/>
  <c r="A181" i="3"/>
  <c r="M180" i="3"/>
  <c r="L180" i="3"/>
  <c r="J180" i="3"/>
  <c r="I180" i="3"/>
  <c r="H180" i="3"/>
  <c r="G180" i="3"/>
  <c r="F180" i="3"/>
  <c r="E180" i="3"/>
  <c r="A180" i="3"/>
  <c r="M179" i="3"/>
  <c r="L179" i="3"/>
  <c r="J179" i="3"/>
  <c r="I179" i="3"/>
  <c r="H179" i="3"/>
  <c r="G179" i="3"/>
  <c r="F179" i="3"/>
  <c r="E179" i="3"/>
  <c r="A179" i="3"/>
  <c r="M178" i="3"/>
  <c r="L178" i="3"/>
  <c r="J178" i="3"/>
  <c r="I178" i="3"/>
  <c r="H178" i="3"/>
  <c r="G178" i="3"/>
  <c r="F178" i="3"/>
  <c r="E178" i="3"/>
  <c r="A178" i="3"/>
  <c r="M177" i="3"/>
  <c r="L177" i="3"/>
  <c r="J177" i="3"/>
  <c r="I177" i="3"/>
  <c r="H177" i="3"/>
  <c r="G177" i="3"/>
  <c r="F177" i="3"/>
  <c r="E177" i="3"/>
  <c r="A177" i="3"/>
  <c r="M176" i="3"/>
  <c r="L176" i="3"/>
  <c r="J176" i="3"/>
  <c r="I176" i="3"/>
  <c r="H176" i="3"/>
  <c r="G176" i="3"/>
  <c r="F176" i="3"/>
  <c r="E176" i="3"/>
  <c r="A176" i="3"/>
  <c r="M175" i="3"/>
  <c r="L175" i="3"/>
  <c r="J175" i="3"/>
  <c r="I175" i="3"/>
  <c r="H175" i="3"/>
  <c r="G175" i="3"/>
  <c r="F175" i="3"/>
  <c r="E175" i="3"/>
  <c r="A175" i="3"/>
  <c r="M174" i="3"/>
  <c r="L174" i="3"/>
  <c r="J174" i="3"/>
  <c r="I174" i="3"/>
  <c r="H174" i="3"/>
  <c r="G174" i="3"/>
  <c r="F174" i="3"/>
  <c r="E174" i="3"/>
  <c r="A174" i="3"/>
  <c r="M173" i="3"/>
  <c r="L173" i="3"/>
  <c r="J173" i="3"/>
  <c r="I173" i="3"/>
  <c r="H173" i="3"/>
  <c r="G173" i="3"/>
  <c r="F173" i="3"/>
  <c r="E173" i="3"/>
  <c r="A173" i="3"/>
  <c r="M172" i="3"/>
  <c r="L172" i="3"/>
  <c r="J172" i="3"/>
  <c r="I172" i="3"/>
  <c r="H172" i="3"/>
  <c r="G172" i="3"/>
  <c r="F172" i="3"/>
  <c r="E172" i="3"/>
  <c r="A172" i="3"/>
  <c r="M171" i="3"/>
  <c r="L171" i="3"/>
  <c r="J171" i="3"/>
  <c r="I171" i="3"/>
  <c r="H171" i="3"/>
  <c r="G171" i="3"/>
  <c r="F171" i="3"/>
  <c r="E171" i="3"/>
  <c r="A171" i="3"/>
  <c r="M170" i="3"/>
  <c r="L170" i="3"/>
  <c r="J170" i="3"/>
  <c r="I170" i="3"/>
  <c r="H170" i="3"/>
  <c r="G170" i="3"/>
  <c r="F170" i="3"/>
  <c r="E170" i="3"/>
  <c r="A170" i="3"/>
  <c r="M169" i="3"/>
  <c r="L169" i="3"/>
  <c r="J169" i="3"/>
  <c r="I169" i="3"/>
  <c r="H169" i="3"/>
  <c r="G169" i="3"/>
  <c r="F169" i="3"/>
  <c r="E169" i="3"/>
  <c r="A169" i="3"/>
  <c r="M168" i="3"/>
  <c r="L168" i="3"/>
  <c r="J168" i="3"/>
  <c r="I168" i="3"/>
  <c r="H168" i="3"/>
  <c r="G168" i="3"/>
  <c r="F168" i="3"/>
  <c r="E168" i="3"/>
  <c r="A168" i="3"/>
  <c r="M167" i="3"/>
  <c r="L167" i="3"/>
  <c r="J167" i="3"/>
  <c r="I167" i="3"/>
  <c r="H167" i="3"/>
  <c r="G167" i="3"/>
  <c r="F167" i="3"/>
  <c r="E167" i="3"/>
  <c r="A167" i="3"/>
  <c r="M166" i="3"/>
  <c r="L166" i="3"/>
  <c r="J166" i="3"/>
  <c r="I166" i="3"/>
  <c r="H166" i="3"/>
  <c r="G166" i="3"/>
  <c r="F166" i="3"/>
  <c r="E166" i="3"/>
  <c r="A166" i="3"/>
  <c r="M165" i="3"/>
  <c r="L165" i="3"/>
  <c r="J165" i="3"/>
  <c r="I165" i="3"/>
  <c r="H165" i="3"/>
  <c r="G165" i="3"/>
  <c r="F165" i="3"/>
  <c r="E165" i="3"/>
  <c r="A165" i="3"/>
  <c r="M164" i="3"/>
  <c r="L164" i="3"/>
  <c r="J164" i="3"/>
  <c r="I164" i="3"/>
  <c r="H164" i="3"/>
  <c r="G164" i="3"/>
  <c r="F164" i="3"/>
  <c r="E164" i="3"/>
  <c r="A164" i="3"/>
  <c r="M163" i="3"/>
  <c r="L163" i="3"/>
  <c r="J163" i="3"/>
  <c r="I163" i="3"/>
  <c r="H163" i="3"/>
  <c r="G163" i="3"/>
  <c r="F163" i="3"/>
  <c r="E163" i="3"/>
  <c r="A163" i="3"/>
  <c r="M162" i="3"/>
  <c r="L162" i="3"/>
  <c r="J162" i="3"/>
  <c r="I162" i="3"/>
  <c r="H162" i="3"/>
  <c r="G162" i="3"/>
  <c r="F162" i="3"/>
  <c r="E162" i="3"/>
  <c r="A162" i="3"/>
  <c r="M161" i="3"/>
  <c r="L161" i="3"/>
  <c r="J161" i="3"/>
  <c r="I161" i="3"/>
  <c r="H161" i="3"/>
  <c r="G161" i="3"/>
  <c r="F161" i="3"/>
  <c r="E161" i="3"/>
  <c r="A161" i="3"/>
  <c r="M160" i="3"/>
  <c r="L160" i="3"/>
  <c r="J160" i="3"/>
  <c r="I160" i="3"/>
  <c r="H160" i="3"/>
  <c r="G160" i="3"/>
  <c r="F160" i="3"/>
  <c r="E160" i="3"/>
  <c r="A160" i="3"/>
  <c r="M159" i="3"/>
  <c r="L159" i="3"/>
  <c r="J159" i="3"/>
  <c r="I159" i="3"/>
  <c r="H159" i="3"/>
  <c r="G159" i="3"/>
  <c r="F159" i="3"/>
  <c r="E159" i="3"/>
  <c r="A159" i="3"/>
  <c r="M158" i="3"/>
  <c r="L158" i="3"/>
  <c r="J158" i="3"/>
  <c r="I158" i="3"/>
  <c r="H158" i="3"/>
  <c r="G158" i="3"/>
  <c r="F158" i="3"/>
  <c r="E158" i="3"/>
  <c r="A158" i="3"/>
  <c r="M157" i="3"/>
  <c r="L157" i="3"/>
  <c r="J157" i="3"/>
  <c r="G157" i="3"/>
  <c r="F157" i="3"/>
  <c r="E157" i="3"/>
  <c r="A157" i="3"/>
  <c r="M156" i="3"/>
  <c r="L156" i="3"/>
  <c r="J156" i="3"/>
  <c r="G156" i="3"/>
  <c r="F156" i="3"/>
  <c r="E156" i="3"/>
  <c r="A156" i="3"/>
  <c r="M155" i="3"/>
  <c r="L155" i="3"/>
  <c r="J155" i="3"/>
  <c r="I155" i="3"/>
  <c r="H155" i="3"/>
  <c r="G155" i="3"/>
  <c r="F155" i="3"/>
  <c r="E155" i="3"/>
  <c r="A155" i="3"/>
  <c r="M154" i="3"/>
  <c r="L154" i="3"/>
  <c r="J154" i="3"/>
  <c r="I154" i="3"/>
  <c r="H154" i="3"/>
  <c r="G154" i="3"/>
  <c r="F154" i="3"/>
  <c r="E154" i="3"/>
  <c r="A154" i="3"/>
  <c r="M153" i="3"/>
  <c r="L153" i="3"/>
  <c r="J153" i="3"/>
  <c r="G153" i="3"/>
  <c r="F153" i="3"/>
  <c r="E153" i="3"/>
  <c r="A153" i="3"/>
  <c r="M152" i="3"/>
  <c r="L152" i="3"/>
  <c r="J152" i="3"/>
  <c r="I152" i="3"/>
  <c r="H152" i="3"/>
  <c r="G152" i="3"/>
  <c r="F152" i="3"/>
  <c r="E152" i="3"/>
  <c r="A152" i="3"/>
  <c r="M151" i="3"/>
  <c r="L151" i="3"/>
  <c r="J151" i="3"/>
  <c r="I151" i="3"/>
  <c r="H151" i="3"/>
  <c r="G151" i="3"/>
  <c r="F151" i="3"/>
  <c r="E151" i="3"/>
  <c r="A151" i="3"/>
  <c r="M150" i="3"/>
  <c r="L150" i="3"/>
  <c r="J150" i="3"/>
  <c r="I150" i="3"/>
  <c r="H150" i="3"/>
  <c r="G150" i="3"/>
  <c r="F150" i="3"/>
  <c r="E150" i="3"/>
  <c r="A150" i="3"/>
  <c r="M149" i="3"/>
  <c r="L149" i="3"/>
  <c r="J149" i="3"/>
  <c r="G149" i="3"/>
  <c r="F149" i="3"/>
  <c r="E149" i="3"/>
  <c r="A149" i="3"/>
  <c r="M148" i="3"/>
  <c r="L148" i="3"/>
  <c r="J148" i="3"/>
  <c r="I148" i="3"/>
  <c r="H148" i="3"/>
  <c r="G148" i="3"/>
  <c r="F148" i="3"/>
  <c r="E148" i="3"/>
  <c r="A148" i="3"/>
  <c r="M147" i="3"/>
  <c r="L147" i="3"/>
  <c r="J147" i="3"/>
  <c r="I147" i="3"/>
  <c r="H147" i="3"/>
  <c r="G147" i="3"/>
  <c r="F147" i="3"/>
  <c r="E147" i="3"/>
  <c r="A147" i="3"/>
  <c r="M146" i="3"/>
  <c r="L146" i="3"/>
  <c r="J146" i="3"/>
  <c r="G146" i="3"/>
  <c r="F146" i="3"/>
  <c r="E146" i="3"/>
  <c r="A146" i="3"/>
  <c r="M145" i="3"/>
  <c r="L145" i="3"/>
  <c r="J145" i="3"/>
  <c r="G145" i="3"/>
  <c r="F145" i="3"/>
  <c r="E145" i="3"/>
  <c r="A145" i="3"/>
  <c r="M144" i="3"/>
  <c r="L144" i="3"/>
  <c r="J144" i="3"/>
  <c r="G144" i="3"/>
  <c r="F144" i="3"/>
  <c r="E144" i="3"/>
  <c r="A144" i="3"/>
  <c r="M143" i="3"/>
  <c r="L143" i="3"/>
  <c r="J143" i="3"/>
  <c r="G143" i="3"/>
  <c r="F143" i="3"/>
  <c r="E143" i="3"/>
  <c r="A143" i="3"/>
  <c r="M142" i="3"/>
  <c r="L142" i="3"/>
  <c r="J142" i="3"/>
  <c r="G142" i="3"/>
  <c r="F142" i="3"/>
  <c r="E142" i="3"/>
  <c r="A142" i="3"/>
  <c r="M141" i="3"/>
  <c r="L141" i="3"/>
  <c r="J141" i="3"/>
  <c r="I141" i="3"/>
  <c r="H141" i="3"/>
  <c r="G141" i="3"/>
  <c r="F141" i="3"/>
  <c r="E141" i="3"/>
  <c r="A141" i="3"/>
  <c r="M140" i="3"/>
  <c r="L140" i="3"/>
  <c r="J140" i="3"/>
  <c r="I140" i="3"/>
  <c r="H140" i="3"/>
  <c r="G140" i="3"/>
  <c r="F140" i="3"/>
  <c r="E140" i="3"/>
  <c r="A140" i="3"/>
  <c r="M139" i="3"/>
  <c r="L139" i="3"/>
  <c r="J139" i="3"/>
  <c r="G139" i="3"/>
  <c r="F139" i="3"/>
  <c r="E139" i="3"/>
  <c r="A139" i="3"/>
  <c r="M138" i="3"/>
  <c r="L138" i="3"/>
  <c r="J138" i="3"/>
  <c r="G138" i="3"/>
  <c r="F138" i="3"/>
  <c r="E138" i="3"/>
  <c r="A138" i="3"/>
  <c r="M137" i="3"/>
  <c r="L137" i="3"/>
  <c r="J137" i="3"/>
  <c r="G137" i="3"/>
  <c r="F137" i="3"/>
  <c r="E137" i="3"/>
  <c r="A137" i="3"/>
  <c r="M136" i="3"/>
  <c r="L136" i="3"/>
  <c r="J136" i="3"/>
  <c r="G136" i="3"/>
  <c r="F136" i="3"/>
  <c r="E136" i="3"/>
  <c r="A136" i="3"/>
  <c r="M135" i="3"/>
  <c r="L135" i="3"/>
  <c r="J135" i="3"/>
  <c r="G135" i="3"/>
  <c r="F135" i="3"/>
  <c r="E135" i="3"/>
  <c r="A135" i="3"/>
  <c r="M134" i="3"/>
  <c r="L134" i="3"/>
  <c r="J134" i="3"/>
  <c r="G134" i="3"/>
  <c r="F134" i="3"/>
  <c r="E134" i="3"/>
  <c r="A134" i="3"/>
  <c r="M133" i="3"/>
  <c r="L133" i="3"/>
  <c r="J133" i="3"/>
  <c r="G133" i="3"/>
  <c r="F133" i="3"/>
  <c r="E133" i="3"/>
  <c r="A133" i="3"/>
  <c r="M132" i="3"/>
  <c r="L132" i="3"/>
  <c r="J132" i="3"/>
  <c r="I132" i="3"/>
  <c r="H132" i="3"/>
  <c r="G132" i="3"/>
  <c r="F132" i="3"/>
  <c r="E132" i="3"/>
  <c r="A132" i="3"/>
  <c r="M131" i="3"/>
  <c r="L131" i="3"/>
  <c r="J131" i="3"/>
  <c r="I131" i="3"/>
  <c r="H131" i="3"/>
  <c r="G131" i="3"/>
  <c r="F131" i="3"/>
  <c r="E131" i="3"/>
  <c r="A131" i="3"/>
  <c r="M130" i="3"/>
  <c r="L130" i="3"/>
  <c r="J130" i="3"/>
  <c r="I130" i="3"/>
  <c r="H130" i="3"/>
  <c r="G130" i="3"/>
  <c r="F130" i="3"/>
  <c r="E130" i="3"/>
  <c r="A130" i="3"/>
  <c r="M129" i="3"/>
  <c r="L129" i="3"/>
  <c r="J129" i="3"/>
  <c r="G129" i="3"/>
  <c r="F129" i="3"/>
  <c r="E129" i="3"/>
  <c r="A129" i="3"/>
  <c r="M128" i="3"/>
  <c r="L128" i="3"/>
  <c r="J128" i="3"/>
  <c r="G128" i="3"/>
  <c r="F128" i="3"/>
  <c r="E128" i="3"/>
  <c r="A128" i="3"/>
  <c r="M127" i="3"/>
  <c r="L127" i="3"/>
  <c r="J127" i="3"/>
  <c r="I127" i="3"/>
  <c r="H127" i="3"/>
  <c r="G127" i="3"/>
  <c r="F127" i="3"/>
  <c r="E127" i="3"/>
  <c r="A127" i="3"/>
  <c r="M126" i="3"/>
  <c r="L126" i="3"/>
  <c r="J126" i="3"/>
  <c r="I126" i="3"/>
  <c r="H126" i="3"/>
  <c r="G126" i="3"/>
  <c r="F126" i="3"/>
  <c r="E126" i="3"/>
  <c r="A126" i="3"/>
  <c r="M125" i="3"/>
  <c r="L125" i="3"/>
  <c r="J125" i="3"/>
  <c r="I125" i="3"/>
  <c r="H125" i="3"/>
  <c r="G125" i="3"/>
  <c r="F125" i="3"/>
  <c r="E125" i="3"/>
  <c r="A125" i="3"/>
  <c r="M124" i="3"/>
  <c r="L124" i="3"/>
  <c r="J124" i="3"/>
  <c r="I124" i="3"/>
  <c r="H124" i="3"/>
  <c r="G124" i="3"/>
  <c r="F124" i="3"/>
  <c r="E124" i="3"/>
  <c r="A124" i="3"/>
  <c r="M123" i="3"/>
  <c r="L123" i="3"/>
  <c r="J123" i="3"/>
  <c r="G123" i="3"/>
  <c r="F123" i="3"/>
  <c r="E123" i="3"/>
  <c r="A123" i="3"/>
  <c r="M122" i="3"/>
  <c r="L122" i="3"/>
  <c r="J122" i="3"/>
  <c r="G122" i="3"/>
  <c r="F122" i="3"/>
  <c r="E122" i="3"/>
  <c r="A122" i="3"/>
  <c r="M121" i="3"/>
  <c r="L121" i="3"/>
  <c r="J121" i="3"/>
  <c r="G121" i="3"/>
  <c r="F121" i="3"/>
  <c r="E121" i="3"/>
  <c r="A121" i="3"/>
  <c r="M120" i="3"/>
  <c r="L120" i="3"/>
  <c r="J120" i="3"/>
  <c r="G120" i="3"/>
  <c r="F120" i="3"/>
  <c r="E120" i="3"/>
  <c r="A120" i="3"/>
  <c r="M119" i="3"/>
  <c r="L119" i="3"/>
  <c r="J119" i="3"/>
  <c r="G119" i="3"/>
  <c r="F119" i="3"/>
  <c r="E119" i="3"/>
  <c r="A119" i="3"/>
  <c r="M118" i="3"/>
  <c r="L118" i="3"/>
  <c r="J118" i="3"/>
  <c r="G118" i="3"/>
  <c r="F118" i="3"/>
  <c r="E118" i="3"/>
  <c r="A118" i="3"/>
  <c r="M117" i="3"/>
  <c r="L117" i="3"/>
  <c r="J117" i="3"/>
  <c r="I117" i="3"/>
  <c r="H117" i="3"/>
  <c r="G117" i="3"/>
  <c r="F117" i="3"/>
  <c r="E117" i="3"/>
  <c r="A117" i="3"/>
  <c r="M116" i="3"/>
  <c r="L116" i="3"/>
  <c r="J116" i="3"/>
  <c r="G116" i="3"/>
  <c r="F116" i="3"/>
  <c r="E116" i="3"/>
  <c r="A116" i="3"/>
  <c r="M115" i="3"/>
  <c r="L115" i="3"/>
  <c r="J115" i="3"/>
  <c r="G115" i="3"/>
  <c r="F115" i="3"/>
  <c r="E115" i="3"/>
  <c r="A115" i="3"/>
  <c r="M114" i="3"/>
  <c r="L114" i="3"/>
  <c r="J114" i="3"/>
  <c r="G114" i="3"/>
  <c r="F114" i="3"/>
  <c r="E114" i="3"/>
  <c r="A114" i="3"/>
  <c r="M113" i="3"/>
  <c r="L113" i="3"/>
  <c r="J113" i="3"/>
  <c r="G113" i="3"/>
  <c r="F113" i="3"/>
  <c r="E113" i="3"/>
  <c r="A113" i="3"/>
  <c r="M112" i="3"/>
  <c r="L112" i="3"/>
  <c r="J112" i="3"/>
  <c r="G112" i="3"/>
  <c r="F112" i="3"/>
  <c r="E112" i="3"/>
  <c r="A112" i="3"/>
  <c r="M111" i="3"/>
  <c r="L111" i="3"/>
  <c r="J111" i="3"/>
  <c r="G111" i="3"/>
  <c r="F111" i="3"/>
  <c r="E111" i="3"/>
  <c r="A111" i="3"/>
  <c r="M110" i="3"/>
  <c r="L110" i="3"/>
  <c r="J110" i="3"/>
  <c r="G110" i="3"/>
  <c r="F110" i="3"/>
  <c r="E110" i="3"/>
  <c r="A110" i="3"/>
  <c r="M109" i="3"/>
  <c r="L109" i="3"/>
  <c r="J109" i="3"/>
  <c r="G109" i="3"/>
  <c r="F109" i="3"/>
  <c r="E109" i="3"/>
  <c r="A109" i="3"/>
  <c r="M108" i="3"/>
  <c r="L108" i="3"/>
  <c r="J108" i="3"/>
  <c r="G108" i="3"/>
  <c r="F108" i="3"/>
  <c r="E108" i="3"/>
  <c r="A108" i="3"/>
  <c r="M107" i="3"/>
  <c r="L107" i="3"/>
  <c r="J107" i="3"/>
  <c r="G107" i="3"/>
  <c r="F107" i="3"/>
  <c r="E107" i="3"/>
  <c r="A107" i="3"/>
  <c r="M106" i="3"/>
  <c r="L106" i="3"/>
  <c r="J106" i="3"/>
  <c r="I106" i="3"/>
  <c r="H106" i="3"/>
  <c r="G106" i="3"/>
  <c r="F106" i="3"/>
  <c r="E106" i="3"/>
  <c r="A106" i="3"/>
  <c r="M105" i="3"/>
  <c r="L105" i="3"/>
  <c r="J105" i="3"/>
  <c r="I105" i="3"/>
  <c r="H105" i="3"/>
  <c r="G105" i="3"/>
  <c r="F105" i="3"/>
  <c r="E105" i="3"/>
  <c r="A105" i="3"/>
  <c r="M104" i="3"/>
  <c r="L104" i="3"/>
  <c r="J104" i="3"/>
  <c r="I104" i="3"/>
  <c r="H104" i="3"/>
  <c r="G104" i="3"/>
  <c r="F104" i="3"/>
  <c r="E104" i="3"/>
  <c r="A104" i="3"/>
  <c r="M103" i="3"/>
  <c r="L103" i="3"/>
  <c r="J103" i="3"/>
  <c r="I103" i="3"/>
  <c r="H103" i="3"/>
  <c r="G103" i="3"/>
  <c r="F103" i="3"/>
  <c r="E103" i="3"/>
  <c r="A103" i="3"/>
  <c r="M102" i="3"/>
  <c r="L102" i="3"/>
  <c r="J102" i="3"/>
  <c r="I102" i="3"/>
  <c r="H102" i="3"/>
  <c r="G102" i="3"/>
  <c r="F102" i="3"/>
  <c r="E102" i="3"/>
  <c r="A102" i="3"/>
  <c r="M101" i="3"/>
  <c r="L101" i="3"/>
  <c r="J101" i="3"/>
  <c r="I101" i="3"/>
  <c r="H101" i="3"/>
  <c r="G101" i="3"/>
  <c r="F101" i="3"/>
  <c r="E101" i="3"/>
  <c r="A101" i="3"/>
  <c r="M100" i="3"/>
  <c r="L100" i="3"/>
  <c r="J100" i="3"/>
  <c r="I100" i="3"/>
  <c r="H100" i="3"/>
  <c r="G100" i="3"/>
  <c r="F100" i="3"/>
  <c r="E100" i="3"/>
  <c r="A100" i="3"/>
  <c r="M99" i="3"/>
  <c r="L99" i="3"/>
  <c r="J99" i="3"/>
  <c r="G99" i="3"/>
  <c r="F99" i="3"/>
  <c r="E99" i="3"/>
  <c r="A99" i="3"/>
  <c r="M98" i="3"/>
  <c r="L98" i="3"/>
  <c r="J98" i="3"/>
  <c r="G98" i="3"/>
  <c r="F98" i="3"/>
  <c r="E98" i="3"/>
  <c r="A98" i="3"/>
  <c r="M97" i="3"/>
  <c r="L97" i="3"/>
  <c r="J97" i="3"/>
  <c r="G97" i="3"/>
  <c r="F97" i="3"/>
  <c r="E97" i="3"/>
  <c r="A97" i="3"/>
  <c r="M96" i="3"/>
  <c r="L96" i="3"/>
  <c r="J96" i="3"/>
  <c r="I96" i="3"/>
  <c r="H96" i="3"/>
  <c r="G96" i="3"/>
  <c r="F96" i="3"/>
  <c r="E96" i="3"/>
  <c r="A96" i="3"/>
  <c r="M95" i="3"/>
  <c r="L95" i="3"/>
  <c r="J95" i="3"/>
  <c r="I95" i="3"/>
  <c r="H95" i="3"/>
  <c r="G95" i="3"/>
  <c r="F95" i="3"/>
  <c r="E95" i="3"/>
  <c r="A95" i="3"/>
  <c r="M94" i="3"/>
  <c r="L94" i="3"/>
  <c r="J94" i="3"/>
  <c r="I94" i="3"/>
  <c r="H94" i="3"/>
  <c r="G94" i="3"/>
  <c r="F94" i="3"/>
  <c r="E94" i="3"/>
  <c r="A94" i="3"/>
  <c r="M93" i="3"/>
  <c r="L93" i="3"/>
  <c r="J93" i="3"/>
  <c r="I93" i="3"/>
  <c r="H93" i="3"/>
  <c r="G93" i="3"/>
  <c r="F93" i="3"/>
  <c r="E93" i="3"/>
  <c r="A93" i="3"/>
  <c r="M92" i="3"/>
  <c r="L92" i="3"/>
  <c r="J92" i="3"/>
  <c r="I92" i="3"/>
  <c r="H92" i="3"/>
  <c r="G92" i="3"/>
  <c r="F92" i="3"/>
  <c r="E92" i="3"/>
  <c r="A92" i="3"/>
  <c r="M91" i="3"/>
  <c r="L91" i="3"/>
  <c r="J91" i="3"/>
  <c r="I91" i="3"/>
  <c r="H91" i="3"/>
  <c r="G91" i="3"/>
  <c r="F91" i="3"/>
  <c r="E91" i="3"/>
  <c r="A91" i="3"/>
  <c r="M90" i="3"/>
  <c r="L90" i="3"/>
  <c r="J90" i="3"/>
  <c r="I90" i="3"/>
  <c r="H90" i="3"/>
  <c r="G90" i="3"/>
  <c r="F90" i="3"/>
  <c r="E90" i="3"/>
  <c r="A90" i="3"/>
  <c r="M89" i="3"/>
  <c r="L89" i="3"/>
  <c r="J89" i="3"/>
  <c r="I89" i="3"/>
  <c r="H89" i="3"/>
  <c r="G89" i="3"/>
  <c r="F89" i="3"/>
  <c r="E89" i="3"/>
  <c r="A89" i="3"/>
  <c r="M88" i="3"/>
  <c r="L88" i="3"/>
  <c r="J88" i="3"/>
  <c r="G88" i="3"/>
  <c r="F88" i="3"/>
  <c r="E88" i="3"/>
  <c r="A88" i="3"/>
  <c r="M87" i="3"/>
  <c r="L87" i="3"/>
  <c r="J87" i="3"/>
  <c r="G87" i="3"/>
  <c r="F87" i="3"/>
  <c r="E87" i="3"/>
  <c r="A87" i="3"/>
  <c r="M86" i="3"/>
  <c r="L86" i="3"/>
  <c r="J86" i="3"/>
  <c r="G86" i="3"/>
  <c r="F86" i="3"/>
  <c r="E86" i="3"/>
  <c r="A86" i="3"/>
  <c r="M85" i="3"/>
  <c r="L85" i="3"/>
  <c r="J85" i="3"/>
  <c r="G85" i="3"/>
  <c r="F85" i="3"/>
  <c r="E85" i="3"/>
  <c r="A85" i="3"/>
  <c r="M84" i="3"/>
  <c r="L84" i="3"/>
  <c r="J84" i="3"/>
  <c r="G84" i="3"/>
  <c r="F84" i="3"/>
  <c r="E84" i="3"/>
  <c r="A84" i="3"/>
  <c r="M83" i="3"/>
  <c r="L83" i="3"/>
  <c r="J83" i="3"/>
  <c r="G83" i="3"/>
  <c r="F83" i="3"/>
  <c r="E83" i="3"/>
  <c r="A83" i="3"/>
  <c r="M82" i="3"/>
  <c r="L82" i="3"/>
  <c r="J82" i="3"/>
  <c r="G82" i="3"/>
  <c r="F82" i="3"/>
  <c r="E82" i="3"/>
  <c r="A82" i="3"/>
  <c r="M81" i="3"/>
  <c r="L81" i="3"/>
  <c r="J81" i="3"/>
  <c r="G81" i="3"/>
  <c r="F81" i="3"/>
  <c r="E81" i="3"/>
  <c r="A81" i="3"/>
  <c r="M80" i="3"/>
  <c r="L80" i="3"/>
  <c r="J80" i="3"/>
  <c r="G80" i="3"/>
  <c r="F80" i="3"/>
  <c r="E80" i="3"/>
  <c r="A80" i="3"/>
  <c r="M79" i="3"/>
  <c r="L79" i="3"/>
  <c r="J79" i="3"/>
  <c r="G79" i="3"/>
  <c r="F79" i="3"/>
  <c r="E79" i="3"/>
  <c r="A79" i="3"/>
  <c r="M78" i="3"/>
  <c r="L78" i="3"/>
  <c r="J78" i="3"/>
  <c r="G78" i="3"/>
  <c r="F78" i="3"/>
  <c r="E78" i="3"/>
  <c r="A78" i="3"/>
  <c r="M77" i="3"/>
  <c r="L77" i="3"/>
  <c r="J77" i="3"/>
  <c r="G77" i="3"/>
  <c r="F77" i="3"/>
  <c r="E77" i="3"/>
  <c r="A77" i="3"/>
  <c r="M76" i="3"/>
  <c r="L76" i="3"/>
  <c r="J76" i="3"/>
  <c r="G76" i="3"/>
  <c r="F76" i="3"/>
  <c r="E76" i="3"/>
  <c r="A76" i="3"/>
  <c r="M75" i="3"/>
  <c r="L75" i="3"/>
  <c r="J75" i="3"/>
  <c r="G75" i="3"/>
  <c r="F75" i="3"/>
  <c r="E75" i="3"/>
  <c r="A75" i="3"/>
  <c r="M74" i="3"/>
  <c r="L74" i="3"/>
  <c r="J74" i="3"/>
  <c r="G74" i="3"/>
  <c r="F74" i="3"/>
  <c r="E74" i="3"/>
  <c r="A74" i="3"/>
  <c r="M73" i="3"/>
  <c r="L73" i="3"/>
  <c r="J73" i="3"/>
  <c r="I73" i="3"/>
  <c r="H73" i="3"/>
  <c r="G73" i="3"/>
  <c r="F73" i="3"/>
  <c r="E73" i="3"/>
  <c r="A73" i="3"/>
  <c r="M72" i="3"/>
  <c r="L72" i="3"/>
  <c r="J72" i="3"/>
  <c r="I72" i="3"/>
  <c r="H72" i="3"/>
  <c r="G72" i="3"/>
  <c r="F72" i="3"/>
  <c r="E72" i="3"/>
  <c r="A72" i="3"/>
  <c r="M71" i="3"/>
  <c r="L71" i="3"/>
  <c r="J71" i="3"/>
  <c r="G71" i="3"/>
  <c r="F71" i="3"/>
  <c r="E71" i="3"/>
  <c r="A71" i="3"/>
  <c r="M70" i="3"/>
  <c r="L70" i="3"/>
  <c r="J70" i="3"/>
  <c r="G70" i="3"/>
  <c r="F70" i="3"/>
  <c r="E70" i="3"/>
  <c r="A70" i="3"/>
  <c r="M69" i="3"/>
  <c r="L69" i="3"/>
  <c r="J69" i="3"/>
  <c r="G69" i="3"/>
  <c r="F69" i="3"/>
  <c r="E69" i="3"/>
  <c r="A69" i="3"/>
  <c r="M68" i="3"/>
  <c r="L68" i="3"/>
  <c r="J68" i="3"/>
  <c r="G68" i="3"/>
  <c r="F68" i="3"/>
  <c r="E68" i="3"/>
  <c r="A68" i="3"/>
  <c r="M67" i="3"/>
  <c r="L67" i="3"/>
  <c r="J67" i="3"/>
  <c r="G67" i="3"/>
  <c r="F67" i="3"/>
  <c r="E67" i="3"/>
  <c r="A67" i="3"/>
  <c r="M66" i="3"/>
  <c r="L66" i="3"/>
  <c r="J66" i="3"/>
  <c r="G66" i="3"/>
  <c r="F66" i="3"/>
  <c r="E66" i="3"/>
  <c r="A66" i="3"/>
  <c r="M65" i="3"/>
  <c r="L65" i="3"/>
  <c r="J65" i="3"/>
  <c r="G65" i="3"/>
  <c r="F65" i="3"/>
  <c r="E65" i="3"/>
  <c r="A65" i="3"/>
  <c r="M64" i="3"/>
  <c r="L64" i="3"/>
  <c r="J64" i="3"/>
  <c r="G64" i="3"/>
  <c r="F64" i="3"/>
  <c r="E64" i="3"/>
  <c r="A64" i="3"/>
  <c r="M63" i="3"/>
  <c r="L63" i="3"/>
  <c r="J63" i="3"/>
  <c r="G63" i="3"/>
  <c r="F63" i="3"/>
  <c r="E63" i="3"/>
  <c r="A63" i="3"/>
  <c r="M62" i="3"/>
  <c r="L62" i="3"/>
  <c r="J62" i="3"/>
  <c r="G62" i="3"/>
  <c r="F62" i="3"/>
  <c r="E62" i="3"/>
  <c r="A62" i="3"/>
  <c r="M61" i="3"/>
  <c r="L61" i="3"/>
  <c r="J61" i="3"/>
  <c r="G61" i="3"/>
  <c r="F61" i="3"/>
  <c r="E61" i="3"/>
  <c r="A61" i="3"/>
  <c r="M60" i="3"/>
  <c r="L60" i="3"/>
  <c r="J60" i="3"/>
  <c r="G60" i="3"/>
  <c r="F60" i="3"/>
  <c r="E60" i="3"/>
  <c r="A60" i="3"/>
  <c r="M59" i="3"/>
  <c r="L59" i="3"/>
  <c r="J59" i="3"/>
  <c r="G59" i="3"/>
  <c r="F59" i="3"/>
  <c r="E59" i="3"/>
  <c r="A59" i="3"/>
  <c r="M58" i="3"/>
  <c r="L58" i="3"/>
  <c r="J58" i="3"/>
  <c r="G58" i="3"/>
  <c r="F58" i="3"/>
  <c r="E58" i="3"/>
  <c r="A58" i="3"/>
  <c r="M57" i="3"/>
  <c r="L57" i="3"/>
  <c r="J57" i="3"/>
  <c r="G57" i="3"/>
  <c r="F57" i="3"/>
  <c r="E57" i="3"/>
  <c r="A57" i="3"/>
  <c r="M56" i="3"/>
  <c r="L56" i="3"/>
  <c r="J56" i="3"/>
  <c r="G56" i="3"/>
  <c r="F56" i="3"/>
  <c r="E56" i="3"/>
  <c r="A56" i="3"/>
  <c r="M55" i="3"/>
  <c r="L55" i="3"/>
  <c r="J55" i="3"/>
  <c r="G55" i="3"/>
  <c r="F55" i="3"/>
  <c r="E55" i="3"/>
  <c r="A55" i="3"/>
  <c r="M54" i="3"/>
  <c r="L54" i="3"/>
  <c r="J54" i="3"/>
  <c r="G54" i="3"/>
  <c r="F54" i="3"/>
  <c r="E54" i="3"/>
  <c r="A54" i="3"/>
  <c r="M53" i="3"/>
  <c r="L53" i="3"/>
  <c r="J53" i="3"/>
  <c r="G53" i="3"/>
  <c r="F53" i="3"/>
  <c r="E53" i="3"/>
  <c r="A53" i="3"/>
  <c r="M52" i="3"/>
  <c r="L52" i="3"/>
  <c r="J52" i="3"/>
  <c r="G52" i="3"/>
  <c r="F52" i="3"/>
  <c r="E52" i="3"/>
  <c r="A52" i="3"/>
  <c r="M51" i="3"/>
  <c r="L51" i="3"/>
  <c r="K51" i="3"/>
  <c r="J51" i="3"/>
  <c r="G51" i="3"/>
  <c r="F51" i="3"/>
  <c r="E51" i="3"/>
  <c r="A51" i="3"/>
  <c r="M50" i="3"/>
  <c r="L50" i="3"/>
  <c r="K50" i="3"/>
  <c r="J50" i="3"/>
  <c r="G50" i="3"/>
  <c r="F50" i="3"/>
  <c r="E50" i="3"/>
  <c r="A50" i="3"/>
  <c r="M49" i="3"/>
  <c r="L49" i="3"/>
  <c r="K49" i="3"/>
  <c r="J49" i="3"/>
  <c r="G49" i="3"/>
  <c r="F49" i="3"/>
  <c r="E49" i="3"/>
  <c r="A49" i="3"/>
  <c r="M48" i="3"/>
  <c r="L48" i="3"/>
  <c r="K48" i="3"/>
  <c r="J48" i="3"/>
  <c r="G48" i="3"/>
  <c r="F48" i="3"/>
  <c r="E48" i="3"/>
  <c r="A48" i="3"/>
  <c r="M47" i="3"/>
  <c r="L47" i="3"/>
  <c r="K47" i="3"/>
  <c r="J47" i="3"/>
  <c r="G47" i="3"/>
  <c r="F47" i="3"/>
  <c r="E47" i="3"/>
  <c r="A47" i="3"/>
  <c r="M46" i="3"/>
  <c r="L46" i="3"/>
  <c r="K46" i="3"/>
  <c r="J46" i="3"/>
  <c r="I46" i="3"/>
  <c r="H46" i="3"/>
  <c r="G46" i="3"/>
  <c r="F46" i="3"/>
  <c r="E46" i="3"/>
  <c r="A46" i="3"/>
  <c r="M45" i="3"/>
  <c r="L45" i="3"/>
  <c r="K45" i="3"/>
  <c r="J45" i="3"/>
  <c r="G45" i="3"/>
  <c r="F45" i="3"/>
  <c r="E45" i="3"/>
  <c r="A45" i="3"/>
  <c r="M44" i="3"/>
  <c r="L44" i="3"/>
  <c r="K44" i="3"/>
  <c r="J44" i="3"/>
  <c r="G44" i="3"/>
  <c r="F44" i="3"/>
  <c r="E44" i="3"/>
  <c r="A44" i="3"/>
  <c r="M43" i="3"/>
  <c r="L43" i="3"/>
  <c r="K43" i="3"/>
  <c r="J43" i="3"/>
  <c r="I43" i="3"/>
  <c r="H43" i="3"/>
  <c r="G43" i="3"/>
  <c r="F43" i="3"/>
  <c r="E43" i="3"/>
  <c r="A43" i="3"/>
  <c r="M42" i="3"/>
  <c r="L42" i="3"/>
  <c r="K42" i="3"/>
  <c r="J42" i="3"/>
  <c r="G42" i="3"/>
  <c r="F42" i="3"/>
  <c r="E42" i="3"/>
  <c r="A42" i="3"/>
  <c r="M41" i="3"/>
  <c r="L41" i="3"/>
  <c r="K41" i="3"/>
  <c r="J41" i="3"/>
  <c r="G41" i="3"/>
  <c r="F41" i="3"/>
  <c r="E41" i="3"/>
  <c r="A41" i="3"/>
  <c r="M40" i="3"/>
  <c r="L40" i="3"/>
  <c r="K40" i="3"/>
  <c r="J40" i="3"/>
  <c r="I40" i="3"/>
  <c r="H40" i="3"/>
  <c r="G40" i="3"/>
  <c r="F40" i="3"/>
  <c r="E40" i="3"/>
  <c r="A40" i="3"/>
  <c r="M39" i="3"/>
  <c r="L39" i="3"/>
  <c r="K39" i="3"/>
  <c r="J39" i="3"/>
  <c r="G39" i="3"/>
  <c r="F39" i="3"/>
  <c r="E39" i="3"/>
  <c r="A39" i="3"/>
  <c r="M38" i="3"/>
  <c r="L38" i="3"/>
  <c r="K38" i="3"/>
  <c r="J38" i="3"/>
  <c r="I38" i="3"/>
  <c r="H38" i="3"/>
  <c r="G38" i="3"/>
  <c r="F38" i="3"/>
  <c r="E38" i="3"/>
  <c r="A38" i="3"/>
  <c r="M37" i="3"/>
  <c r="L37" i="3"/>
  <c r="K37" i="3"/>
  <c r="J37" i="3"/>
  <c r="I37" i="3"/>
  <c r="H37" i="3"/>
  <c r="G37" i="3"/>
  <c r="F37" i="3"/>
  <c r="E37" i="3"/>
  <c r="A37" i="3"/>
  <c r="M36" i="3"/>
  <c r="L36" i="3"/>
  <c r="K36" i="3"/>
  <c r="J36" i="3"/>
  <c r="I36" i="3"/>
  <c r="H36" i="3"/>
  <c r="G36" i="3"/>
  <c r="F36" i="3"/>
  <c r="E36" i="3"/>
  <c r="A36" i="3"/>
  <c r="M35" i="3"/>
  <c r="L35" i="3"/>
  <c r="K35" i="3"/>
  <c r="J35" i="3"/>
  <c r="G35" i="3"/>
  <c r="F35" i="3"/>
  <c r="E35" i="3"/>
  <c r="A35" i="3"/>
  <c r="M34" i="3"/>
  <c r="L34" i="3"/>
  <c r="K34" i="3"/>
  <c r="J34" i="3"/>
  <c r="G34" i="3"/>
  <c r="F34" i="3"/>
  <c r="E34" i="3"/>
  <c r="A34" i="3"/>
  <c r="M33" i="3"/>
  <c r="L33" i="3"/>
  <c r="K33" i="3"/>
  <c r="J33" i="3"/>
  <c r="I33" i="3"/>
  <c r="H33" i="3"/>
  <c r="G33" i="3"/>
  <c r="F33" i="3"/>
  <c r="E33" i="3"/>
  <c r="A33" i="3"/>
  <c r="M32" i="3"/>
  <c r="L32" i="3"/>
  <c r="K32" i="3"/>
  <c r="J32" i="3"/>
  <c r="G32" i="3"/>
  <c r="F32" i="3"/>
  <c r="E32" i="3"/>
  <c r="A32" i="3"/>
  <c r="M31" i="3"/>
  <c r="L31" i="3"/>
  <c r="K31" i="3"/>
  <c r="J31" i="3"/>
  <c r="G31" i="3"/>
  <c r="F31" i="3"/>
  <c r="E31" i="3"/>
  <c r="A31" i="3"/>
  <c r="M30" i="3"/>
  <c r="L30" i="3"/>
  <c r="K30" i="3"/>
  <c r="J30" i="3"/>
  <c r="G30" i="3"/>
  <c r="F30" i="3"/>
  <c r="E30" i="3"/>
  <c r="A30" i="3"/>
  <c r="M29" i="3"/>
  <c r="L29" i="3"/>
  <c r="K29" i="3"/>
  <c r="J29" i="3"/>
  <c r="I29" i="3"/>
  <c r="H29" i="3"/>
  <c r="G29" i="3"/>
  <c r="F29" i="3"/>
  <c r="E29" i="3"/>
  <c r="A29" i="3"/>
  <c r="M28" i="3"/>
  <c r="L28" i="3"/>
  <c r="K28" i="3"/>
  <c r="J28" i="3"/>
  <c r="G28" i="3"/>
  <c r="F28" i="3"/>
  <c r="E28" i="3"/>
  <c r="A28" i="3"/>
  <c r="M27" i="3"/>
  <c r="L27" i="3"/>
  <c r="K27" i="3"/>
  <c r="J27" i="3"/>
  <c r="I27" i="3"/>
  <c r="H27" i="3"/>
  <c r="G27" i="3"/>
  <c r="F27" i="3"/>
  <c r="E27" i="3"/>
  <c r="A27" i="3"/>
  <c r="M26" i="3"/>
  <c r="L26" i="3"/>
  <c r="K26" i="3"/>
  <c r="J26" i="3"/>
  <c r="G26" i="3"/>
  <c r="F26" i="3"/>
  <c r="E26" i="3"/>
  <c r="A26" i="3"/>
  <c r="M25" i="3"/>
  <c r="L25" i="3"/>
  <c r="K25" i="3"/>
  <c r="J25" i="3"/>
  <c r="G25" i="3"/>
  <c r="F25" i="3"/>
  <c r="E25" i="3"/>
  <c r="A25" i="3"/>
  <c r="M24" i="3"/>
  <c r="L24" i="3"/>
  <c r="K24" i="3"/>
  <c r="J24" i="3"/>
  <c r="G24" i="3"/>
  <c r="F24" i="3"/>
  <c r="E24" i="3"/>
  <c r="A24" i="3"/>
  <c r="M23" i="3"/>
  <c r="L23" i="3"/>
  <c r="K23" i="3"/>
  <c r="J23" i="3"/>
  <c r="G23" i="3"/>
  <c r="F23" i="3"/>
  <c r="E23" i="3"/>
  <c r="A23" i="3"/>
  <c r="M22" i="3"/>
  <c r="L22" i="3"/>
  <c r="K22" i="3"/>
  <c r="J22" i="3"/>
  <c r="G22" i="3"/>
  <c r="F22" i="3"/>
  <c r="E22" i="3"/>
  <c r="A22" i="3"/>
  <c r="M21" i="3"/>
  <c r="L21" i="3"/>
  <c r="K21" i="3"/>
  <c r="J21" i="3"/>
  <c r="G21" i="3"/>
  <c r="F21" i="3"/>
  <c r="E21" i="3"/>
  <c r="A21" i="3"/>
  <c r="M20" i="3"/>
  <c r="L20" i="3"/>
  <c r="K20" i="3"/>
  <c r="J20" i="3"/>
  <c r="G20" i="3"/>
  <c r="F20" i="3"/>
  <c r="E20" i="3"/>
  <c r="A20" i="3"/>
  <c r="M19" i="3"/>
  <c r="L19" i="3"/>
  <c r="K19" i="3"/>
  <c r="J19" i="3"/>
  <c r="G19" i="3"/>
  <c r="F19" i="3"/>
  <c r="E19" i="3"/>
  <c r="A19" i="3"/>
  <c r="M18" i="3"/>
  <c r="L18" i="3"/>
  <c r="K18" i="3"/>
  <c r="J18" i="3"/>
  <c r="G18" i="3"/>
  <c r="F18" i="3"/>
  <c r="E18" i="3"/>
  <c r="A18" i="3"/>
  <c r="M17" i="3"/>
  <c r="L17" i="3"/>
  <c r="K17" i="3"/>
  <c r="J17" i="3"/>
  <c r="G17" i="3"/>
  <c r="F17" i="3"/>
  <c r="E17" i="3"/>
  <c r="A17" i="3"/>
  <c r="M16" i="3"/>
  <c r="L16" i="3"/>
  <c r="K16" i="3"/>
  <c r="J16" i="3"/>
  <c r="G16" i="3"/>
  <c r="F16" i="3"/>
  <c r="E16" i="3"/>
  <c r="A16" i="3"/>
  <c r="M15" i="3"/>
  <c r="L15" i="3"/>
  <c r="K15" i="3"/>
  <c r="J15" i="3"/>
  <c r="G15" i="3"/>
  <c r="F15" i="3"/>
  <c r="E15" i="3"/>
  <c r="A15" i="3"/>
  <c r="M14" i="3"/>
  <c r="L14" i="3"/>
  <c r="K14" i="3"/>
  <c r="J14" i="3"/>
  <c r="G14" i="3"/>
  <c r="F14" i="3"/>
  <c r="E14" i="3"/>
  <c r="A14" i="3"/>
  <c r="M13" i="3"/>
  <c r="L13" i="3"/>
  <c r="K13" i="3"/>
  <c r="J13" i="3"/>
  <c r="G13" i="3"/>
  <c r="F13" i="3"/>
  <c r="E13" i="3"/>
  <c r="A13" i="3"/>
  <c r="M12" i="3"/>
  <c r="L12" i="3"/>
  <c r="K12" i="3"/>
  <c r="J12" i="3"/>
  <c r="G12" i="3"/>
  <c r="F12" i="3"/>
  <c r="E12" i="3"/>
  <c r="A12" i="3"/>
  <c r="M11" i="3"/>
  <c r="L11" i="3"/>
  <c r="K11" i="3"/>
  <c r="J11" i="3"/>
  <c r="G11" i="3"/>
  <c r="F11" i="3"/>
  <c r="E11" i="3"/>
  <c r="A11" i="3"/>
  <c r="M10" i="3"/>
  <c r="L10" i="3"/>
  <c r="K10" i="3"/>
  <c r="J10" i="3"/>
  <c r="G10" i="3"/>
  <c r="F10" i="3"/>
  <c r="E10" i="3"/>
  <c r="A10" i="3"/>
  <c r="M9" i="3"/>
  <c r="L9" i="3"/>
  <c r="K9" i="3"/>
  <c r="J9" i="3"/>
  <c r="G9" i="3"/>
  <c r="F9" i="3"/>
  <c r="E9" i="3"/>
  <c r="A9" i="3"/>
  <c r="M8" i="3"/>
  <c r="L8" i="3"/>
  <c r="K8" i="3"/>
  <c r="J8" i="3"/>
  <c r="G8" i="3"/>
  <c r="F8" i="3"/>
  <c r="E8" i="3"/>
  <c r="A8" i="3"/>
  <c r="M7" i="3"/>
  <c r="L7" i="3"/>
  <c r="K7" i="3"/>
  <c r="J7" i="3"/>
  <c r="G7" i="3"/>
  <c r="F7" i="3"/>
  <c r="E7" i="3"/>
  <c r="A7" i="3"/>
  <c r="M6" i="3"/>
  <c r="L6" i="3"/>
  <c r="K6" i="3"/>
  <c r="J6" i="3"/>
  <c r="G6" i="3"/>
  <c r="F6" i="3"/>
  <c r="E6" i="3"/>
  <c r="A6" i="3"/>
  <c r="M5" i="3"/>
  <c r="L5" i="3"/>
  <c r="K5" i="3"/>
  <c r="J5" i="3"/>
  <c r="G5" i="3"/>
  <c r="F5" i="3"/>
  <c r="E5" i="3"/>
  <c r="A5" i="3"/>
  <c r="M4" i="3"/>
  <c r="L4" i="3"/>
  <c r="K4" i="3"/>
  <c r="J4" i="3"/>
  <c r="G4" i="3"/>
  <c r="F4" i="3"/>
  <c r="E4" i="3"/>
  <c r="A4" i="3"/>
  <c r="M3" i="3"/>
  <c r="L3" i="3"/>
  <c r="K3" i="3"/>
  <c r="J3" i="3"/>
  <c r="G3" i="3"/>
  <c r="F3" i="3"/>
  <c r="E3" i="3"/>
  <c r="A3" i="3"/>
  <c r="M2" i="3"/>
  <c r="L2" i="3"/>
  <c r="K2" i="3"/>
  <c r="J2" i="3"/>
  <c r="G2" i="3"/>
  <c r="F2" i="3"/>
  <c r="E2" i="3"/>
  <c r="A2" i="3"/>
  <c r="V3" i="7" l="1" a="1"/>
  <c r="AN3" i="7" s="1"/>
  <c r="AU3" i="7" l="1"/>
  <c r="AV3" i="7"/>
  <c r="AG3" i="7"/>
  <c r="AW3" i="7"/>
  <c r="AQ3" i="7"/>
  <c r="Z3" i="7"/>
  <c r="AJ3" i="7"/>
  <c r="V3" i="7"/>
  <c r="AK3" i="7"/>
  <c r="AL3" i="7"/>
  <c r="W3" i="7"/>
  <c r="AM3" i="7"/>
  <c r="AD3" i="7"/>
  <c r="X3" i="7"/>
  <c r="AE3" i="7"/>
  <c r="AF3" i="7"/>
  <c r="Y3" i="7"/>
  <c r="AO3" i="7"/>
  <c r="AH3" i="7"/>
  <c r="AI3" i="7"/>
  <c r="AP3" i="7"/>
  <c r="AB3" i="7"/>
  <c r="AR3" i="7"/>
  <c r="AC3" i="7"/>
  <c r="AS3" i="7"/>
  <c r="AA3" i="7"/>
  <c r="AT3"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<sst xmlns="http://schemas.openxmlformats.org/spreadsheetml/2006/main" count="16533" uniqueCount="2038">
  <si>
    <t>Namespace</t>
  </si>
  <si>
    <t>Traitdata</t>
  </si>
  <si>
    <t>Taxon</t>
  </si>
  <si>
    <t>MeasurementOrFact</t>
  </si>
  <si>
    <t>Occurrence</t>
  </si>
  <si>
    <t>Metadata</t>
  </si>
  <si>
    <t>BiodiversityExploratories</t>
  </si>
  <si>
    <t>Traitlist</t>
  </si>
  <si>
    <t>columnName</t>
  </si>
  <si>
    <t>traitID</t>
  </si>
  <si>
    <t>scientificName</t>
  </si>
  <si>
    <t>traitName</t>
  </si>
  <si>
    <t>traitValue</t>
  </si>
  <si>
    <t>traitUnit</t>
  </si>
  <si>
    <t>verbatimScientificName</t>
  </si>
  <si>
    <t>verbatimTraitName</t>
  </si>
  <si>
    <t>verbatimTraitValue</t>
  </si>
  <si>
    <t>verbatimTraitUnit</t>
  </si>
  <si>
    <t>taxonID</t>
  </si>
  <si>
    <t>measurementID</t>
  </si>
  <si>
    <t>occurrenceID</t>
  </si>
  <si>
    <t>warnings</t>
  </si>
  <si>
    <t>taxonRank</t>
  </si>
  <si>
    <t>kingdom</t>
  </si>
  <si>
    <t>phylum</t>
  </si>
  <si>
    <t>class</t>
  </si>
  <si>
    <t>order</t>
  </si>
  <si>
    <t>family</t>
  </si>
  <si>
    <t>genus</t>
  </si>
  <si>
    <t>basisOfRecord</t>
  </si>
  <si>
    <t>basisOfRecordDescription</t>
  </si>
  <si>
    <t>references</t>
  </si>
  <si>
    <t>measurementResolution</t>
  </si>
  <si>
    <t>measurementMethod</t>
  </si>
  <si>
    <t>measurementDeterminedBy</t>
  </si>
  <si>
    <t>measurementDeterminedDate</t>
  </si>
  <si>
    <t>measurementRemarks</t>
  </si>
  <si>
    <t>aggregateMeasure</t>
  </si>
  <si>
    <t>individualCount</t>
  </si>
  <si>
    <t>dispersion</t>
  </si>
  <si>
    <t>measurementValue_min</t>
  </si>
  <si>
    <t>measurementValue_max</t>
  </si>
  <si>
    <t>measurementAccuracy</t>
  </si>
  <si>
    <t>statisticalMethod</t>
  </si>
  <si>
    <t>sex</t>
  </si>
  <si>
    <t>lifeStage</t>
  </si>
  <si>
    <t>age</t>
  </si>
  <si>
    <t>morphotype</t>
  </si>
  <si>
    <t>eventID</t>
  </si>
  <si>
    <t>preparations</t>
  </si>
  <si>
    <t>samplingProtocol</t>
  </si>
  <si>
    <t>year</t>
  </si>
  <si>
    <t>month</t>
  </si>
  <si>
    <t>day</t>
  </si>
  <si>
    <t>eventDate</t>
  </si>
  <si>
    <t>locationID</t>
  </si>
  <si>
    <t>habitat</t>
  </si>
  <si>
    <t>decimalLongitude</t>
  </si>
  <si>
    <t>decimalLatitude</t>
  </si>
  <si>
    <t>elevation</t>
  </si>
  <si>
    <t>geodeticDatum</t>
  </si>
  <si>
    <t>verbatimLocality</t>
  </si>
  <si>
    <t>country</t>
  </si>
  <si>
    <t>countryCode</t>
  </si>
  <si>
    <t>occurrenceRemarks</t>
  </si>
  <si>
    <t>datasetID</t>
  </si>
  <si>
    <t>datasetName</t>
  </si>
  <si>
    <t>datasetDescription</t>
  </si>
  <si>
    <t>author</t>
  </si>
  <si>
    <t>issued</t>
  </si>
  <si>
    <t>version</t>
  </si>
  <si>
    <t>bibliographicCitation</t>
  </si>
  <si>
    <t>conformsTo</t>
  </si>
  <si>
    <t>rightsHolder</t>
  </si>
  <si>
    <t>rights</t>
  </si>
  <si>
    <t>license</t>
  </si>
  <si>
    <t>OriginBE</t>
  </si>
  <si>
    <t>BEPlotID</t>
  </si>
  <si>
    <t>Exploratory</t>
  </si>
  <si>
    <t>BEType</t>
  </si>
  <si>
    <t>identifier</t>
  </si>
  <si>
    <t>trait</t>
  </si>
  <si>
    <t>broaderTerm</t>
  </si>
  <si>
    <t>narrowerTerm</t>
  </si>
  <si>
    <t>relatedTerm</t>
  </si>
  <si>
    <t>valueType</t>
  </si>
  <si>
    <t>expectedUnit</t>
  </si>
  <si>
    <t>factorLevels</t>
  </si>
  <si>
    <t>maxAllowedValue</t>
  </si>
  <si>
    <t>minAllowedValue</t>
  </si>
  <si>
    <t>traitDescription</t>
  </si>
  <si>
    <t>comments</t>
  </si>
  <si>
    <t>source</t>
  </si>
  <si>
    <t>scientificNameStd</t>
  </si>
  <si>
    <t>traitNameStd</t>
  </si>
  <si>
    <t>traitValueStd</t>
  </si>
  <si>
    <t>traitUnitStd</t>
  </si>
  <si>
    <t>factor</t>
  </si>
  <si>
    <t>character</t>
  </si>
  <si>
    <t>Date</t>
  </si>
  <si>
    <t>logical</t>
  </si>
  <si>
    <t>integer</t>
  </si>
  <si>
    <t>numeric</t>
  </si>
  <si>
    <t>Identifier</t>
  </si>
  <si>
    <t>http://terminologies.gfbio.org/terms/ETS/traitID</t>
  </si>
  <si>
    <t>http://terminologies.gfbio.org/terms/ETS/scientificName</t>
  </si>
  <si>
    <t>http://terminologies.gfbio.org/terms/ETS/traitName</t>
  </si>
  <si>
    <t>http://terminologies.gfbio.org/terms/ETS/traitValue</t>
  </si>
  <si>
    <t>http://terminologies.gfbio.org/terms/ETS/traitUnit</t>
  </si>
  <si>
    <t>http://terminologies.gfbio.org/terms/ETS/verbatimScientificName</t>
  </si>
  <si>
    <t>http://terminologies.gfbio.org/terms/ETS/verbatimTraitName</t>
  </si>
  <si>
    <t>http://terminologies.gfbio.org/terms/ETS/verbatimTraitValue</t>
  </si>
  <si>
    <t>http://terminologies.gfbio.org/terms/ETS/verbatimTraitUnit</t>
  </si>
  <si>
    <t>http://rs.tdwg.org/dwc/terms/taxonID</t>
  </si>
  <si>
    <t>http://terminologies.gfbio.org/terms/ETS/measurementID</t>
  </si>
  <si>
    <t>http://terminologies.gfbio.org/terms/ETS/occurrenceID</t>
  </si>
  <si>
    <t>http://terminologies.gfbio.org/terms/ETS/warnings</t>
  </si>
  <si>
    <t>http://rs.tdwg.org/dwc/terms/taxonRank</t>
  </si>
  <si>
    <t>http://rs.tdwg.org/dwc/terms/kingdom</t>
  </si>
  <si>
    <t>http://rs.tdwg.org/dwc/terms/phylum</t>
  </si>
  <si>
    <t>http://rs.tdwg.org/dwc/terms/class</t>
  </si>
  <si>
    <t>http://rs.tdwg.org/dwc/terms/order</t>
  </si>
  <si>
    <t>http://rs.tdwg.org/dwc/terms/family</t>
  </si>
  <si>
    <t>http://rs.tdwg.org/dwc/terms/genus</t>
  </si>
  <si>
    <t>http://terminologies.gfbio.org/terms/ETS/basisOfRecord</t>
  </si>
  <si>
    <t>http://terminologies.gfbio.org/terms/ETS/basisOfRecordDescription</t>
  </si>
  <si>
    <t>http://terminologies.gfbio.org/terms/ETS/references</t>
  </si>
  <si>
    <t>http://terminologies.gfbio.org/terms/ETS/measurementResolution</t>
  </si>
  <si>
    <t>http://terminologies.gfbio.org/terms/ETS/measurementMethod</t>
  </si>
  <si>
    <t>http://rs.tdwg.org/dwc/terms/measurementDeterminedBy</t>
  </si>
  <si>
    <t>http://rs.tdwg.org/dwc/terms/measurementDeterminedDate</t>
  </si>
  <si>
    <t>http://terminologies.gfbio.org/terms/ETS/measurementRemarks</t>
  </si>
  <si>
    <t>http://terminologies.gfbio.org/terms/ETS/aggregateMeasure</t>
  </si>
  <si>
    <t>http://terminologies.gfbio.org/terms/ETS/individualCount</t>
  </si>
  <si>
    <t>http://terminologies.gfbio.org/terms/ETS/dispersion</t>
  </si>
  <si>
    <t>http://terminologies.gfbio.org/terms/ETS/measurementValue_min</t>
  </si>
  <si>
    <t>http://terminologies.gfbio.org/terms/ETS/measurementValue_max</t>
  </si>
  <si>
    <t>http://terminologies.gfbio.org/terms/ETS/measurementAccuracy</t>
  </si>
  <si>
    <t>http://terminologies.gfbio.org/terms/ETS/statisticalMethod</t>
  </si>
  <si>
    <t>http://terminologies.gfbio.org/terms/ETS/sex</t>
  </si>
  <si>
    <t>http://terminologies.gfbio.org/terms/ETS/lifeStage</t>
  </si>
  <si>
    <t>http://terminologies.gfbio.org/terms/ETS/age</t>
  </si>
  <si>
    <t>http://terminologies.gfbio.org/terms/ETS/morphotype</t>
  </si>
  <si>
    <t>http://terminologies.gfbio.org/terms/ETS/eventID</t>
  </si>
  <si>
    <t>http://rs.tdwg.org/dwc/terms/preparations</t>
  </si>
  <si>
    <t>http://rs.tdwg.org/dwc/terms/samplingProtocol</t>
  </si>
  <si>
    <t>http://rs.tdwg.org/dwc/terms/year</t>
  </si>
  <si>
    <t>http://rs.tdwg.org/dwc/terms/month</t>
  </si>
  <si>
    <t>http://rs.tdwg.org/dwc/terms/day</t>
  </si>
  <si>
    <t>http://terminologies.gfbio.org/terms/ETS/eventDate</t>
  </si>
  <si>
    <t>http://rs.tdwg.org/dwc/terms/locationID</t>
  </si>
  <si>
    <t>http://terminologies.gfbio.org/terms/ETS/habitat</t>
  </si>
  <si>
    <t>http://rs.tdwg.org/dwc/terms/decimalLongitude</t>
  </si>
  <si>
    <t>http://rs.tdwg.org/dwc/terms/decimalLatitude</t>
  </si>
  <si>
    <t>http://terminologies.gfbio.org/terms/ETS/elevation</t>
  </si>
  <si>
    <t>http://rs.tdwg.org/dwc/terms/geodeticDatum</t>
  </si>
  <si>
    <t>http://rs.tdwg.org/dwc/terms/verbatimLocality</t>
  </si>
  <si>
    <t>http://rs.tdwg.org/dwc/terms/country</t>
  </si>
  <si>
    <t>http://rs.tdwg.org/dwc/terms/countryCode</t>
  </si>
  <si>
    <t>http://rs.tdwg.org/dwc/terms/occurrenceRemarks</t>
  </si>
  <si>
    <t>http://rs.tdwg.org/dwc/terms/datasetID</t>
  </si>
  <si>
    <t>http://rs.tdwg.org/dwc/terms/datasetName</t>
  </si>
  <si>
    <t>http://terminologies.gfbio.org/terms/ETS/datasetDescription</t>
  </si>
  <si>
    <t>http://terminologies.gfbio.org/terms/ETS/author</t>
  </si>
  <si>
    <t>http://terminologies.gfbio.org/terms/ETS/issued</t>
  </si>
  <si>
    <t>http://terminologies.gfbio.org/terms/ETS/version</t>
  </si>
  <si>
    <t>http://terminologies.gfbio.org/terms/ETS/bibliographicCitation</t>
  </si>
  <si>
    <t>http://terminologies.gfbio.org/terms/ETS/conformsTo</t>
  </si>
  <si>
    <t>http://terminologies.gfbio.org/terms/ETS/rightsHolder</t>
  </si>
  <si>
    <t>http://terminologies.gfbio.org/terms/ETS/rights</t>
  </si>
  <si>
    <t>http://terminologies.gfbio.org/terms/ETS/license</t>
  </si>
  <si>
    <t>http://terminologies.gfbio.org/terms/ETS/OriginBE</t>
  </si>
  <si>
    <t>http://terminologies.gfbio.org/terms/ETS/BEPlotID</t>
  </si>
  <si>
    <t>http://terminologies.gfbio.org/terms/ETS/Exploratory</t>
  </si>
  <si>
    <t>http://terminologies.gfbio.org/terms/ETS/BEType</t>
  </si>
  <si>
    <t>http://terminologies.gfbio.org/terms/ETS/identifier</t>
  </si>
  <si>
    <t>http://terminologies.gfbio.org/terms/ETS/trait</t>
  </si>
  <si>
    <t>http://terminologies.gfbio.org/terms/ETS/broaderTerm</t>
  </si>
  <si>
    <t>http://terminologies.gfbio.org/terms/ETS/narrowerTerm</t>
  </si>
  <si>
    <t>http://terminologies.gfbio.org/terms/ETS/relatedTerm</t>
  </si>
  <si>
    <t>http://terminologies.gfbio.org/terms/ETS/valueType</t>
  </si>
  <si>
    <t>http://terminologies.gfbio.org/terms/ETS/expectedUnit</t>
  </si>
  <si>
    <t>http://terminologies.gfbio.org/terms/ETS/factorLevels</t>
  </si>
  <si>
    <t>http://terminologies.gfbio.org/terms/ETS/maxAllowedValue</t>
  </si>
  <si>
    <t>http://terminologies.gfbio.org/terms/ETS/minAllowedValue</t>
  </si>
  <si>
    <t>http://terminologies.gfbio.org/terms/ETS/traitDescription</t>
  </si>
  <si>
    <t>http://terminologies.gfbio.org/terms/ETS/comments</t>
  </si>
  <si>
    <t>http://terminologies.gfbio.org/terms/ETS/source</t>
  </si>
  <si>
    <t>http://terminologies.gfbio.org/terms/ETS/scientificname</t>
  </si>
  <si>
    <t>http://terminologies.gfbio.org/terms/ETS/traitname</t>
  </si>
  <si>
    <t>http://terminologies.gfbio.org/terms/ETS/traitid</t>
  </si>
  <si>
    <t>http://terminologies.gfbio.org/terms/ETS/traitvalue</t>
  </si>
  <si>
    <t>http://terminologies.gfbio.org/terms/ETS/traitunit</t>
  </si>
  <si>
    <t>http://terminologies.gfbio.org/terms/ETS/scientificnamestd</t>
  </si>
  <si>
    <t>http://terminologies.gfbio.org/terms/ETS/traitnamestd</t>
  </si>
  <si>
    <t>http://terminologies.gfbio.org/terms/ETS/traitvaluestd</t>
  </si>
  <si>
    <t>http://terminologies.gfbio.org/terms/ETS/traitunitstd</t>
  </si>
  <si>
    <t>http://terminologies.gfbio.org/terms/ETS/measurementid</t>
  </si>
  <si>
    <t>http://terminologies.gfbio.org/terms/ETS/occurrenceid</t>
  </si>
  <si>
    <t>http://terminologies.gfbio.org/terms/ETS/basisofrecord</t>
  </si>
  <si>
    <t>http://terminologies.gfbio.org/terms/ETS/basisofrecorddescription</t>
  </si>
  <si>
    <t>http://terminologies.gfbio.org/terms/ETS/Identifier</t>
  </si>
  <si>
    <t>http://terminologies.gfbio.org/terms/ETS/Comments</t>
  </si>
  <si>
    <t>http://terminologies.gfbio.org/terms/ETS/scientificNameStd</t>
  </si>
  <si>
    <t>http://terminologies.gfbio.org/terms/ETS/traitNameStd</t>
  </si>
  <si>
    <t>http://terminologies.gfbio.org/terms/ETS/traitValueStd</t>
  </si>
  <si>
    <t>http://terminologies.gfbio.org/terms/ETS/traitUnitStd</t>
  </si>
  <si>
    <t>Refines</t>
  </si>
  <si>
    <t>http://rs.tdwg.org/dwc/terms/scientificName</t>
  </si>
  <si>
    <t>http://rs.tdwg.org/dwc/terms/measurementType</t>
  </si>
  <si>
    <t>http://rs.tdwg.org/dwc/terms/measurementValue</t>
  </si>
  <si>
    <t>http://rs.tdwg.org/dwc/terms/measurementUnit</t>
  </si>
  <si>
    <t>http://rs.tdwg.org/dwc/terms/measurementID</t>
  </si>
  <si>
    <t>http://rs.tdwg.org/dwc/terms/occurrenceID</t>
  </si>
  <si>
    <t>http://rs.tdwg.org/dwc/terms/basisOfRecord</t>
  </si>
  <si>
    <t>http://purl.org/dc/terms/references</t>
  </si>
  <si>
    <t>http://rs.tdwg.org/dwc/terms/measurementMethod</t>
  </si>
  <si>
    <t>http://rs.tdwg.org/dwc/terms/measurementRemarks</t>
  </si>
  <si>
    <t>http://rs.tdwg.org/dwc/terms/individualCount</t>
  </si>
  <si>
    <t>http://rs.tdwg.org/dwc/terms/measurementAccuracy</t>
  </si>
  <si>
    <t>http://rs.tdwg.org/dwc/terms/sex</t>
  </si>
  <si>
    <t>http://rs.tdwg.org/dwc/terms/lifeStage</t>
  </si>
  <si>
    <t>http://rs.tdwg.org/dwc/terms/eventID</t>
  </si>
  <si>
    <t>http://rs.tdwg.org/dwc/terms/eventDate</t>
  </si>
  <si>
    <t>http://rs.tdwg.org/dwc/terms/habitat</t>
  </si>
  <si>
    <t>http://rs.tdwg.org/dwc/terms/verbatimElevation</t>
  </si>
  <si>
    <t>http://purl.org/dc/terms/description</t>
  </si>
  <si>
    <t>http://purl.org/dc/terms/creator</t>
  </si>
  <si>
    <t>http://purl.org/dc/terms/issued</t>
  </si>
  <si>
    <t>http://purl.org/dc/terms/bibliographicCitation</t>
  </si>
  <si>
    <t>http://purl.org/dc/terms/conformsTo</t>
  </si>
  <si>
    <t>http://purl.org/dc/terms/rightsHolder</t>
  </si>
  <si>
    <t>http://purl.org/dc/terms/rights</t>
  </si>
  <si>
    <t>http://purl.org/dc/terms/license</t>
  </si>
  <si>
    <t>http://purl.org/dc/terms/identifier</t>
  </si>
  <si>
    <t>http://purl.org/dc/terms/title</t>
  </si>
  <si>
    <t>Replaces</t>
  </si>
  <si>
    <t>Deprecated</t>
  </si>
  <si>
    <t>ReplacedBy</t>
  </si>
  <si>
    <t>FirstIssuedIn</t>
  </si>
  <si>
    <t>v0.9.1</t>
  </si>
  <si>
    <t>v0.10</t>
  </si>
  <si>
    <t>v0.8</t>
  </si>
  <si>
    <t>v0.9</t>
  </si>
  <si>
    <t>DateIssued</t>
  </si>
  <si>
    <t>DateModified</t>
  </si>
  <si>
    <t>Definition</t>
  </si>
  <si>
    <t xml:space="preserve">Unique identifier of the trait according to a public ontology, or a user-provided thesaurus of traits. </t>
  </si>
  <si>
    <t>The full name, with authorship and date information if known. This should resolve to the currently valid (zoological) or accepted (botanical) taxon.</t>
  </si>
  <si>
    <t>Descriptive Name of the trait reported. This should follow the controlled vocabulary of a thesaurus of traits available online or published along with the dataset.</t>
  </si>
  <si>
    <t>Standardized measured value or factor level for this species trait. Numerical values must use the correct unit. Factor levels must be compliant with the thesaurus of traits.</t>
  </si>
  <si>
    <t>The units associated with the measurementValue. The expected standard unit for this trait as defined in the traitlist/ thesaurus.</t>
  </si>
  <si>
    <t>Original character string provided as species name or taxon identifier by the data provider.</t>
  </si>
  <si>
    <t>Original character string provided as trait label by the data provider.</t>
  </si>
  <si>
    <t>Measured raw value or factor level for this species trait as measured and provided by the data provider.</t>
  </si>
  <si>
    <t xml:space="preserve">Unit that the value reported in 'verbatimTraitValue' was measured in, if applicable (only for numeric values). </t>
  </si>
  <si>
    <t>An identifier for the set of taxon information (data associated with the Taxon class). May be a global unique identifier or an identifier specific to the data set.</t>
  </si>
  <si>
    <t>An identifier for the MeasurementOrFact (information pertaining to measurements, facts, characteristics, or assertions). May be a global unique identifier or an identifier specific to the data set.</t>
  </si>
  <si>
    <t>An identifier for the Occurrence (as opposed to a particular digital record of the occurrence). In the absence of a persistent global unique identifier, construct one from a combination of identifiers in the record that will most closely make the occurrenceID globally unique.</t>
  </si>
  <si>
    <t>Warnings on the quality or reliability of the reported trait value.</t>
  </si>
  <si>
    <t>The taxonomic rank of the most specific name in the scientificName. Recommended best practice is to use a controlled vocabulary.</t>
  </si>
  <si>
    <t>The full scientific name of the kingdom in which the taxon is classified.</t>
  </si>
  <si>
    <t>The full scientific name of the phylum or division in which the taxon is classified.</t>
  </si>
  <si>
    <t>The full scientific name of the class in which the taxon is classified.</t>
  </si>
  <si>
    <t>The full scientific name of the order in which the taxon is classified.</t>
  </si>
  <si>
    <t>The full scientific name of the family in which the taxon is classified.</t>
  </si>
  <si>
    <t>The full scientific name of the genus in which the taxon is classified.</t>
  </si>
  <si>
    <t>How and from which kind of specimen were the data obtained? Make use of controlled vocabulary. Valid entries are: 'LivingSpecimen'; 'PreservedSpecimen'; 'FossilSpecimen'; 'literatureData'; 'traitDatabase'; 'expertKnowledge' (see Comments)</t>
  </si>
  <si>
    <t>Adding more detail to the basisOfRecord.</t>
  </si>
  <si>
    <t xml:space="preserve">Precise reference to the source. If literature data, this should quote the book or online database. If museum specimen, this should report the name of the collection. If expert knowledge, this should name the authority, preferably using ORCID. If trait database, provide reference to the original publication, DOI or URL of the trait-database. </t>
  </si>
  <si>
    <t>If the trait information was originally given on another taxonomic level than species. Applies mainly for literature and expert knowledge data. not applying for measured data. The hierarchical level to which the trait data would refer.</t>
  </si>
  <si>
    <t xml:space="preserve">Applies primarily to measured data. The method, tools and scales used to measure a (numerical) trait value. A description of or reference to (publication, URI) the method or protocol used to determine the measurement, fact, characteristic, or assertion. </t>
  </si>
  <si>
    <t xml:space="preserve">A list (concatenated and separated) of names of people, groups, or organizations who determined the value of the measurement. </t>
  </si>
  <si>
    <t xml:space="preserve">The date on which the MeasurementOrFact was made. Recommended best practice is to use an encoding scheme, such as ISO 8601:2004(E). </t>
  </si>
  <si>
    <t>Remarks concerning a particular measurement, e.g. additional information on the quality and reliability, reference or acknowledgements.</t>
  </si>
  <si>
    <t>Is measurementValue reporting an individual measurement or an aggregate Measure? Takes a binary entry: TRUE or FALSE</t>
  </si>
  <si>
    <t>If measurement is an aggregate measure of multiple individuals or specimens, report number of specimens as count, i.e. integer number. Defaults to 1</t>
  </si>
  <si>
    <t>If aggregate measure of multiple individuals or specimens, the numeric value of dispersion (variance or standard deviation) for the mean value reported in measurementValue_user (no unit conversion is provided by the R-package!). Defaults to 0. If a value is provided, report the statistical method in the field statisticalMethod.</t>
  </si>
  <si>
    <t>The lower boundary of observed values. Instead of or in addition to dispersion metric.</t>
  </si>
  <si>
    <t>The upper boundary of observed values. Instead of or in addition to dispersion metric.</t>
  </si>
  <si>
    <t>The description of the potential error associated with the measurementValue.</t>
  </si>
  <si>
    <t>For aggregated measures, the method for data aggregation or averaging as well as the variation or range.</t>
  </si>
  <si>
    <t>The sex of the biological individual(s) represented in the Occurrence. Recommended best practice is to use a controlled vocabulary.</t>
  </si>
  <si>
    <t>The age class or life stage of the biological individual(s) at the time the Occurrence was recorded. Recommended best practice is to use a controlled vocabulary.</t>
  </si>
  <si>
    <t>The age of the specimen in years.</t>
  </si>
  <si>
    <t>The morphotype of the observed specimen.</t>
  </si>
  <si>
    <t>The sampling event or campaign. A globally valid URI or user specified character string that links to another table providing detailed information, e.g. environmental or temporal parameters, descriptions on methods etc..</t>
  </si>
  <si>
    <t xml:space="preserve">For preserved specimens, a list (concatenated and separated) of preparations and preservation methods for the occurrence. </t>
  </si>
  <si>
    <t xml:space="preserve">The name of, reference to, or description of the method or protocol used for obtaining the specimen. </t>
  </si>
  <si>
    <t xml:space="preserve">The four-digit year, at which the specimens were extracted or sampled. </t>
  </si>
  <si>
    <t xml:space="preserve">The ordinal month, in which the specimens were extracted or sampled. </t>
  </si>
  <si>
    <t>The integer day of the month on which the specimens were extracted or sampled.</t>
  </si>
  <si>
    <t>The date-time or interval during which an Event occurred. For occurrences, this is the date-time when the event was recorded. Not suitable for a time in a geological context. Recommended best practice is to use an encoding scheme, such as ISO 8601:2004(E). For lower precision, use year, month and day field instead.</t>
  </si>
  <si>
    <t>An identifier for the set of location information (data associated with dcterms:Location). May be a global unique identifier or an identifier specific to the data set.</t>
  </si>
  <si>
    <t>A category or description of the habitat in which the specimen occurred.</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</si>
  <si>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</si>
  <si>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The geographic latitude (in decimal degrees, using the spatial reference system given in geodeticDatum) of the geographic center of a Location. Positive values are north of the Equator, negative values are south of it. Legal values lie between -90 and 90, inclusive.</t>
  </si>
  <si>
    <t>The geographic elevation in meters above sea level.</t>
  </si>
  <si>
    <t>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t>
  </si>
  <si>
    <t>The specific description of the place.</t>
  </si>
  <si>
    <t>The name of the country or major administrative unit in which the Location occurs. Recommended best practice is to use a controlled vocabulary such as the Getty Thesaurus of Geographic Names.</t>
  </si>
  <si>
    <t>The standard code for the country in which the Location occurs. Recommended best practice is to use ISO 3166-1-alpha-2 country codes.</t>
  </si>
  <si>
    <t>Comments or notes about the Occurrence.</t>
  </si>
  <si>
    <t>An identifier for the set of data. May be a global unique identifier or an identifier specific to a collection or institution.</t>
  </si>
  <si>
    <t>The name identifying the data set from which the record was derived.</t>
  </si>
  <si>
    <t>An account of the resource.</t>
  </si>
  <si>
    <t>The person, organization or service primarily responsible for making the dataset.</t>
  </si>
  <si>
    <t xml:space="preserve">Date of formal issuance (e.g., publication) of the resource. Recommended best practice is to use an encoding scheme, such as ISO 8601:2004(E). </t>
  </si>
  <si>
    <t>The version of the dataset.</t>
  </si>
  <si>
    <t>A bibliographic reference for the resource as a statement indicating how this record should be cited (attributed) when used. Recommended practice is to include sufficient bibliographic detail to identify the resource as unambiguously as possible.</t>
  </si>
  <si>
    <t>An established standard to which the described resource conforms.</t>
  </si>
  <si>
    <t>A person or organization owning or managing rights over the resource, i.e. this dataset.</t>
  </si>
  <si>
    <t>Information about rights held in and over the resource.</t>
  </si>
  <si>
    <t>A legal document giving official permission to do something with the resource.</t>
  </si>
  <si>
    <t>Did measured specimens originate from Exploratories Plots? TRUE or FALSE, defaults to FALSE</t>
  </si>
  <si>
    <t>EP plot ID (or also any valid Gridplot ID or MIP ID) where the measured specimen was extracted.</t>
  </si>
  <si>
    <t>Exploratories Region (Hainich, Schorfheide, Alb) for sorting purpose and readability, or if exact Plot ID is not available.</t>
  </si>
  <si>
    <t>Defined code for landscape type of the exploratories plot.</t>
  </si>
  <si>
    <t>A unique identifier for the trait; globally unique or dataset-specific</t>
  </si>
  <si>
    <t>A descriptive trait name</t>
  </si>
  <si>
    <t>One or several terms that enclose the trait definition.</t>
  </si>
  <si>
    <t>One or several terms that are enclosed by the trait definition.</t>
  </si>
  <si>
    <t>One or several terms that relate to this term</t>
  </si>
  <si>
    <t>Type of trait values. Possible entries are 'numeric', 'integer', 'categorical', 'ordinal', 'logical', or 'character'.</t>
  </si>
  <si>
    <t>The unit expected for measurement entries.</t>
  </si>
  <si>
    <t>A comma separated list of terms comprising the constrained vocabulary for categorical traits or ordinal binary traits.</t>
  </si>
  <si>
    <t>A lower boundary for accepted numerical values.</t>
  </si>
  <si>
    <t>An upper boundary for accepted numerical values.</t>
  </si>
  <si>
    <t>A short, unambiguous definition of the trait as used in the specific study context; may refer to a method of measurement; may copy the description of a public trait ontology;</t>
  </si>
  <si>
    <t>Details and Examples for clarification of the trait definition.</t>
  </si>
  <si>
    <t>The original source of the trait definition</t>
  </si>
  <si>
    <t>Original character string provided as species name by the data owner (kept for reference and continuity)</t>
  </si>
  <si>
    <t>Name of the trait as used by the data provider (kept for compatibility on provider side).</t>
  </si>
  <si>
    <t>Measured raw value or factor level for this species trait as measured and provided by the author.</t>
  </si>
  <si>
    <t xml:space="preserve">Reports the unit that the author's raw data were measured in, if applicable (only for numeric values). For unitless numerical values, use 'unitless' in this field. For factorial values, leave empty or provide NA. </t>
  </si>
  <si>
    <t>Comment</t>
  </si>
  <si>
    <t>Examples: TO:0000181; TOP103; http://top-thesaurus.org/annotationInfo?viz=1&amp;&amp;trait=Seed_mass;</t>
  </si>
  <si>
    <t>Provide reference taxonomy in metadata of the dataset. Examples: "Coleoptera" (order), "Vespertilionidae" (family), "Manis" (genus), "Ctenomys sociabilis" (genus + specificEpithet), "Ambystoma tigrinum diaboli" (genus + specificEpithet + infraspecificEpithet), "Roptrocerus typographi (Györfi, 1952)" (genus + specificEpithet + scientificNameAuthorship), "Quercus agrifolia var. oxyadenia (Torr.) J.T. Howell" (genus + specificEpithet + taxonRank + infraspecificEpithet + scientificNameAuthorship). For discussion see http://terms.tdwg.org/wiki/dwc:scientificName</t>
  </si>
  <si>
    <t xml:space="preserve">Accompanying this, the traitID should provide an unambiguous link to the trait definition in the thesaurus or supplementary dataset. </t>
  </si>
  <si>
    <t>Using "." as a decimal separator! The standardized data values or factor levels must correspond to the expected units and factor levels of the trait thesaurus, e.g. "32.423", "female", "apter", "3"</t>
  </si>
  <si>
    <t>Recommended best practice is to use the International System of Units (SI). Examples: "mm", "C", "km", "ha". For discussion see http://terms.tdwg.org/wiki/dwc:measurementUnit</t>
  </si>
  <si>
    <t xml:space="preserve">kept for reference and continuity on the provider side; Can be any scientific taxon identifier used by the data provider, or in a project-specific context </t>
  </si>
  <si>
    <t xml:space="preserve">kept for reference and continuity on provider side; this can be a short name or user defined coded trait name. However, it is recommended to provide definition of the user provided trait names in the metadata. </t>
  </si>
  <si>
    <t xml:space="preserve">Must respect the unit given in 'measurementUnit_user' for numerical traits. For categorical traits, the factor levels should be harmonized across the dataset and explained in the metadata. </t>
  </si>
  <si>
    <t>For unitless numerical values, use 'unitless' in this field. For categorical values, leave empty or provide NA. For numerical values report unit in format for lengths "mm", for volumes "mm3" / "mm^3", areas "mm2" / "mm^2", for movement "m/s", or for volume to surface ratios: "mm3/mm2"</t>
  </si>
  <si>
    <t>Examples: "GBIF Backbone Taxonomy:497924", "8fa58e08-08de-4ac1-b69c-1235340b7001", "32567", "http://species.gbif.org/abies_alba_1753", "urn:lsid:gbif.org:usages:32567". For discussion see http://terms.tdwg.org/wiki/dwc:taxonID</t>
  </si>
  <si>
    <t xml:space="preserve">Links multi-value trait measurements, e.g. x-y-z coordinates of a morphometric landmark, biochemical compound quantities for different chainlengths. In this case, the trait names must specify the sub-measurement, e.g. "landmark32_x", and must be specified in a reference trait list, given in the field "measurementMethod". </t>
  </si>
  <si>
    <t xml:space="preserve">For a specimen in the absence of a bona fide global unique identifier, for example, use the form: "urn:catalog:[institutionCode]:[collectionCode]:[catalogNumber]. Examples: "urn:lsid:nhm.ku.edu:Herps:32", "urn:catalog:FMNH:Mammal:145732". For discussion see http://terms.tdwg.org/wiki/dwc:occurrenceID. This is important for the analysis of co-variation of morphometric data or intraspecific variation. It also couples multiple measurements on a single specimen, which also could be a leaf or a single bone without an assignment to an individual organism. If available, upload related dataset to describe specimens more precisely, e.g. environmental parameters or identity related information. </t>
  </si>
  <si>
    <t>Warnings from autogenerated data should be stored here, e.g. regarding a lack of match between the provided taxonID and the ontology, or the trait names or values, a mismatch in the units provided and the unit expected according to the trait table. User defined warnings and flags can be added as well, e.g. 'NOTUSE' to mark data that are unreliable or erroneous.</t>
  </si>
  <si>
    <t>This is to clarify cases where information is not given on a species level. Examples: "subspecies", "varietas", "forma", "species", "genus". For discussion see http://terms.tdwg.org/wiki/dwc:taxonRank</t>
  </si>
  <si>
    <t>Examples: "Animalia", "Plantae". For discussion see http://terms.tdwg.org/wiki/dwc:kingdom</t>
  </si>
  <si>
    <t>Examples: "Chordata" (phylum), "Bryophyta" (division). For discussion see http://terms.tdwg.org/wiki/dwc:phylum</t>
  </si>
  <si>
    <t>Examples: "Mammalia", "Hepaticopsida". For discussion see http://terms.tdwg.org/wiki/dwc:class</t>
  </si>
  <si>
    <t>Examples: "Carnivora", "Monocleales". For discussion see http://terms.tdwg.org/wiki/dwc:order</t>
  </si>
  <si>
    <t>Examples: "Felidae", "Monocleaceae". For discussion see http://terms.tdwg.org/wiki/dwc:family</t>
  </si>
  <si>
    <t>Examples: "Puma", "Monoclea". For discussion see http://terms.tdwg.org/wiki/dwc:genus</t>
  </si>
  <si>
    <t xml:space="preserve">Options are: Taken by own measurement (defined in DwC: http://rs.tdwg.org/dwc/terms/LivingSpecimen; http://rs.tdwg.org/dwc/terms/PreservedSpecimen; http://rs.tdwg.org/dwc/terms/FossilSpecimen ) or taken from literature (enter 'literatureData'), from an existing trait database (enter 'traitDatabase'), or expert knowledge (enter 'expertKnowledge'). Provide further information in field 'basisOfRecordDescription' and 'references'. </t>
  </si>
  <si>
    <t xml:space="preserve">If life specimens were sampled, where did they come from? Have they been reared in cultivation? If literature data or online database, provide type of literature, e.g. textbook, website, URL, etc. If preserved specimens were used, which method of preservation? In case of expert knowledge, give the name of the authority. </t>
  </si>
  <si>
    <t>Examples: "http://mvzarctos.berkeley.edu/guid/MVZ:Mamm:165861"; "http://www.catalogueoflife.org/annual-checklist/show_species_details.php?record_id=6197868". For discussion see http://terms.tdwg.org/wiki/dwc:references</t>
  </si>
  <si>
    <t>For example, information given in literature could state 'most species in this genus are winged', but the trait data could be given for each species in this genus.</t>
  </si>
  <si>
    <t xml:space="preserve">Should be a concise and standardized text entry or reference (publication, URI), referring to a particular method (e.g. 'direct weighing', 'length-mass regression', 'intertegular span', 'length between node X and y' ) and measurement conditions (e.g. certain temperature or humidity, name of device or scale used for measurement). To avoid repetition or lengthy entries, authors should use global identifiers of methodological terms if available, or enter dataset specific identifiers and provide a more detailed description of the method or protocol used to determine the measurement, fact, characteristic, or assertion in the metadata of the dataset. </t>
  </si>
  <si>
    <t>The recommended best practice is to separate the values with a vertical bar (' | '). Examples: "Rob Guralnick", "Julie Woodruff | Eileen Lacey". Can be encoded by dataset-specific identifiers for reasons of privacy. This is kept as a co-factor for repeated measurements.</t>
  </si>
  <si>
    <t>Examples: "1963-03-08T14:07-0600"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 For discussion see http://terms.tdwg.org/wiki/dwc:measurementDeterminedDate</t>
  </si>
  <si>
    <t xml:space="preserve">Any particularities about the individual measurement or specimen that might affect trait measuremnt, e.g. 'last antenna segment missing'. </t>
  </si>
  <si>
    <t xml:space="preserve">This is flagging aggregate data in an unambiguous way. Aggregate measures are often reported for repeated measures, e.g. replicate measurements of leaf size from a single plant individual or for grouped measurement, e.g. for weightings of a counted number of specimens (e.g. leaves or small organisms). </t>
  </si>
  <si>
    <t>Examples: "1", "25". For discussion see http://terms.tdwg.org/wiki/dwc:individualCount</t>
  </si>
  <si>
    <t>Examples: "0.01", "normal distribution with variation of 2 m". For discussion see http://terms.tdwg.org/wiki/dwc:measurementAccuracy</t>
  </si>
  <si>
    <t>Example:  'mean and standard deviation', 'median and 95% confidence interval', 'mean and variance', 'mean and range of values', 'median and 95% interquantile range'</t>
  </si>
  <si>
    <t>Use vocabulary: "male", "female", "subadult", "unknown", "hermaphrodite" (no abbreviations or numerical encodings)</t>
  </si>
  <si>
    <t xml:space="preserve">Recommended factor levels are: seed, seedling, sapling, adult, egg, larval_instar_1, larval_instar_2, larval_instar_3, ... , pupa; For very taxon-specific life stages, it is recommended to provide detailed explanation in the metadata of the dataset. </t>
  </si>
  <si>
    <t>Use integer or float numbers. Example: "2", "0.16".</t>
  </si>
  <si>
    <t xml:space="preserve">Examples: "worker", "drone", "queen". Since morphotypes can differ between organism groups, provide definition of morphotypes in the metadata of the dataset. </t>
  </si>
  <si>
    <t>Examples: a combination of date and sampling region</t>
  </si>
  <si>
    <t>Do not report procedures for measurement or sampling here (see samplingProtocol and measurementMethod). The recommended best practice is to separate the values with a vertical bar (' | '). Examples: "fossil", "cast", "photograph", "DNA extract", "skin | "skull | skeleton", "whole animal (ETOH) | tissue (EDTA)". For discussion see http://terms.tdwg.org/wiki/dwc:preparations</t>
  </si>
  <si>
    <t>Examples: "UV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 For discussion see http://terms.tdwg.org/wiki/dwc:samplingProtocol</t>
  </si>
  <si>
    <t>Example: "2008". For discussion see http://terms.tdwg.org/wiki/dwc:year</t>
  </si>
  <si>
    <t>Examples: "1" (=January), "10" (=October). For discussion see http://terms.tdwg.org/wiki/dwc:month</t>
  </si>
  <si>
    <t>Examples: "9", "28". For discussion see http://terms.tdwg.org/wiki/dwc:day</t>
  </si>
  <si>
    <t>Note: this is not to record the date when the specimens were measured (use measurementDeterminedDate for this). If applicable, at least provide a year. Providing a date is highly viable for studies analyzing temporal variation in traits. Examples: "1963-03-08T14:07-0600"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 For discussion see http://terms.tdwg.org/wiki/dwc:eventDate</t>
  </si>
  <si>
    <t>Could report the plot within the experimental setting which would be further specified in the metadata or in a separate dataset. For discussion see http://terms.tdwg.org/wiki/dwc:locationID</t>
  </si>
  <si>
    <t>Example: 'forest', 'grassland', 'oak savanna', 'pre-cordilleran steppe'. It is recommended to link to ecological ontologies, if available, using public URIs. For discussion see http://terms.tdwg.org/wiki/dwc:habitat</t>
  </si>
  <si>
    <t>Example: "-121.1761111". For discussion see http://terms.tdwg.org/wiki/dwc:decimalLongitude</t>
  </si>
  <si>
    <t>Example: "-41.0983423". For discussion see http://terms.tdwg.org/wiki/dwc:decimalLatitude</t>
  </si>
  <si>
    <t>May map to verbatimElevation (http://rs.tdwg.org/dwc/terms/verbatimElevation) or minimumElevationInMeters (http://rs.tdwg.org/dwc/terms/minimumElevationInMeters) and maximumElevationInMeters (http://rs.tdwg.org/dwc/terms/maximumElevationInMeters); Example: "200". For discussion see http://terms.tdwg.org/wiki/dwc:maximumElevationInMeters</t>
  </si>
  <si>
    <t>Examples: "EPSG:4326", "WGS84", "NAD27", "Campo Inchauspe", "European 1950", "Clarke 1866". For discussion see http://terms.tdwg.org/wiki/dwc:geodeticDatum</t>
  </si>
  <si>
    <t>Less specific geographic information can be provided in other geographic terms of Darwin Core (higherGeography, continent, country, stateProvince, county, municipality, waterBody, island, islandGroup). This term may contain information modified from the original to correct perceived errors or standardize the description. Example: "25 km NNE Bariloche por R. Nac. 237". For discussion see http://terms.tdwg.org/wiki/dwc:verbatimLocality</t>
  </si>
  <si>
    <t>Examples: "Germany", "Denmark", "Colombia", "España". For discussion see http://terms.tdwg.org/wiki/dwc:country;</t>
  </si>
  <si>
    <t>Examples:"DE" for Germany, "AR" for Argentina, "SV" for El Salvador. For discussion see http://terms.tdwg.org/wiki/dwc:countryCode</t>
  </si>
  <si>
    <t>Example: "found dead on road". For discussion see http://terms.tdwg.org/wiki/dwc:occurrenceRemarks</t>
  </si>
  <si>
    <t>Examples: BExIS ID, or a DOI referring to the published dataset ; For discussion see http://terms.tdwg.org/wiki/dwc:datasetID</t>
  </si>
  <si>
    <t>Examples: "Grinnell Resurvey Mammals", "Lacey Ctenomys Recaptures". For discussion see http://terms.tdwg.org/wiki/dwc:datasetName</t>
  </si>
  <si>
    <t>Description may include but is not limited to: an abstract, a table of contents, a graphical representation, or a free-text account of the resource.</t>
  </si>
  <si>
    <t>Multiple names may be provided; Examples: John Doe; Bob, Anne; http://orcid.org/0000-0002-1494-5684</t>
  </si>
  <si>
    <t>Can be a date or numeric versioning scheme, e.g. following semantic versioning https://semver.org/</t>
  </si>
  <si>
    <t>Examples: "Ctenomys sociabilis (MVZ 165861)" for a specimen, "Oliver P. Pearson. 1985. Los tuco-tucos (genera Ctenomys) de los Parques Nacionales Lanin y Nahuel Huapi, Argentina Historia Natural, 5(37):337-343." for a Taxon. For discussion see http://terms.tdwg.org/wiki/dwc:bibliographicCitation</t>
  </si>
  <si>
    <t>Literal reference (incl. version or date issued) and/or DOI of data standard that the dataset applies. Example: "Ecological Trait-data Standard Vocabulary, v0.9.1, URL: https://terminologies.gfbio.org/terms/ets/pages/, DOI: 10.5281/zenodo.1485739"</t>
  </si>
  <si>
    <t>Example: "The Regents of the University of California.". For discussion see http://terms.tdwg.org/wiki/dwc:rightsHolder</t>
  </si>
  <si>
    <t>Typically, rights information includes a statement about various property rights associated with the resource, including intellectual property rights.</t>
  </si>
  <si>
    <t>Examples: "http://creativecommons.org/publicdomain/zero/1.0/legalcode", "http://creativecommons.org/licenses/by/4.0/legalcode". For discussion see http://terms.tdwg.org/wiki/dwc:license</t>
  </si>
  <si>
    <t>As unambiguous flag for data and specimens that are originating from Exploratories sites.</t>
  </si>
  <si>
    <t>Only for specimen that were extracted from the Exploratories directly (or direct offspring, if hatched in the lab). Please also report it, even if this was not part of your research question and provide a Date (a year at last) if available.</t>
  </si>
  <si>
    <t>Use vocabulary: 'HAI'; 'SCH'; 'ALB'</t>
  </si>
  <si>
    <t>Use vocabulary: "W" for forest and "G" for grassland plot</t>
  </si>
  <si>
    <t>Identifiers are ideally globally unique and stable URIs which link to the source of the trait description in a public ontology or thesaurus of traits;</t>
  </si>
  <si>
    <t>Trait names should be unique but intuitively comprehensible. Additional specifications such as unit of measurement can be included in the name. Several words are separated by "_".</t>
  </si>
  <si>
    <t>The broader term is given as the unique identifier (traitID) of the broader trait. Each trait can only have one broader term.</t>
  </si>
  <si>
    <t>This allows to derive hierarchical trees of traits. Several traits can be listed as narrower terms of one trait.</t>
  </si>
  <si>
    <t>This allows to link terms of the same hierarchical level or of other branches of the ontology</t>
  </si>
  <si>
    <t>Numerical values represent measurements of length, volumes, ratios, rates or timespans. Integer values apply to count data (e.g. eggs per clutch). Binary data (encoded as 0 or 1) or logical data (coded as TRUE or FALSE) may apply to qualitative traits such as specific behavior during mating (e.g. are territories defended) or specialization to a given habitat (e.g. species restricted to relicts of primeval forests). Categorical traits should define a constrained set of factor levels, such as sex differences in wing morphology (both sexes winged, both sexes unwinged, only males winged, only females winged) or unconstrained entries such as color. Ordinal categorical traits may be better encoded as integer values, e.g. a logical sequence as in the case of life stages or hibernation stages, or habitat preference traits such as horizontal stratum use.</t>
  </si>
  <si>
    <t>Only applies to numerical traits. Should be given in SI units.</t>
  </si>
  <si>
    <t xml:space="preserve">Ordinal traits may be encoded with numerically indexed factor levels; e.g. 1_egg, 2_larvae, 3_pupae, 4_adult; the field traitDescription should define the factor levels; </t>
  </si>
  <si>
    <t xml:space="preserve">May be used for eliminating invalid data. This boundary may constrain a range of values of meaningful orders of magnitude, or constrain entries to positive values. </t>
  </si>
  <si>
    <t>May be used for eliminating invalid data. This boundary may constrain a range of values of meaningful orders of magnitude.</t>
  </si>
  <si>
    <t>The definition should make use of terms provided by existing public ontologies, e.g. 'the mass (PATO:mass), either fresh or dried, of a fruit (PO:fruit)'</t>
  </si>
  <si>
    <t>Can contain definition of trait levels or requirements for standardized conditions.</t>
  </si>
  <si>
    <t>Can be a DOI or bibliographic reference to the original publication of this trait definition</t>
  </si>
  <si>
    <t xml:space="preserve">Can be equal to scientificNameStd. Authors may use abbreviations, or use underscores to separate genus and species name. </t>
  </si>
  <si>
    <t xml:space="preserve">This can be a short name or user defined coded trait name. However, it is recommended to provide definition of the user provided trait names in the metadata. </t>
  </si>
  <si>
    <t>For numerical values report unit in format for lengths "mm", for volumes "mm3" / "mm^3", areas "mm2" / "mm^2", for movement "m/s", or for volume to surface ratios: "mm3/mm2"</t>
  </si>
  <si>
    <t>Trait type</t>
  </si>
  <si>
    <t>Complex or functional dimension</t>
  </si>
  <si>
    <t>Castillo-Figueroa_2021</t>
  </si>
  <si>
    <t>Soria_2021</t>
  </si>
  <si>
    <t>Cosentino_2023</t>
  </si>
  <si>
    <t>Froidevaux_2023</t>
  </si>
  <si>
    <t>Crane_2022</t>
  </si>
  <si>
    <t>Myhrvold_2015</t>
  </si>
  <si>
    <t>Gonçalvez_2018</t>
  </si>
  <si>
    <t>Geiselman_2020</t>
  </si>
  <si>
    <t>Tanalgo_2022</t>
  </si>
  <si>
    <t>Wilkinson_2002</t>
  </si>
  <si>
    <t>Herberstein_2022</t>
  </si>
  <si>
    <t>Laurindo_2020</t>
  </si>
  <si>
    <t>Barbaro_2019</t>
  </si>
  <si>
    <t>Stevens_2018</t>
  </si>
  <si>
    <t>Murillo-García_2018</t>
  </si>
  <si>
    <t>Renner_2018</t>
  </si>
  <si>
    <t>Farneda_2018</t>
  </si>
  <si>
    <t>Monadjem_2018</t>
  </si>
  <si>
    <t>Pereira_2018</t>
  </si>
  <si>
    <t>Presley_2018</t>
  </si>
  <si>
    <t>Reardon_2017</t>
  </si>
  <si>
    <t>Scheiner_2017</t>
  </si>
  <si>
    <t>Briones-Salas_2017</t>
  </si>
  <si>
    <t>Wordley_2017</t>
  </si>
  <si>
    <t>García-Morales_2016</t>
  </si>
  <si>
    <t>Charbonnier_2016</t>
  </si>
  <si>
    <t>Farneda_2015</t>
  </si>
  <si>
    <t>Cisneros_2014</t>
  </si>
  <si>
    <t>Stevens_2014</t>
  </si>
  <si>
    <t>Luck_2013</t>
  </si>
  <si>
    <t>Stevens_2013</t>
  </si>
  <si>
    <t>Hanspach_2012</t>
  </si>
  <si>
    <t>Stevens_2004</t>
  </si>
  <si>
    <t>Fukui_2009</t>
  </si>
  <si>
    <t>Sánchez_2017</t>
  </si>
  <si>
    <t>Lucho_2017</t>
  </si>
  <si>
    <t>Carrasco-Rueda_2020</t>
  </si>
  <si>
    <t>Pereira_2019</t>
  </si>
  <si>
    <t>Coelho_2018</t>
  </si>
  <si>
    <t>Morphological</t>
  </si>
  <si>
    <t>Size</t>
  </si>
  <si>
    <t>Body mass</t>
  </si>
  <si>
    <t>adult_mass_g</t>
  </si>
  <si>
    <t>Body mass (F/M/U)</t>
  </si>
  <si>
    <t>BodyMass</t>
  </si>
  <si>
    <t>adult_body_mass_g</t>
  </si>
  <si>
    <t>body_mass</t>
  </si>
  <si>
    <t>Body.mass (grams)</t>
  </si>
  <si>
    <t>body mass</t>
  </si>
  <si>
    <t>mass</t>
  </si>
  <si>
    <t>weight</t>
  </si>
  <si>
    <t>body weight</t>
  </si>
  <si>
    <t>Mass Mean</t>
  </si>
  <si>
    <t>Weight</t>
  </si>
  <si>
    <t>biomass</t>
  </si>
  <si>
    <t>female_body_mass_g</t>
  </si>
  <si>
    <t>Female 
mass (g)</t>
  </si>
  <si>
    <t>male_body_mass_g</t>
  </si>
  <si>
    <t>no_sex_body_mass_g</t>
  </si>
  <si>
    <t>original body mass</t>
  </si>
  <si>
    <t>Total length</t>
  </si>
  <si>
    <t>adult_body_length_mm</t>
  </si>
  <si>
    <t>Total length (F/M/U)</t>
  </si>
  <si>
    <t>adult_svl_cm</t>
  </si>
  <si>
    <t>body_length</t>
  </si>
  <si>
    <t>TL = Total length</t>
  </si>
  <si>
    <t>total length</t>
  </si>
  <si>
    <t>no_sex_svl_cm</t>
  </si>
  <si>
    <t>Head body length (F/M/U)</t>
  </si>
  <si>
    <t>male_svl_cm</t>
  </si>
  <si>
    <t>female_svl_cm</t>
  </si>
  <si>
    <t>Forearm length</t>
  </si>
  <si>
    <t>adult_forearm_length_mm</t>
  </si>
  <si>
    <t>Forearm length (F/M/U)</t>
  </si>
  <si>
    <t>ForearmLength</t>
  </si>
  <si>
    <t>forearm</t>
  </si>
  <si>
    <t>forearm length</t>
  </si>
  <si>
    <t xml:space="preserve">Forearm length </t>
  </si>
  <si>
    <t>FA = Forearm length</t>
  </si>
  <si>
    <t>forearm size</t>
  </si>
  <si>
    <t>Sexual dimorphism in size</t>
  </si>
  <si>
    <t>Wings</t>
  </si>
  <si>
    <t>Length of the third digit</t>
  </si>
  <si>
    <t>ThirdDigitLength</t>
  </si>
  <si>
    <t>Length of the fifth digit</t>
  </si>
  <si>
    <t>FifthDigitLength</t>
  </si>
  <si>
    <t>Wing loading</t>
  </si>
  <si>
    <t>Wing loading (F/M/U)</t>
  </si>
  <si>
    <t>WingLoadingIndex</t>
  </si>
  <si>
    <t>partial_wing_loading</t>
  </si>
  <si>
    <t>wing loading</t>
  </si>
  <si>
    <t>Wing load</t>
  </si>
  <si>
    <t>wing loading (total body mass/wing area)</t>
  </si>
  <si>
    <t>total_wing_loading</t>
  </si>
  <si>
    <t>relative_partial_loading</t>
  </si>
  <si>
    <t>relative wing loading</t>
  </si>
  <si>
    <t>relative_total_loading</t>
  </si>
  <si>
    <t>Aspect ratio</t>
  </si>
  <si>
    <t>Wing aspect ratio (F/M/U)</t>
  </si>
  <si>
    <t>AspectRatioIndex</t>
  </si>
  <si>
    <t>partial_aspect_ratio</t>
  </si>
  <si>
    <t>aspect ratio</t>
  </si>
  <si>
    <t>wing aspect ratio</t>
  </si>
  <si>
    <t>aspect ratio (squared wing span/wing area)</t>
  </si>
  <si>
    <t>Aspect ratio (ratio between wing span and width)</t>
  </si>
  <si>
    <t>total_aspect_ratio</t>
  </si>
  <si>
    <t>Tip shape index</t>
  </si>
  <si>
    <t>wingtip shape index</t>
  </si>
  <si>
    <t>Wing span</t>
  </si>
  <si>
    <t>Wingspan (F/M/U)</t>
  </si>
  <si>
    <t>wingspan</t>
  </si>
  <si>
    <t>Wing length (F/M/U)</t>
  </si>
  <si>
    <t>Wing area (F/M/U)</t>
  </si>
  <si>
    <t>wing_surface_area</t>
  </si>
  <si>
    <t>total wing area</t>
  </si>
  <si>
    <t>lifting_surface_area</t>
  </si>
  <si>
    <t>wing_area_rec</t>
  </si>
  <si>
    <t>Pollex</t>
  </si>
  <si>
    <t>Length of the pollex without claw</t>
  </si>
  <si>
    <t>Length of the pollex with claw</t>
  </si>
  <si>
    <t>Hindlimbs</t>
  </si>
  <si>
    <t>Length of the foot without claw</t>
  </si>
  <si>
    <t>length of the foot with claw</t>
  </si>
  <si>
    <t>Hind foot length (F/M/U)</t>
  </si>
  <si>
    <t>hind foot length</t>
  </si>
  <si>
    <t>Length of the tibia</t>
  </si>
  <si>
    <t>Length of calcaneus</t>
  </si>
  <si>
    <t>Head</t>
  </si>
  <si>
    <t>Length of the ear</t>
  </si>
  <si>
    <t>E = Ear length</t>
  </si>
  <si>
    <t>ear length</t>
  </si>
  <si>
    <t>Length of tragus</t>
  </si>
  <si>
    <t>Length of nose leaf</t>
  </si>
  <si>
    <t>Inner nostril width ratio</t>
  </si>
  <si>
    <t>brain_mass_g</t>
  </si>
  <si>
    <t>brain size</t>
  </si>
  <si>
    <t>original brain size</t>
  </si>
  <si>
    <t>Inter = Narrowest breadth of skull</t>
  </si>
  <si>
    <t>greatest skull length</t>
  </si>
  <si>
    <t>greatest length of skull</t>
  </si>
  <si>
    <t>Total skull length (TL)</t>
  </si>
  <si>
    <t>GSL = Greatest skull length</t>
  </si>
  <si>
    <t>Greatest length of skull</t>
  </si>
  <si>
    <t>greatest length of the skull</t>
  </si>
  <si>
    <t>braincase breadth</t>
  </si>
  <si>
    <t>breadth of braincase</t>
  </si>
  <si>
    <t>Brain = Breadth of brain case</t>
  </si>
  <si>
    <t>Breadth of braincase</t>
  </si>
  <si>
    <t>zygomatic breadth</t>
  </si>
  <si>
    <t>Zygomatic Breadth (ZB)</t>
  </si>
  <si>
    <t>Zyg = Zygomatic breadth</t>
  </si>
  <si>
    <t>Mast = Mastoid breadth</t>
  </si>
  <si>
    <t>condylobasal length</t>
  </si>
  <si>
    <t>Condylobasal length</t>
  </si>
  <si>
    <t>length of maxillary toothrow</t>
  </si>
  <si>
    <t>Maxillary Toothrow Length (MTL)</t>
  </si>
  <si>
    <t>maxillary tooth row length</t>
  </si>
  <si>
    <t>c-m3 = Length of upper tooth row</t>
  </si>
  <si>
    <t>Length of maxillary toothrow</t>
  </si>
  <si>
    <t>molar tooth row length</t>
  </si>
  <si>
    <t>breadth of post-orbital constriction</t>
  </si>
  <si>
    <t>post-orbital constriction</t>
  </si>
  <si>
    <t>Width across postorbital constriction</t>
  </si>
  <si>
    <t>breadth across upper molars</t>
  </si>
  <si>
    <t>breadth across molars</t>
  </si>
  <si>
    <t>Breadth across upper molars</t>
  </si>
  <si>
    <t>Postorbital Width (PW)</t>
  </si>
  <si>
    <t>Posterior Skull width (PSW)</t>
  </si>
  <si>
    <t>Palatal Width at canines (PW)</t>
  </si>
  <si>
    <t>c-c = Width across the upper canines</t>
  </si>
  <si>
    <t>Palatal Width at first molar (PW1)</t>
  </si>
  <si>
    <t>m3-m3 = Width across the upper molars</t>
  </si>
  <si>
    <t>Total Palate Length (TPL)</t>
  </si>
  <si>
    <t>Anterior Skull Length (ASL)</t>
  </si>
  <si>
    <t>Post-Palatal length (PPL)</t>
  </si>
  <si>
    <t>Dentary Depth under first molar (DD)</t>
  </si>
  <si>
    <t>Coronoid Process Height (CPH)</t>
  </si>
  <si>
    <t>Condyle height (CH)</t>
  </si>
  <si>
    <t>CI = Condylo-incisive length</t>
  </si>
  <si>
    <t>Condyle to Canine bite point distance (CC)</t>
  </si>
  <si>
    <t>CC = Condylo-canine length</t>
  </si>
  <si>
    <t>Condyle to first molar point distance (Cm1)</t>
  </si>
  <si>
    <t>CM3</t>
  </si>
  <si>
    <t>Condyle to last molar point distance (Cm3)</t>
  </si>
  <si>
    <t>Total Dentary Length (TDL)</t>
  </si>
  <si>
    <t>Condyle-Coronoid Length (CCL)</t>
  </si>
  <si>
    <t>Coronoid-Angular Length (CAL)</t>
  </si>
  <si>
    <t>Mandibular toothrow length (MAN)</t>
  </si>
  <si>
    <t>Mc-m3 = Mandibular tooth row length</t>
  </si>
  <si>
    <t>Mand = Mandibular length</t>
  </si>
  <si>
    <t>LCBLCCRatio</t>
  </si>
  <si>
    <t>Tail</t>
  </si>
  <si>
    <t>Tail length</t>
  </si>
  <si>
    <t>Tail length (F/M/U)</t>
  </si>
  <si>
    <t>tail_length</t>
  </si>
  <si>
    <t>T = Tail length</t>
  </si>
  <si>
    <t>tail length</t>
  </si>
  <si>
    <t>Uropatagium area</t>
  </si>
  <si>
    <t>Life history</t>
  </si>
  <si>
    <t>Reproductive</t>
  </si>
  <si>
    <t>Litters per year</t>
  </si>
  <si>
    <t>litters_per_year_n</t>
  </si>
  <si>
    <t>Number of litters per year</t>
  </si>
  <si>
    <t>litters_or_clutches_per_y</t>
  </si>
  <si>
    <t>Progeny 
per year</t>
  </si>
  <si>
    <t>Litter size</t>
  </si>
  <si>
    <t>litter_size_n</t>
  </si>
  <si>
    <t>LitterSize</t>
  </si>
  <si>
    <t>litter_or_clutch_size_n</t>
  </si>
  <si>
    <t>female fecundity</t>
  </si>
  <si>
    <t>fecundity</t>
  </si>
  <si>
    <t>Gestation duration</t>
  </si>
  <si>
    <t>gestation_length_d</t>
  </si>
  <si>
    <t>Total gestation length</t>
  </si>
  <si>
    <t>GestationTime</t>
  </si>
  <si>
    <t>gestation_d</t>
  </si>
  <si>
    <t>Active gestation length</t>
  </si>
  <si>
    <t>Lactation duration</t>
  </si>
  <si>
    <t>Lactation length</t>
  </si>
  <si>
    <t>teat_number_n</t>
  </si>
  <si>
    <t>neonate_mass_g</t>
  </si>
  <si>
    <t>Neonatal body mass</t>
  </si>
  <si>
    <t>birth_or_hatching_weight_g</t>
  </si>
  <si>
    <t>Neonate head-body length</t>
  </si>
  <si>
    <t>birth_or_hatching_svl_cm</t>
  </si>
  <si>
    <t>weaning_age_d</t>
  </si>
  <si>
    <t>Weaning length</t>
  </si>
  <si>
    <t>Weaning</t>
  </si>
  <si>
    <t>weaning_d</t>
  </si>
  <si>
    <t>weaning_mass_g</t>
  </si>
  <si>
    <t>Weaning body mass</t>
  </si>
  <si>
    <t>weaning_weight_g</t>
  </si>
  <si>
    <t>Weaning head-body length</t>
  </si>
  <si>
    <t>generation_length_d</t>
  </si>
  <si>
    <t>Generation.length</t>
  </si>
  <si>
    <t>Reproductive status</t>
  </si>
  <si>
    <t>reproductive_stage</t>
  </si>
  <si>
    <t>Parental cares</t>
  </si>
  <si>
    <t>age_first_reproduction_d</t>
  </si>
  <si>
    <t>Age of first birth</t>
  </si>
  <si>
    <t>interbirth_interval_d</t>
  </si>
  <si>
    <t>Interval between births</t>
  </si>
  <si>
    <t>inter_litter_or_interbirth_interval_y</t>
  </si>
  <si>
    <t>mean birth date</t>
  </si>
  <si>
    <t>average birth date</t>
  </si>
  <si>
    <t>Sperm retention</t>
  </si>
  <si>
    <t>Delayed implantation</t>
  </si>
  <si>
    <t>Delayed embryonic development</t>
  </si>
  <si>
    <t>max_longevity_d</t>
  </si>
  <si>
    <t>MaxLongevity</t>
  </si>
  <si>
    <t>maximum_longevity_y</t>
  </si>
  <si>
    <t>longevity_y</t>
  </si>
  <si>
    <t>Record 
life span</t>
  </si>
  <si>
    <t>Life-span in the wild</t>
  </si>
  <si>
    <t>Life-span in captivity</t>
  </si>
  <si>
    <t>status</t>
  </si>
  <si>
    <t>Sexual maturity age</t>
  </si>
  <si>
    <t>maturity_d</t>
  </si>
  <si>
    <t>Sexual maturity age (F/M/U)</t>
  </si>
  <si>
    <t>no_sex_maturity_d</t>
  </si>
  <si>
    <r>
      <rPr>
        <sz val="10"/>
        <color theme="1"/>
        <rFont val="Arial"/>
        <family val="2"/>
      </rPr>
      <t>female</t>
    </r>
    <r>
      <rPr>
        <sz val="10"/>
        <color theme="1"/>
        <rFont val="Arial"/>
        <family val="2"/>
      </rPr>
      <t>_maturity_d</t>
    </r>
  </si>
  <si>
    <t>SexualMaturityFemale</t>
  </si>
  <si>
    <t>female_maturity_d</t>
  </si>
  <si>
    <r>
      <rPr>
        <sz val="10"/>
        <color theme="1"/>
        <rFont val="Arial"/>
        <family val="2"/>
      </rPr>
      <t>male</t>
    </r>
    <r>
      <rPr>
        <sz val="10"/>
        <color theme="1"/>
        <rFont val="Arial"/>
        <family val="2"/>
      </rPr>
      <t>_maturity_d</t>
    </r>
  </si>
  <si>
    <t>SexualMaturityMale</t>
  </si>
  <si>
    <t>male_maturity_d</t>
  </si>
  <si>
    <t>female_svl_at_maturity_cm</t>
  </si>
  <si>
    <t>female_body_mass_at_maturity_g</t>
  </si>
  <si>
    <t>Mating systems</t>
  </si>
  <si>
    <t>Polygamy</t>
  </si>
  <si>
    <t>Polyandry</t>
  </si>
  <si>
    <t>Polygyny</t>
  </si>
  <si>
    <t>Monogamy</t>
  </si>
  <si>
    <t>Physiological</t>
  </si>
  <si>
    <t>Digestive capactiy</t>
  </si>
  <si>
    <t>DigestiveEfficiency</t>
  </si>
  <si>
    <t>Gut size</t>
  </si>
  <si>
    <t>Gut retention time of seeds</t>
  </si>
  <si>
    <t>Type of lingual papillae</t>
  </si>
  <si>
    <t>Metabolic rate</t>
  </si>
  <si>
    <t>BasalMetabolicRate</t>
  </si>
  <si>
    <t>metabolic rate</t>
  </si>
  <si>
    <t>original metabolic rate</t>
  </si>
  <si>
    <t>mass-specific metabolic rate</t>
  </si>
  <si>
    <t>BasalMetabolicRatePerc</t>
  </si>
  <si>
    <t>RestingMetabolicRate</t>
  </si>
  <si>
    <t>HeartRateFlight</t>
  </si>
  <si>
    <t>HeartRateResting</t>
  </si>
  <si>
    <t>TotalEvaporativeWaterLossRate</t>
  </si>
  <si>
    <t>SpeciesThermalIndex</t>
  </si>
  <si>
    <t>thermal index</t>
  </si>
  <si>
    <t>Body temperature</t>
  </si>
  <si>
    <t>BodyTempTNZ</t>
  </si>
  <si>
    <t>original temperature</t>
  </si>
  <si>
    <t>ResponseToNightlyTemperature</t>
  </si>
  <si>
    <t>ResponseToNightlyPrecipitation</t>
  </si>
  <si>
    <t>ResponseToNightlyWindSpeed</t>
  </si>
  <si>
    <t>hibernation_torpor</t>
  </si>
  <si>
    <t>Hibernation</t>
  </si>
  <si>
    <t>TorporBehavior</t>
  </si>
  <si>
    <t>Hibernate</t>
  </si>
  <si>
    <t>Hibernation length</t>
  </si>
  <si>
    <t>HeartRateTorpor</t>
  </si>
  <si>
    <t>MaxTorporBoutDuration</t>
  </si>
  <si>
    <t>MeanTorporBoutDuration</t>
  </si>
  <si>
    <t>Behavioral</t>
  </si>
  <si>
    <t>Migration</t>
  </si>
  <si>
    <t>Migratory</t>
  </si>
  <si>
    <t>migration strategy</t>
  </si>
  <si>
    <t>migration status</t>
  </si>
  <si>
    <t>Sociality</t>
  </si>
  <si>
    <t>social_group_size_n</t>
  </si>
  <si>
    <t>Territoriality (F/M/U)</t>
  </si>
  <si>
    <t>Foraging strategy</t>
  </si>
  <si>
    <t>Ability to fly</t>
  </si>
  <si>
    <t>Foraging guild</t>
  </si>
  <si>
    <t>foraging strategy</t>
  </si>
  <si>
    <t>foraging guild</t>
  </si>
  <si>
    <t>foraging method</t>
  </si>
  <si>
    <t>aerial</t>
  </si>
  <si>
    <t>Hawking</t>
  </si>
  <si>
    <t>Gleaning</t>
  </si>
  <si>
    <t>gleaning</t>
  </si>
  <si>
    <t xml:space="preserve">Flycatching </t>
  </si>
  <si>
    <t>Trawling</t>
  </si>
  <si>
    <t>Hovering</t>
  </si>
  <si>
    <t>hover</t>
  </si>
  <si>
    <t>Perching</t>
  </si>
  <si>
    <t>other</t>
  </si>
  <si>
    <t>Activity pattern</t>
  </si>
  <si>
    <t>activity_cycle</t>
  </si>
  <si>
    <t>Activity pattern/Dusk</t>
  </si>
  <si>
    <t>Activity pattern/Night</t>
  </si>
  <si>
    <t>Activity pattern/Dawn</t>
  </si>
  <si>
    <t>Activity pattern/Day</t>
  </si>
  <si>
    <t>SeasonalActivityPatternKurtosis</t>
  </si>
  <si>
    <t>SeasonalActivityPatternSkewness</t>
  </si>
  <si>
    <t>total activity level</t>
  </si>
  <si>
    <t>Trophic niche</t>
  </si>
  <si>
    <t>Feeding guild</t>
  </si>
  <si>
    <t>trophic_level</t>
  </si>
  <si>
    <t>DietType</t>
  </si>
  <si>
    <t>Feeding.groups</t>
  </si>
  <si>
    <t>Diet</t>
  </si>
  <si>
    <t>diet</t>
  </si>
  <si>
    <t>trophic functional groups</t>
  </si>
  <si>
    <t>trophic level</t>
  </si>
  <si>
    <t xml:space="preserve">Main trophic level </t>
  </si>
  <si>
    <t>Trophic guilds</t>
  </si>
  <si>
    <t>functional groups</t>
  </si>
  <si>
    <t>functional group</t>
  </si>
  <si>
    <t>dietary habits</t>
  </si>
  <si>
    <t>Insectivorous</t>
  </si>
  <si>
    <t>Frugivorous</t>
  </si>
  <si>
    <t>Nectarivorous</t>
  </si>
  <si>
    <t>Carnivorous</t>
  </si>
  <si>
    <t>Diet specialization</t>
  </si>
  <si>
    <t>TrophicSpecialization</t>
  </si>
  <si>
    <t>diet specialization</t>
  </si>
  <si>
    <t>dietary specialization</t>
  </si>
  <si>
    <t>Main Feeding Habits</t>
  </si>
  <si>
    <t>Diet specialisation</t>
  </si>
  <si>
    <t>FirstMainPreyItem</t>
  </si>
  <si>
    <t>SecondMainPreyItem</t>
  </si>
  <si>
    <t>ThirdMainPreyItem</t>
  </si>
  <si>
    <t>dphy_invertebrate</t>
  </si>
  <si>
    <t>invertebrates</t>
  </si>
  <si>
    <t>Invertebrates-general (Diet-Inv)</t>
  </si>
  <si>
    <t>dphy_vertebrate</t>
  </si>
  <si>
    <t>terrestrial vertebrates</t>
  </si>
  <si>
    <t>dphy_plant</t>
  </si>
  <si>
    <t>Plants</t>
  </si>
  <si>
    <t>det_inv</t>
  </si>
  <si>
    <t>Insects</t>
  </si>
  <si>
    <t>Arachnids</t>
  </si>
  <si>
    <t>Centipedes</t>
  </si>
  <si>
    <t>det_vend</t>
  </si>
  <si>
    <t>Birds</t>
  </si>
  <si>
    <t>Mammals</t>
  </si>
  <si>
    <t>blood</t>
  </si>
  <si>
    <t>blood of vertebrates (Diet-Vend)</t>
  </si>
  <si>
    <t>det_vect</t>
  </si>
  <si>
    <t>Reptiles, snakes, amphibians, salamanders (Diet-Vect)</t>
  </si>
  <si>
    <t>Reptiles</t>
  </si>
  <si>
    <t>Amphibians</t>
  </si>
  <si>
    <t>det_vfish</t>
  </si>
  <si>
    <t>Fishes</t>
  </si>
  <si>
    <t>fish</t>
  </si>
  <si>
    <t>det_vunk</t>
  </si>
  <si>
    <t>det_scav</t>
  </si>
  <si>
    <t>det_fruit</t>
  </si>
  <si>
    <t>Fruits</t>
  </si>
  <si>
    <t>fruit</t>
  </si>
  <si>
    <t>Fruit, drupes (Diet-Fruit)</t>
  </si>
  <si>
    <t>det_nect</t>
  </si>
  <si>
    <t>Nectar</t>
  </si>
  <si>
    <t>nectar</t>
  </si>
  <si>
    <t>Nectar, pollen, plant exudates, gums (Diet-Nect).</t>
  </si>
  <si>
    <t>det_seed</t>
  </si>
  <si>
    <t>Seeds</t>
  </si>
  <si>
    <t>det_plantother</t>
  </si>
  <si>
    <t>Leaves</t>
  </si>
  <si>
    <t>Flowers</t>
  </si>
  <si>
    <t>det_diet_breadth_n</t>
  </si>
  <si>
    <t>DietaryNicheBreadth</t>
  </si>
  <si>
    <t>DietaryDiversity</t>
  </si>
  <si>
    <t>Bite force</t>
  </si>
  <si>
    <t>Dental formula</t>
  </si>
  <si>
    <t>Number of teeth</t>
  </si>
  <si>
    <t>Spatial niche</t>
  </si>
  <si>
    <t>Foraging hábitat</t>
  </si>
  <si>
    <t>foraging_stratum</t>
  </si>
  <si>
    <t>vertical stratification</t>
  </si>
  <si>
    <t xml:space="preserve">Foraging guild </t>
  </si>
  <si>
    <t>foraging location</t>
  </si>
  <si>
    <t>Foraging location</t>
  </si>
  <si>
    <t>foraging habitat</t>
  </si>
  <si>
    <t>above canopy</t>
  </si>
  <si>
    <t>canopy</t>
  </si>
  <si>
    <t>subcanopy</t>
  </si>
  <si>
    <t>understory</t>
  </si>
  <si>
    <t>Ground</t>
  </si>
  <si>
    <t>Aerial</t>
  </si>
  <si>
    <t>Vegetation</t>
  </si>
  <si>
    <t xml:space="preserve">Clutter </t>
  </si>
  <si>
    <t>Clutter_Edge</t>
  </si>
  <si>
    <t>Open</t>
  </si>
  <si>
    <t>CriticalFeedingAreasOpenHabitat</t>
  </si>
  <si>
    <t>open habitat</t>
  </si>
  <si>
    <t>freshwater</t>
  </si>
  <si>
    <t>Aquatic</t>
  </si>
  <si>
    <t>CriticalFeedingAreasWaterBodies</t>
  </si>
  <si>
    <t>above water</t>
  </si>
  <si>
    <t>marine</t>
  </si>
  <si>
    <t>CriticalFeedingAreasForest</t>
  </si>
  <si>
    <t>CriticalFeedingAreasWoodedRiparianHabitat</t>
  </si>
  <si>
    <t>CriticalFeedingAreasWetland</t>
  </si>
  <si>
    <t>CriticalFeedingAreasGrassland</t>
  </si>
  <si>
    <t>CriticalFeedingAreasHedgerows</t>
  </si>
  <si>
    <t>CriticalFeedingAreasOrchard</t>
  </si>
  <si>
    <t>CriticalFeedingAreasShrubland</t>
  </si>
  <si>
    <t>CriticalFeedingAreasUrbanParKGarden</t>
  </si>
  <si>
    <t>Vertical stratification</t>
  </si>
  <si>
    <t>terrestrial_non-volant</t>
  </si>
  <si>
    <t>terrestrial_volant</t>
  </si>
  <si>
    <t>ManoeuvrabilityTurningDiameter</t>
  </si>
  <si>
    <t>PropFlightAtHeight</t>
  </si>
  <si>
    <t>flight heigth</t>
  </si>
  <si>
    <t>Home range</t>
  </si>
  <si>
    <t>home_range_km2</t>
  </si>
  <si>
    <t>Home range (F/M/U)</t>
  </si>
  <si>
    <t>HomeRange</t>
  </si>
  <si>
    <t>home range size</t>
  </si>
  <si>
    <t>MaxRecordedMovement</t>
  </si>
  <si>
    <t>mobility</t>
  </si>
  <si>
    <t>dispersal_km</t>
  </si>
  <si>
    <t>Dispersal distance (F/M/U)</t>
  </si>
  <si>
    <t>DispersalDistances</t>
  </si>
  <si>
    <t>MeanNightlyDistance</t>
  </si>
  <si>
    <t>MaxNightlyDistance</t>
  </si>
  <si>
    <t>density_n_km2</t>
  </si>
  <si>
    <t>fossoriality</t>
  </si>
  <si>
    <t>upper_elevation_m</t>
  </si>
  <si>
    <t>UpperElevationLimit</t>
  </si>
  <si>
    <t>lower_elevation_m</t>
  </si>
  <si>
    <t>AltitudinalMigration</t>
  </si>
  <si>
    <t>altitude_breadth_m</t>
  </si>
  <si>
    <t>island_dwelling</t>
  </si>
  <si>
    <t>island_endemicity</t>
  </si>
  <si>
    <t>IslandEndemic</t>
  </si>
  <si>
    <t>Island.endemism</t>
  </si>
  <si>
    <t>Geopolitical.endemism</t>
  </si>
  <si>
    <t>dissected_by_mountains</t>
  </si>
  <si>
    <t>glaciation</t>
  </si>
  <si>
    <r>
      <rPr>
        <sz val="10"/>
        <color theme="1"/>
        <rFont val="Arial"/>
        <family val="2"/>
      </rPr>
      <t>biogeographical</t>
    </r>
    <r>
      <rPr>
        <sz val="10"/>
        <color theme="1"/>
        <rFont val="Arial"/>
        <family val="2"/>
      </rPr>
      <t>_realm</t>
    </r>
  </si>
  <si>
    <t>Biogeographic.breadth</t>
  </si>
  <si>
    <t>biogeographical range</t>
  </si>
  <si>
    <t>EstExtentOccurrence</t>
  </si>
  <si>
    <t>GeographicRange</t>
  </si>
  <si>
    <t>Current.range</t>
  </si>
  <si>
    <t>Natural.range</t>
  </si>
  <si>
    <r>
      <rPr>
        <sz val="10"/>
        <color theme="1"/>
        <rFont val="Arial"/>
        <family val="2"/>
      </rPr>
      <t>habitat</t>
    </r>
    <r>
      <rPr>
        <sz val="10"/>
        <color theme="1"/>
        <rFont val="Arial"/>
        <family val="2"/>
      </rPr>
      <t>_breadth_n</t>
    </r>
  </si>
  <si>
    <t>Habitat</t>
  </si>
  <si>
    <t>SpeciesHabitatSpecializationIndex</t>
  </si>
  <si>
    <t>habitat specilization</t>
  </si>
  <si>
    <t>DeciduousForestAffinitySmallScale</t>
  </si>
  <si>
    <t>ConiferousForestAffinitySmallScale</t>
  </si>
  <si>
    <t>DenseUrbanAreaAffinitySmallScale</t>
  </si>
  <si>
    <t>FreshwaterAffinitySmallScale</t>
  </si>
  <si>
    <t>CroplandAffinitySmallScale</t>
  </si>
  <si>
    <t>GrasslandAffinitySmallScale</t>
  </si>
  <si>
    <t>DeciduousForestAffinityMediumScale</t>
  </si>
  <si>
    <t>ConiferousForestAffinityMediumScale</t>
  </si>
  <si>
    <t>DenseUrbanAreaAffinityMediumScale</t>
  </si>
  <si>
    <t>FreshwaterAffinityMediumScale</t>
  </si>
  <si>
    <t>CroplandAffinityMediumScale</t>
  </si>
  <si>
    <t>GrasslandAffinityMediumScale</t>
  </si>
  <si>
    <t>DeciduousForestAffinityLargeScale</t>
  </si>
  <si>
    <t>ConiferousForestAffinityLargeScale</t>
  </si>
  <si>
    <t>DenseUrbanAreaAffinityLargeScale</t>
  </si>
  <si>
    <t>FreshwaterAffinityLargeScale</t>
  </si>
  <si>
    <t>CroplandAffinityLargeScale</t>
  </si>
  <si>
    <t>GrasslandAffinityLargeScale</t>
  </si>
  <si>
    <t>Forest</t>
  </si>
  <si>
    <t>Savanna</t>
  </si>
  <si>
    <t>Desert</t>
  </si>
  <si>
    <t>Urban</t>
  </si>
  <si>
    <t>Underground</t>
  </si>
  <si>
    <t>Wetlands</t>
  </si>
  <si>
    <t>Type of roost</t>
  </si>
  <si>
    <t>roost site</t>
  </si>
  <si>
    <t>nest or roost site location</t>
  </si>
  <si>
    <t>Roost type</t>
  </si>
  <si>
    <t>Type of shelterused</t>
  </si>
  <si>
    <t>Roost type/Crevices in rocks (CRR)</t>
  </si>
  <si>
    <t>Roost type/Crevices in trees (CRT)</t>
  </si>
  <si>
    <t>Roost type/Caves and sinkhole (CA)</t>
  </si>
  <si>
    <t>Cave 
roost</t>
  </si>
  <si>
    <t>Roost type/Foliage (FO)</t>
  </si>
  <si>
    <t>Roost type/Human buildings (HB)</t>
  </si>
  <si>
    <t>Roost type/Rocky outcrops (RO)</t>
  </si>
  <si>
    <t>Roost type/Holes in the ground (HG)</t>
  </si>
  <si>
    <t xml:space="preserve">OvergroundRoostDependence-Castle
</t>
  </si>
  <si>
    <t xml:space="preserve">OvergroundRoostDependence-Church
</t>
  </si>
  <si>
    <t xml:space="preserve">OvergroundRoostDependence-House
</t>
  </si>
  <si>
    <t xml:space="preserve">OvergroundRoostDependence-Barn
</t>
  </si>
  <si>
    <t xml:space="preserve">OvergroundRoostDependence-Bridge
</t>
  </si>
  <si>
    <t xml:space="preserve">OvergroundRoostDependence-Tree
</t>
  </si>
  <si>
    <t>Nursery roost</t>
  </si>
  <si>
    <t>nursery site</t>
  </si>
  <si>
    <t>Nursery roost size</t>
  </si>
  <si>
    <t>FirstMainHibernationRoost</t>
  </si>
  <si>
    <t>FirstMainMaternityRoost</t>
  </si>
  <si>
    <t>SecondMainHibernationRoost</t>
  </si>
  <si>
    <t>SecondMainMaternityRoost</t>
  </si>
  <si>
    <t>ThirdMainHibernationRoost</t>
  </si>
  <si>
    <t>ThirdMainMaternityRoost</t>
  </si>
  <si>
    <t>Colony size</t>
  </si>
  <si>
    <t>Colony 
size</t>
  </si>
  <si>
    <t>Mixed colony</t>
  </si>
  <si>
    <t>Echolocation</t>
  </si>
  <si>
    <t>Echolocation type</t>
  </si>
  <si>
    <t>CallType</t>
  </si>
  <si>
    <t>ecolocation strategy</t>
  </si>
  <si>
    <t>echolocation call type</t>
  </si>
  <si>
    <t>echolocation frequency</t>
  </si>
  <si>
    <t>CallBandwidth</t>
  </si>
  <si>
    <t>Duration</t>
  </si>
  <si>
    <t>CallDuration</t>
  </si>
  <si>
    <t>Interval</t>
  </si>
  <si>
    <t>InterpulseInterval</t>
  </si>
  <si>
    <t>Frequency</t>
  </si>
  <si>
    <t>Frequency of maximum energy (FME)</t>
  </si>
  <si>
    <t>CallPeakFrequency</t>
  </si>
  <si>
    <t>peak frequency</t>
  </si>
  <si>
    <t>frequency of maximum energy</t>
  </si>
  <si>
    <t>End frequency (EF)</t>
  </si>
  <si>
    <t>CallEndFrequency</t>
  </si>
  <si>
    <t>CallMaxFrequency</t>
  </si>
  <si>
    <t>CallMidFrequency</t>
  </si>
  <si>
    <t>CallMinFrequency</t>
  </si>
  <si>
    <t>CallSlope</t>
  </si>
  <si>
    <t>CallStartFrequency</t>
  </si>
  <si>
    <t>rateBuzz</t>
  </si>
  <si>
    <t>buzzDuration</t>
  </si>
  <si>
    <t>buzzPeakFrequency</t>
  </si>
  <si>
    <t>Intensity</t>
  </si>
  <si>
    <t>Harmonics</t>
  </si>
  <si>
    <t>Genetic</t>
  </si>
  <si>
    <t>Genetic composition</t>
  </si>
  <si>
    <t>AllelicRichness</t>
  </si>
  <si>
    <t>CompleteMitochondrialGenome(bp)</t>
  </si>
  <si>
    <t>GeneticPopulationStructure</t>
  </si>
  <si>
    <t>GenomeSize_(Gb)</t>
  </si>
  <si>
    <t>Hybridization</t>
  </si>
  <si>
    <t>Karyotype</t>
  </si>
  <si>
    <t>Linage</t>
  </si>
  <si>
    <t>NF</t>
  </si>
  <si>
    <t>NFa</t>
  </si>
  <si>
    <t>Interactions</t>
  </si>
  <si>
    <t>Type</t>
  </si>
  <si>
    <t>Pest control</t>
  </si>
  <si>
    <t>Seed dispersal</t>
  </si>
  <si>
    <t>Pollination</t>
  </si>
  <si>
    <t>Conservation</t>
  </si>
  <si>
    <t>Conservation status</t>
  </si>
  <si>
    <t>Conservation.status</t>
  </si>
  <si>
    <t>conservation status</t>
  </si>
  <si>
    <t>Population.status</t>
  </si>
  <si>
    <t>Threats</t>
  </si>
  <si>
    <t>Threats/Overharvesting for food (OH)</t>
  </si>
  <si>
    <t>Hunting.bushmeat</t>
  </si>
  <si>
    <t>Threats/Deforestation (DE)</t>
  </si>
  <si>
    <t>Deforestation</t>
  </si>
  <si>
    <t>Threats/Persecution (P)</t>
  </si>
  <si>
    <t>Intensional.killings</t>
  </si>
  <si>
    <t>Vandalism</t>
  </si>
  <si>
    <t>Threats/Habitat loss (HL)</t>
  </si>
  <si>
    <t>Urbanisation</t>
  </si>
  <si>
    <t>Agricultural.conversion</t>
  </si>
  <si>
    <t>Threats/Dead trees removal (DTR)</t>
  </si>
  <si>
    <t>Threats/Roost disturbance (RD)</t>
  </si>
  <si>
    <t>Tourism.caving</t>
  </si>
  <si>
    <t>Guano.extraction</t>
  </si>
  <si>
    <t>Threats/Collisions (COL)</t>
  </si>
  <si>
    <t>Road.kills</t>
  </si>
  <si>
    <t>Threats/Chemical pollution (CP)</t>
  </si>
  <si>
    <t>Pollution</t>
  </si>
  <si>
    <t>Gating</t>
  </si>
  <si>
    <t>Mining.quarrying</t>
  </si>
  <si>
    <t>Sacred.activities</t>
  </si>
  <si>
    <t>Nest.harvesting</t>
  </si>
  <si>
    <t>Scientific.research</t>
  </si>
  <si>
    <t>Invasive.species</t>
  </si>
  <si>
    <t>Fires</t>
  </si>
  <si>
    <t>Drought</t>
  </si>
  <si>
    <t>Extreme.cold</t>
  </si>
  <si>
    <t>Storm</t>
  </si>
  <si>
    <t>Pathogens</t>
  </si>
  <si>
    <t>Endoparasites</t>
  </si>
  <si>
    <t>Disease.parasites</t>
  </si>
  <si>
    <t>Fungi</t>
  </si>
  <si>
    <t>Viruses</t>
  </si>
  <si>
    <t>fa_y</t>
  </si>
  <si>
    <t>categorical</t>
  </si>
  <si>
    <t>.na</t>
  </si>
  <si>
    <t>(1) animalivore species that occasionally feed on fruits (e.g. phyllostomines, micronycterines), (2) nectar-feeding species which are secondary frugivorous but frequently feed on fruits (glossophagines and lonchophyllines), and (3) obligatory frugivores species which are highly dependent on fruit (carolliines and stenordermatines)</t>
  </si>
  <si>
    <r>
      <t xml:space="preserve">For diet, we used a previous classification of degree of frugivory in the Neotropical bat family Phyllostomidae (Lobova et al. </t>
    </r>
    <r>
      <rPr>
        <sz val="10"/>
        <color rgb="FF000000"/>
        <rFont val="Arial"/>
        <family val="2"/>
      </rPr>
      <t>2009</t>
    </r>
    <r>
      <rPr>
        <sz val="10"/>
        <color rgb="FF000000"/>
        <rFont val="Arial"/>
        <family val="2"/>
        <scheme val="minor"/>
      </rPr>
      <t xml:space="preserve">; Fleming and Kress </t>
    </r>
    <r>
      <rPr>
        <sz val="10"/>
        <color rgb="FF000000"/>
        <rFont val="Arial"/>
        <family val="2"/>
      </rPr>
      <t>2013</t>
    </r>
    <r>
      <rPr>
        <sz val="10"/>
        <color rgb="FF000000"/>
        <rFont val="Arial"/>
        <family val="2"/>
        <scheme val="minor"/>
      </rPr>
      <t xml:space="preserve">; Mello et al. </t>
    </r>
    <r>
      <rPr>
        <sz val="10"/>
        <color rgb="FF000000"/>
        <rFont val="Arial"/>
        <family val="2"/>
      </rPr>
      <t>2015</t>
    </r>
    <r>
      <rPr>
        <sz val="10"/>
        <color rgb="FF000000"/>
        <rFont val="Arial"/>
        <family val="2"/>
        <scheme val="minor"/>
      </rPr>
      <t>) which is: (1) animalivore species that occasionally feed on fruits (e.g. phyllostomines, micronycterines), (2) nectar-feeding species which are secondary frugivorous but frequently feed on fruits (glossophagines and lonchophyllines), and (3) obligatory frugivores species which are highly dependent on fruit (carolliines and stenordermatines).</t>
    </r>
  </si>
  <si>
    <t>effect</t>
  </si>
  <si>
    <t>10.1007/s00442-020-04662-4</t>
  </si>
  <si>
    <t>https://doi.org/10.1002/ece3.10016</t>
  </si>
  <si>
    <t>We used aspect ratio (AR), i.e. the ratio between wingspan and wing area, as the morphological trait related to wing shape.</t>
  </si>
  <si>
    <t>https://doi.org/10.1002/ece3.10016</t>
  </si>
  <si>
    <t>https://doi.org/10.1002/ece3.10016</t>
  </si>
  <si>
    <t>skull shape</t>
  </si>
  <si>
    <t>Selected skull dimensions were the greatest length, braincase and zygomatic breadth. Because these tree variables are highly correlated (Appendix 3), we ran a principal component analysis (PCA) to summarize the three measurements in a unique variable (PC1).</t>
  </si>
  <si>
    <t>https://doi.org/10.1002/ece3.10016</t>
  </si>
  <si>
    <t>https://doi.org/10.1002/ece3.10016</t>
  </si>
  <si>
    <t>https://doi.org/10.1002/ece3.10016</t>
  </si>
  <si>
    <t>mixed, open, edge, glean</t>
  </si>
  <si>
    <t>response</t>
  </si>
  <si>
    <t>10.1098/rspb.2018.2193</t>
  </si>
  <si>
    <t>https://doi.org/10.1002/ece3.10016</t>
  </si>
  <si>
    <t>spec, interm, gener</t>
  </si>
  <si>
    <t>https://doi.org/10.1002/ece3.10016</t>
  </si>
  <si>
    <t>cave, tree, build</t>
  </si>
  <si>
    <t>https://doi.org/10.1002/ece3.10016</t>
  </si>
  <si>
    <t>resid, short, long</t>
  </si>
  <si>
    <t>https://doi.org/10.1002/ece3.10016</t>
  </si>
  <si>
    <t>may, june, july</t>
  </si>
  <si>
    <t>Months of year</t>
  </si>
  <si>
    <t>https://doi.org/10.1002/ece3.10016</t>
  </si>
  <si>
    <t>small, mid, large, very large</t>
  </si>
  <si>
    <t>https://doi.org/10.1002/ece3.10016</t>
  </si>
  <si>
    <t>pups</t>
  </si>
  <si>
    <t>https://doi.org/10.1002/ece3.10016</t>
  </si>
  <si>
    <t>https://doi.org/10.1002/ece3.10016</t>
  </si>
  <si>
    <t>ssi</t>
  </si>
  <si>
    <t>https://doi.org/10.1002/ece3.10016</t>
  </si>
  <si>
    <t>Cº</t>
  </si>
  <si>
    <t>sti</t>
  </si>
  <si>
    <t>https://doi.org/10.1002/ece3.10016</t>
  </si>
  <si>
    <t>aerial insectivores, frugivores, gleaning animalivores, nectarivores, piscivores, sanguinivores</t>
  </si>
  <si>
    <t>10.1111/ecog.03654</t>
  </si>
  <si>
    <t>https://doi.org/10.1002/ece3.10016</t>
  </si>
  <si>
    <t>morphological</t>
  </si>
  <si>
    <t>https://doi.org/10.1002/ece3.10016</t>
  </si>
  <si>
    <t>https://doi.org/10.1002/ece3.10016</t>
  </si>
  <si>
    <t>https://doi.org/10.1002/ece3.10016</t>
  </si>
  <si>
    <t>https://doi.org/10.1002/ece3.10016</t>
  </si>
  <si>
    <t>https://doi.org/10.1002/ece3.10016</t>
  </si>
  <si>
    <t>https://doi.org/10.1002/ece3.10016</t>
  </si>
  <si>
    <t>https://doi.org/10.1002/ece3.10016</t>
  </si>
  <si>
    <t>Morphological traits</t>
  </si>
  <si>
    <t>undefined</t>
  </si>
  <si>
    <t>10.3390/d10030100</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</si>
  <si>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</si>
  <si>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</si>
  <si>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</si>
  <si>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</si>
  <si>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</si>
  <si>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</si>
  <si>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</si>
  <si>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</si>
  <si>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</si>
  <si>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</si>
  <si>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</si>
  <si>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</si>
  <si>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</si>
  <si>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</si>
  <si>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</si>
  <si>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</si>
  <si>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</si>
  <si>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</si>
  <si>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</si>
  <si>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</si>
  <si>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edge, gleaner, open</t>
  </si>
  <si>
    <t>10.1016/j.foreco.2018.02.028</t>
  </si>
  <si>
    <t>https://doi.org/10.1002/ece3.10016</t>
  </si>
  <si>
    <t>10.1016/j.biocon.2017.12.036</t>
  </si>
  <si>
    <t>https://doi.org/10.1002/ece3.10016</t>
  </si>
  <si>
    <t>animalivorous, phytophagous</t>
  </si>
  <si>
    <t>https://doi.org/10.1002/ece3.10016</t>
  </si>
  <si>
    <t>low, intermediate, high</t>
  </si>
  <si>
    <t>https://doi.org/10.1002/ece3.10016</t>
  </si>
  <si>
    <t>canopy, oportunistic, understorey</t>
  </si>
  <si>
    <t>https://doi.org/10.1002/ece3.10016</t>
  </si>
  <si>
    <t>wing morphology</t>
  </si>
  <si>
    <t>https://doi.org/10.1002/ece3.10016</t>
  </si>
  <si>
    <t>https://doi.org/10.1002/ece3.10016</t>
  </si>
  <si>
    <t>edge, open, clutter</t>
  </si>
  <si>
    <t>10.4404/hystrix-00016-2017</t>
  </si>
  <si>
    <t>https://doi.org/10.1002/ece3.10016</t>
  </si>
  <si>
    <t>insectivore, nectivore, carnivore</t>
  </si>
  <si>
    <t>https://doi.org/10.1002/ece3.10016</t>
  </si>
  <si>
    <t>g</t>
  </si>
  <si>
    <t>https://doi.org/10.1002/ece3.10016</t>
  </si>
  <si>
    <t>Wing morphology</t>
  </si>
  <si>
    <t>N/m2</t>
  </si>
  <si>
    <t>https://doi.org/10.1002/ece3.10016</t>
  </si>
  <si>
    <t>https://doi.org/10.1002/ece3.10016</t>
  </si>
  <si>
    <t>echolocation</t>
  </si>
  <si>
    <t>kHz</t>
  </si>
  <si>
    <t>https://doi.org/10.1002/ece3.10016</t>
  </si>
  <si>
    <t>cave, crevice, tree</t>
  </si>
  <si>
    <t>https://doi.org/10.1002/ece3.10016</t>
  </si>
  <si>
    <t>Open-space foragers-1, Edge-space foragers-2, Narrow-space foragers-3</t>
  </si>
  <si>
    <t>Use of the aerosphere by each species, requiring adaptations in wing shape and echolocation calls</t>
  </si>
  <si>
    <t>10.4404/hystrix-00020-2017</t>
  </si>
  <si>
    <t>https://doi.org/10.1002/ece3.10016</t>
  </si>
  <si>
    <t>Frugivory (F)-1, Nectarivory (N)-2, Insectivory (I)-3, Carnivory (C)-4, Omnivory (O)-5, Sanguinivory (S)-6, F+N-7, F+I-8, F+C-9; N+I-10, F+N+I-11, F+I+C-12</t>
  </si>
  <si>
    <t>Main types of dietary items</t>
  </si>
  <si>
    <t>https://doi.org/10.1002/ece3.10016</t>
  </si>
  <si>
    <t>Phytophagous-1, Insectivorous-2, Carnivorous-3, Omnivorous-4</t>
  </si>
  <si>
    <t>Four general categories, based on the information of the guilds</t>
  </si>
  <si>
    <t>https://doi.org/10.1002/ece3.10016</t>
  </si>
  <si>
    <t>Average forearm length of each species captured / literature data</t>
  </si>
  <si>
    <t>https://doi.org/10.1002/ece3.10016</t>
  </si>
  <si>
    <t>Average body mass of each species captured / literature data</t>
  </si>
  <si>
    <t>https://doi.org/10.1002/ece3.10016</t>
  </si>
  <si>
    <t>Average aspect ratio – wingspan (cm)/area (cm2) –captures / literature data</t>
  </si>
  <si>
    <t>https://doi.org/10.1002/ece3.10016</t>
  </si>
  <si>
    <t>Average relative wing loading - weight (g)/ wing area (cm2) – of each captures / literature data</t>
  </si>
  <si>
    <t>https://doi.org/10.1002/ece3.10016</t>
  </si>
  <si>
    <t>F = fruit, N = nectar, I = invertebrates, V = vertebrates, B = blood</t>
  </si>
  <si>
    <t>10.1111/btp.12501</t>
  </si>
  <si>
    <t>https://doi.org/10.1002/ece3.10016</t>
  </si>
  <si>
    <t>C = forest canopy, S = forest subcanopy, U = forest understory</t>
  </si>
  <si>
    <t>https://doi.org/10.1002/ece3.10016</t>
  </si>
  <si>
    <t>P = pounce, G = glean, H = hover</t>
  </si>
  <si>
    <t>https://doi.org/10.1002/ece3.10016</t>
  </si>
  <si>
    <t>body size</t>
  </si>
  <si>
    <t>https://doi.org/10.1002/ece3.10016</t>
  </si>
  <si>
    <t>https://doi.org/10.1002/ece3.10016</t>
  </si>
  <si>
    <t>masticatory mode</t>
  </si>
  <si>
    <t>https://doi.org/10.1002/ece3.10016</t>
  </si>
  <si>
    <t>https://doi.org/10.1002/ece3.10016</t>
  </si>
  <si>
    <t>https://doi.org/10.1002/ece3.10016</t>
  </si>
  <si>
    <t>https://doi.org/10.1002/ece3.10016</t>
  </si>
  <si>
    <t>https://doi.org/10.1002/ece3.10016</t>
  </si>
  <si>
    <t>https://doi.org/10.1002/ece3.10016</t>
  </si>
  <si>
    <t>aerodynamics</t>
  </si>
  <si>
    <t>https://doi.org/10.1002/ece3.10016</t>
  </si>
  <si>
    <t>https://doi.org/10.1002/ece3.10016</t>
  </si>
  <si>
    <t>10.3161/15081109ACC2017.19.2.005</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</si>
  <si>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</si>
  <si>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</si>
  <si>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</si>
  <si>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</si>
  <si>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</si>
  <si>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</si>
  <si>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</si>
  <si>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</si>
  <si>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</si>
  <si>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</si>
  <si>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</si>
  <si>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</si>
  <si>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</si>
  <si>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</si>
  <si>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</si>
  <si>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</si>
  <si>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high-duty cycle echolocation (HDC), low-duty cycle nasal echolocation (LDCN), low-duty cycle mouth echolocation (LDCM)</t>
  </si>
  <si>
    <t>We also classified bats to one of three echolocation strategies — high-duty cycle echolocation (HDC), low-duty cycle nasal echolocation (LDCN) or low-duty cycle mouth echolocation (LDCM) (Monadjem et al., 2010; Lazure and Fenton, 2011).</t>
  </si>
  <si>
    <t>https://doi.org/10.1002/ece3.10016</t>
  </si>
  <si>
    <t>AI = aerial insectivore, HI = high flying insectivores, GO = gleaning omnivores, CF = canopy frugivores, UF = understory frugivores, N = nectarivores, S = sanguinivores, P = piscivores</t>
  </si>
  <si>
    <t>10.1111/2041-210X.12696</t>
  </si>
  <si>
    <t>https://doi.org/10.1002/ece3.10016</t>
  </si>
  <si>
    <t>1 = yes, 2 = no</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</si>
  <si>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</si>
  <si>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</si>
  <si>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</si>
  <si>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</si>
  <si>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</si>
  <si>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</si>
  <si>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</si>
  <si>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</si>
  <si>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</si>
  <si>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</si>
  <si>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</si>
  <si>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</si>
  <si>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</si>
  <si>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</si>
  <si>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</si>
  <si>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</si>
  <si>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</si>
  <si>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</si>
  <si>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</si>
  <si>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</si>
  <si>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</si>
  <si>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</si>
  <si>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</si>
  <si>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</si>
  <si>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flight ability</t>
  </si>
  <si>
    <t>https://doi.org/10.1002/ece3.10016</t>
  </si>
  <si>
    <t>https://doi.org/10.1002/ece3.10016</t>
  </si>
  <si>
    <t>10.7717/peerj.3424</t>
  </si>
  <si>
    <t>https://doi.org/10.1002/ece3.10016</t>
  </si>
  <si>
    <t>https://doi.org/10.1002/ece3.10016</t>
  </si>
  <si>
    <t>insectivorous, frugivorous, hematophagous</t>
  </si>
  <si>
    <t>https://doi.org/10.1002/ece3.10016</t>
  </si>
  <si>
    <t>low, medium, high</t>
  </si>
  <si>
    <t>https://doi.org/10.1002/ece3.10016</t>
  </si>
  <si>
    <t>N = no call, CF = constant frequency call, FM.QCF = frequency modulated call with a quasi-constant frequency tail, FMmult = multi-harmonic frequency modulated call, FM = frequency modulated call, Clk = click call</t>
  </si>
  <si>
    <t>10.1016/j.biocon.2017.03.026</t>
  </si>
  <si>
    <t>https://doi.org/10.1002/ece3.10016</t>
  </si>
  <si>
    <t>Fru = frugivore, Ins = insectivore, Car = insectivore and carnivore</t>
  </si>
  <si>
    <t>https://doi.org/10.1002/ece3.10016</t>
  </si>
  <si>
    <t>https://doi.org/10.1002/ece3.10016</t>
  </si>
  <si>
    <t>https://doi.org/10.1002/ece3.10016</t>
  </si>
  <si>
    <t>https://doi.org/10.1002/ece3.10016</t>
  </si>
  <si>
    <t>https://doi.org/10.1002/ece3.10016</t>
  </si>
  <si>
    <t>10.1371/journal.pone.0166765</t>
  </si>
  <si>
    <t>https://doi.org/10.1002/ece3.10016</t>
  </si>
  <si>
    <t>https://doi.org/10.1002/ece3.10016</t>
  </si>
  <si>
    <t>https://doi.org/10.1002/ece3.10016</t>
  </si>
  <si>
    <t>https://doi.org/10.1002/ece3.10016</t>
  </si>
  <si>
    <t>https://doi.org/10.1002/ece3.10016</t>
  </si>
  <si>
    <t>https://doi.org/10.1002/ece3.10016</t>
  </si>
  <si>
    <t>frugivorous 1, frugivorous 2, frugivorous 3, frugivorous 4, nectarivorous, insectivorous, hematophage</t>
  </si>
  <si>
    <t>https://doi.org/10.1002/ece3.10016</t>
  </si>
  <si>
    <t>Least Concern, Near-threatened, Vulnerable</t>
  </si>
  <si>
    <t>10.1007/s00442-016-3671-9</t>
  </si>
  <si>
    <t>https://doi.org/10.1002/ece3.10016</t>
  </si>
  <si>
    <t>Northern, Widespread, Southern</t>
  </si>
  <si>
    <t>https://doi.org/10.1002/ece3.10016</t>
  </si>
  <si>
    <t>Generalist, Intermediate, Specialist</t>
  </si>
  <si>
    <t>https://doi.org/10.1002/ece3.10016</t>
  </si>
  <si>
    <t xml:space="preserve">
Gleaning, Mixed Gleaning/flying, Flying edge/close, Flying open</t>
  </si>
  <si>
    <t>https://doi.org/10.1002/ece3.10016</t>
  </si>
  <si>
    <t>offspring</t>
  </si>
  <si>
    <t>https://doi.org/10.1002/ece3.10016</t>
  </si>
  <si>
    <t>Building, Cave and rock, Tree</t>
  </si>
  <si>
    <t>https://doi.org/10.1002/ece3.10016</t>
  </si>
  <si>
    <t>https://doi.org/10.1002/ece3.10016</t>
  </si>
  <si>
    <t>ha</t>
  </si>
  <si>
    <t>https://doi.org/10.1002/ece3.10016</t>
  </si>
  <si>
    <t>Resident, Short-distance migrant, Long-distance migrant</t>
  </si>
  <si>
    <t>https://doi.org/10.1002/ece3.10016</t>
  </si>
  <si>
    <t>breeding phenology</t>
  </si>
  <si>
    <t>Before June, June, After June</t>
  </si>
  <si>
    <t>https://doi.org/10.1002/ece3.10016</t>
  </si>
  <si>
    <t>10.1111/1365-2664.12490</t>
  </si>
  <si>
    <t>https://doi.org/10.1002/ece3.10016</t>
  </si>
  <si>
    <t>https://doi.org/10.1002/ece3.10016</t>
  </si>
  <si>
    <t>(1) low – two or more of the above categories of food items contributed &gt; 10% to all food records, (2) intermediate – one single food item contributed &gt; 90% to all food records, (3) high – restricted food category of one particular item of food.</t>
  </si>
  <si>
    <t>Food items were divided into six broad categories: (a) fruit, (b) nectar or pollen, (c) leaves, (d) arthropods, (e) blood, and (f) vertebrates. The percentage of the contribution of each food item to the total dietary records for each bat species was based on the literature (see Table S1 for a complete list of references). Species were assigned to three categories of dietary specialization: (1) low – two or more of the above categories of food items contributed &gt; 10% to all food records; (2) intermediate – one single food item contributed &gt; 90% to all food records; (3) high – restricted food category of one particular item of food.</t>
  </si>
  <si>
    <t>https://doi.org/10.1002/ece3.10016</t>
  </si>
  <si>
    <t>(U) understory species, &lt; 33% of all captures in canopy nets, (N) species without apparent preference, 33.1–66% of all captures in canopy nets, (C) canopy species, &gt; 66.1% of all captures in canopy nets.</t>
  </si>
  <si>
    <t>Based on capture rate (bats per mnh) using the proportion of captures in ground vs. canopy nets in fragment interiors and continuous forest sites. For this, we considered only bats captured at heights &gt; 6 m in canopy nets vs. &lt; 3 m in ground nets. Species were assigned to three categories of vertical stratification: (U) understory species, &lt; 33% of all captures in canopy nets; (N) species without apparent preference, 33.1–66% of all captures in canopy nets; (C) canopy species, &gt; 66.1% of all captures in canopy nets.</t>
  </si>
  <si>
    <t>https://doi.org/10.1002/ece3.10016</t>
  </si>
  <si>
    <t xml:space="preserve">Based on the relationship between mean and maximum recapture distances (Fig. S3), using both recapture data obtained during our study and from the radio-tracking and mark-recapture literature (see Table S1 for a complete list of references). Species were grouped into three categories of mobility: low, intermediate, and high (see Fig. S3). </t>
  </si>
  <si>
    <t>https://doi.org/10.1002/ece3.10016</t>
  </si>
  <si>
    <t>Considered measures of aspect ratio (wingspan2/wing area) and relative wing loading (wing loading [body mass multiplied by the gravitational acceleration, 9.81 ms2/wing area]/body mass0.33; see Norberg &amp; Rayner 1987 and Norberg 1998). Calculations were made using the average of measurement values of up to five individuals of each species recorded in our study.</t>
  </si>
  <si>
    <t>https://doi.org/10.1002/ece3.10016</t>
  </si>
  <si>
    <t>https://doi.org/10.1002/ece3.10016</t>
  </si>
  <si>
    <t>Fruit or plant, Nectar or pollen, Invertebrates, Vertebrates, Blood</t>
  </si>
  <si>
    <t>10.1111/ddi.12277</t>
  </si>
  <si>
    <t>https://doi.org/10.1002/ece3.10016</t>
  </si>
  <si>
    <t>Canopy, Subcanopy, Understory</t>
  </si>
  <si>
    <t>https://doi.org/10.1002/ece3.10016</t>
  </si>
  <si>
    <t>Gleaning, Hover, Pounce</t>
  </si>
  <si>
    <t>https://doi.org/10.1002/ece3.10016</t>
  </si>
  <si>
    <t>Foliage, Bark or roots, Tree hole or termite nest, Man-made structures, Culvert or under large rocks, Cave, tunnels, mines or sewers</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</si>
  <si>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</si>
  <si>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</si>
  <si>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</si>
  <si>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</si>
  <si>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</si>
  <si>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</si>
  <si>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</si>
  <si>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</si>
  <si>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</si>
  <si>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</si>
  <si>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</si>
  <si>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10.1111/geb.12192</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</si>
  <si>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</si>
  <si>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</si>
  <si>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</si>
  <si>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</si>
  <si>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</si>
  <si>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</si>
  <si>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</si>
  <si>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</si>
  <si>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10.1111/1365-2656.12201</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</si>
  <si>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</si>
  <si>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</si>
  <si>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</si>
  <si>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</si>
  <si>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</si>
  <si>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</si>
  <si>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</si>
  <si>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</si>
  <si>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</si>
  <si>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</si>
  <si>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</si>
  <si>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</si>
  <si>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</si>
  <si>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</si>
  <si>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edge-low, edge-medium, edge-medium/high, edge-high, open-adapted, clutter-adapted</t>
  </si>
  <si>
    <t>10.1007/s10980-012-9842-0</t>
  </si>
  <si>
    <t>https://doi.org/10.1002/ece3.10016</t>
  </si>
  <si>
    <t>i.e. number of passes from all bat species including passes not identified to species level</t>
  </si>
  <si>
    <t>https://doi.org/10.1002/ece3.10016</t>
  </si>
  <si>
    <t>aerial insectivores, frugivores, gleaning animalivores (those that glean vertebrates and invertebrates from surfaces such a leaves, tree 
trunks and the ground [3]), nectarivores, piscivores, sanguinivores.</t>
  </si>
  <si>
    <t>10.1371/journal.pone.0056853</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</si>
  <si>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</si>
  <si>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</si>
  <si>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</si>
  <si>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</si>
  <si>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</si>
  <si>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</si>
  <si>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</si>
  <si>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</si>
  <si>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cm</t>
  </si>
  <si>
    <t>10.1111/j.1365-2664.2012.02159.x</t>
  </si>
  <si>
    <t>https://doi.org/10.1002/ece3.10016</t>
  </si>
  <si>
    <t>https://doi.org/10.1002/ece3.10016</t>
  </si>
  <si>
    <t>https://doi.org/10.1002/ece3.10016</t>
  </si>
  <si>
    <t>https://doi.org/10.1002/ece3.10016</t>
  </si>
  <si>
    <t>low = below 38 kHz, medium = 38–48 kHz, high = above 48 kHz, linear = vertically linear calls</t>
  </si>
  <si>
    <t>https://doi.org/10.1002/ece3.10016</t>
  </si>
  <si>
    <t>aerial insectivores, frugivores, gleaning animalivores, high-flying insectivores, nectarivores, piscivores, sanguinivores</t>
  </si>
  <si>
    <t>10.1644/BWG-128</t>
  </si>
  <si>
    <t>https://doi.org/10.1002/ece3.10016</t>
  </si>
  <si>
    <t xml:space="preserve">Anomala albopilosa, Other Coleoptera, Dictyoptera, Chironomidae, Other Diptera, Hemiptera, Hymenoptera, Lepidoptera, Orthoptera, Others
  </t>
  </si>
  <si>
    <t>10.3354/esr00156</t>
  </si>
  <si>
    <t>https://doi.org/10.1002/ece3.10016</t>
  </si>
  <si>
    <t>https://doi.org/10.1002/ece3.10016</t>
  </si>
  <si>
    <t>https://doi.org/10.1002/ece3.10016</t>
  </si>
  <si>
    <t>https://doi.org/10.1002/ece3.10016</t>
  </si>
  <si>
    <t>carnívoros = consumen vertebrados terrestres regularmente, piscívoros = consumen principalmente peces, insectívoros aéreos = cazan insectos en el aire, insectívoros recolectores (Insectivorous gleaners) = capturan invertebrados de superficies, frugívoros = consumen principalmente frutas, nectarívoros = consumen principalmente recursos florales como néctar, polen y/o pétalos, omnívoros = consumen regularmente varios de los alimentos mencionados.</t>
  </si>
  <si>
    <t>both</t>
  </si>
  <si>
    <t>10.17151/bccm.2017.21.1.8</t>
  </si>
  <si>
    <t>https://doi.org/10.1002/ece3.10016</t>
  </si>
  <si>
    <t>IN-  Insectivore, FR- Frugivore, N- Nectarivore, S- Sanguinivore., n/d = no data</t>
  </si>
  <si>
    <t>10.12933/therya-17-463</t>
  </si>
  <si>
    <t>https://doi.org/10.1002/ece3.10016</t>
  </si>
  <si>
    <t>% B = Contribution of species to total Biomass</t>
  </si>
  <si>
    <t>https://doi.org/10.1002/ece3.10016</t>
  </si>
  <si>
    <t>https://doi.org/10.1002/ece3.10016</t>
  </si>
  <si>
    <t>https://doi.org/10.1002/ece3.10016</t>
  </si>
  <si>
    <t>https://doi.org/10.1002/ece3.10016</t>
  </si>
  <si>
    <t>https://doi.org/10.1002/ece3.10016</t>
  </si>
  <si>
    <t>https://doi.org/10.1002/ece3.10016</t>
  </si>
  <si>
    <t>fruit, nectar, invertebrates, terrestrial vertebrates, fish, blood</t>
  </si>
  <si>
    <t>10.3390/D12060238</t>
  </si>
  <si>
    <t>https://doi.org/10.1002/ece3.10016</t>
  </si>
  <si>
    <t>open habitat, over water, above canopy, canopy, subcanopy, understory</t>
  </si>
  <si>
    <t>https://doi.org/10.1002/ece3.10016</t>
  </si>
  <si>
    <t>aerial, gleaning, hover, other</t>
  </si>
  <si>
    <t>https://doi.org/10.1002/ece3.10016</t>
  </si>
  <si>
    <t>https://doi.org/10.1002/ece3.10016</t>
  </si>
  <si>
    <t>https://doi.org/10.1002/ece3.10016</t>
  </si>
  <si>
    <t>masticatory characteristics</t>
  </si>
  <si>
    <t>https://doi.org/10.1002/ece3.10016</t>
  </si>
  <si>
    <t>https://doi.org/10.1002/ece3.10016</t>
  </si>
  <si>
    <t>https://doi.org/10.1002/ece3.10016</t>
  </si>
  <si>
    <t>https://doi.org/10.1002/ece3.10016</t>
  </si>
  <si>
    <t>https://doi.org/10.1002/ece3.10016</t>
  </si>
  <si>
    <t>https://doi.org/10.1002/ece3.10016</t>
  </si>
  <si>
    <t>flight characteristics</t>
  </si>
  <si>
    <t>https://doi.org/10.1002/ece3.10016</t>
  </si>
  <si>
    <t>https://doi.org/10.1002/ece3.10016</t>
  </si>
  <si>
    <t>Based on the average body mass of each species (g)</t>
  </si>
  <si>
    <t>10.31687/saremMN.19.26.1.0.09</t>
  </si>
  <si>
    <t>https://doi.org/10.1002/ece3.10016</t>
  </si>
  <si>
    <t>mm</t>
  </si>
  <si>
    <t>Based on the average forearm of each species (mm)</t>
  </si>
  <si>
    <t>https://doi.org/10.1002/ece3.10016</t>
  </si>
  <si>
    <t>Based on the average of aspect ratio and relative wing loading of each species</t>
  </si>
  <si>
    <t>https://doi.org/10.1002/ece3.10016</t>
  </si>
  <si>
    <t>Dietary specialization</t>
  </si>
  <si>
    <t>Percentage of the contribution of each food item to the total dietary records for each species</t>
  </si>
  <si>
    <t>https://doi.org/10.1002/ece3.10016</t>
  </si>
  <si>
    <t>https://doi.org/10.1002/ece3.10016</t>
  </si>
  <si>
    <t>https://doi.org/10.1002/ece3.10016</t>
  </si>
  <si>
    <t>https://doi.org/10.1002/ece3.10016</t>
  </si>
  <si>
    <t>https://doi.org/10.1002/ece3.10016</t>
  </si>
  <si>
    <t>10.3161/15081109ACC2018.20.1.009</t>
  </si>
  <si>
    <t>https://doi.org/10.1002/ece3.10016</t>
  </si>
  <si>
    <t>Nect= nectarivorous, Frug= frugivorous, Inset= insectivorous, Hema= hematophagous</t>
  </si>
  <si>
    <t>https://doi.org/10.1002/ece3.10016</t>
  </si>
  <si>
    <t>https://doi.org/10.1002/ece3.10016</t>
  </si>
  <si>
    <t>Tr= tree, Cav=cave, Le=leaf, Build=buildings</t>
  </si>
  <si>
    <t>https://doi.org/10.1002/ece3.10016</t>
  </si>
  <si>
    <t>male, female</t>
  </si>
  <si>
    <t>The sex of the individual(s).</t>
  </si>
  <si>
    <t>https://doi.org/10.1038/s41597-022-01364-9</t>
  </si>
  <si>
    <t>kg</t>
  </si>
  <si>
    <t>Numeric standardised body mass value</t>
  </si>
  <si>
    <t>Unstandardised mass or weight value from source document</t>
  </si>
  <si>
    <t>W</t>
  </si>
  <si>
    <t>Numeric standardised metabolic rate value</t>
  </si>
  <si>
    <t>Unstandardised metabolic rate value from source document</t>
  </si>
  <si>
    <t>Temperature at which metabolic rate was measured</t>
  </si>
  <si>
    <t>Numeric standardised metabolic rate / body mass</t>
  </si>
  <si>
    <t>Numeric standardised brain size</t>
  </si>
  <si>
    <t>Unstandardised brain size from source document</t>
  </si>
  <si>
    <t>The linear distance from wing tip to wing tip, or the distance from the midline of the body to a single wing tip, doubled</t>
  </si>
  <si>
    <t>https://doi.org/10.1111/mam.12270</t>
  </si>
  <si>
    <t>cm2</t>
  </si>
  <si>
    <t>The full area of the patagium</t>
  </si>
  <si>
    <t>The total area of the patagium, uropatagium (if present), and body excluding the head</t>
  </si>
  <si>
    <t>The rectangular approximation of the patagium based on the wing length (measured from the edge of the body to the wing tip) multiplied by the wing width (measured from the end of the fifth digit to the tip of the fifth digit)</t>
  </si>
  <si>
    <t>The wingspan squared, divided by wing_area</t>
  </si>
  <si>
    <t>The wingspan squared, divided by lifting_surface_area</t>
  </si>
  <si>
    <t>Nm−2</t>
  </si>
  <si>
    <t>Body weight divided by wing_surface_area</t>
  </si>
  <si>
    <t>Body weight divided by lifting_surface_area</t>
  </si>
  <si>
    <t>partial_wing_loading divided by body mass raised to the 1/3 power. Body mass, not weight should be used</t>
  </si>
  <si>
    <t>total_wing_loading divided by body mass raised to 1/3. Body mass, not weight should be used</t>
  </si>
  <si>
    <t>Value derived from the mass (weight) in grams</t>
  </si>
  <si>
    <t>https://doi.org/10.1002/ecy.2106</t>
  </si>
  <si>
    <t>Extended dimension of an individual included body and head and measured in centimeters</t>
  </si>
  <si>
    <t>The dimension of tail measured in centimeters</t>
  </si>
  <si>
    <t>The dimension of forearm measured in millimeters</t>
  </si>
  <si>
    <t>adult, juvenile</t>
  </si>
  <si>
    <t>Age of the specimens</t>
  </si>
  <si>
    <t>Sex of the specimens</t>
  </si>
  <si>
    <t>pregnant, scroted</t>
  </si>
  <si>
    <t>Reproductive stage of the specimens</t>
  </si>
  <si>
    <t>dead, alive</t>
  </si>
  <si>
    <t>Status of individual when measured</t>
  </si>
  <si>
    <t>numerical</t>
  </si>
  <si>
    <t>Records of longevity and associated life history and ecological variables were obtained for 64 species of bats (see Supplementary materials http://www.blackwell-science.co.uk/products/journals/suppmat/ACE/ACE020/ACE020sm.htm) either from the primary literature or from personal records of resighted or recaptured animals banded in the field.</t>
  </si>
  <si>
    <t>https://doi.org/10.1046/j.1474-9728.2002.00020.x</t>
  </si>
  <si>
    <t>Reproductive rate was estimated as the product of average litter size and the average number of births per year.</t>
  </si>
  <si>
    <t>Latitude</t>
  </si>
  <si>
    <t>We either used the latitude where a longevity record was obtained or the latitude at the middle of a species’ range as reported in the literature.</t>
  </si>
  <si>
    <t>Median colony size was taken from previous reviews (Hosken, 1997, 1998) or from species accounts in the literature.</t>
  </si>
  <si>
    <t>When available, we used average body mass of the individuals for which longevity records were available. Otherwise, we used average body mass of females reported in the literature.</t>
  </si>
  <si>
    <t>yes, no</t>
  </si>
  <si>
    <t>never, sometimes, always</t>
  </si>
  <si>
    <t>Bats utilize a variety of roosting sites, including foliage, caves, tree hollows, and man-made structures (Kunz, 1982) with some species using different types of roosts in different regions or times of the year. To reduce the potential complexity of this variable we scored roosting habit as either always in a cave, never in a cave or sometimes use a cave.</t>
  </si>
  <si>
    <t>animal, fruit</t>
  </si>
  <si>
    <t>We reduced the potential complexity associated with diet either to consuming animal matter or to consuming fruit or nectar.</t>
  </si>
  <si>
    <t>Interactions are witnessed by the author(s) or recorded via photo, video, or bat detector. In order to distinguish between interaction types, additional confirmation from evidence in fecal samples, stomachs, exclusion experiments, etc., may be necessary. If the author(s) cite an interaction from another publication, it is tagged as “secondary”.</t>
  </si>
  <si>
    <t>source_primary</t>
  </si>
  <si>
    <t>Habitat preference</t>
  </si>
  <si>
    <t>binomial</t>
  </si>
  <si>
    <t>Yes = 1, No = 0</t>
  </si>
  <si>
    <t>We described species’ major habitat breadth based on IUCN Level 1 classification https://www.iucnredlist.org/resources/habitat-classification-scheme (Caves, Forests, Savanna, Desert, Urban, Artificial, and Wetlands).</t>
  </si>
  <si>
    <t>https://doi.org/10.1038/s41597-022-01234-4</t>
  </si>
  <si>
    <t>IUCN Red List database</t>
  </si>
  <si>
    <t>We described species’ major habitat breadth based on IUCN Level 1 classification https://www.iucnredlist.org/resources/habitat-classification-scheme (Caves, Forests, Savanna, Desert, Urban, Artificial, and Wetlands).</t>
  </si>
  <si>
    <t>We described species’ major habitat breadth based on IUCN Level 1 classification https://www.iucnredlist.org/resources/habitat-classification-scheme (Caves, Forests, Savanna, Desert, Urban, Artificial, and Wetlands).</t>
  </si>
  <si>
    <t>We described species’ major habitat breadth based on IUCN Level 1 classification https://www.iucnredlist.org/resources/habitat-classification-scheme (Caves, Forests, Savanna, Desert, Urban, Artificial, and Wetlands).</t>
  </si>
  <si>
    <t>We described species’ major habitat breadth based on IUCN Level 1 classification https://www.iucnredlist.org/resources/habitat-classification-scheme (Caves, Forests, Savanna, Desert, Urban, Artificial, and Wetlands).</t>
  </si>
  <si>
    <t>We described species’ major habitat breadth based on IUCN Level 1 classification https://www.iucnredlist.org/resources/habitat-classification-scheme (Caves, Forests, Savanna, Desert, Urban, Artificial, and Wetlands).</t>
  </si>
  <si>
    <t>nominal</t>
  </si>
  <si>
    <t>Decreasing, Stable, Increasing, Unknown</t>
  </si>
  <si>
    <t>Species current conservation status (Data Deficient, Least Concern, Near Threatened, Vulnerable, Endangered, and Critically Endangered) and population trends (e.g., Unknown, Decreasing, Stable, Increasing) were categorised using standard IUCN Red List assessments.</t>
  </si>
  <si>
    <t>Data.Deficient, Least.Concern, Near.Threatened, Vulnerable, Endangered, Critically.Endangered</t>
  </si>
  <si>
    <t>Non.Endemic, Endemic</t>
  </si>
  <si>
    <t>Using the same criteria (IUCN Red List assessments), we categorised species endemism as geopolitically endemic (e.g., country-endemic, and non-endemic) when a species occurs only in a single country or state territory, and island endemism was classified as island-restricted or predominantly mainland.</t>
  </si>
  <si>
    <t>Island.Endemic, Mainland</t>
  </si>
  <si>
    <t>Phylacine 1.2</t>
  </si>
  <si>
    <t>Afrotropical, Indomalayan, Austral-Oceania, Neotropical, Palearactic, Neactic, Cosmopolitan</t>
  </si>
  <si>
    <t>We classified species distribution by biogeographical realm (Indomalaya, Austral-Oceania, Afrotropical, Neotropical, Palearctic, and Nearctic) and terrestrial biomes following Olson et al.</t>
  </si>
  <si>
    <t>Carnivore, Frugi-nectarivore, Omnivore</t>
  </si>
  <si>
    <r>
      <t>For trophic groups, we derived diet information from EltonTraits 1.0</t>
    </r>
    <r>
      <rPr>
        <sz val="10"/>
        <color rgb="FF000000"/>
        <rFont val="Arial"/>
        <family val="2"/>
      </rPr>
      <t>30</t>
    </r>
    <r>
      <rPr>
        <sz val="10"/>
        <color rgb="FF000000"/>
        <rFont val="Arial"/>
        <family val="2"/>
        <scheme val="minor"/>
      </rPr>
      <t>. We grouped species as frugi-nectarivorous for all species that forage on plant-based resources (e.g., fruits, leaves, and nectars). As species foraging smaller vertebrates (i.e., fish, birds, and rodents) and larger invertebrates are very few, we classified them as carnivores along with insectivorous bats. Species that forage on both resources were grouped into omnivores.</t>
    </r>
  </si>
  <si>
    <t>EltonTraits 1.0</t>
  </si>
  <si>
    <t>continuous</t>
  </si>
  <si>
    <r>
      <t>Current geographical ranges were assembled from the Phylacine 1.2 database</t>
    </r>
    <r>
      <rPr>
        <sz val="10"/>
        <color rgb="FF000000"/>
        <rFont val="Arial"/>
        <family val="2"/>
      </rPr>
      <t>28</t>
    </r>
    <r>
      <rPr>
        <sz val="10"/>
        <color rgb="FF000000"/>
        <rFont val="Arial"/>
        <family val="2"/>
        <scheme val="minor"/>
      </rPr>
      <t xml:space="preserve"> based on IUCN species ranges.</t>
    </r>
  </si>
  <si>
    <t>For all species, we estimated their present natural ranges (Peterken 1977), which is potential current natural ranges if species had never experienced strong anthropogenic pressures.</t>
  </si>
  <si>
    <t>Trait description from Phylacine 1.2</t>
  </si>
  <si>
    <r>
      <t>The adult body mass (in grams) per species were derived from Phylacine 1.2</t>
    </r>
    <r>
      <rPr>
        <sz val="10"/>
        <color rgb="FF000000"/>
        <rFont val="Arial"/>
        <family val="2"/>
      </rPr>
      <t>28</t>
    </r>
    <r>
      <rPr>
        <sz val="10"/>
        <color rgb="FF000000"/>
        <rFont val="Arial"/>
        <family val="2"/>
        <scheme val="minor"/>
      </rPr>
      <t xml:space="preserve"> and generation length from Pacifici et al.</t>
    </r>
    <r>
      <rPr>
        <sz val="10"/>
        <color rgb="FF000000"/>
        <rFont val="Arial"/>
        <family val="2"/>
      </rPr>
      <t>29</t>
    </r>
    <r>
      <rPr>
        <sz val="10"/>
        <color rgb="FF000000"/>
        <rFont val="Arial"/>
        <family val="2"/>
        <scheme val="minor"/>
      </rPr>
      <t>.</t>
    </r>
  </si>
  <si>
    <t>Pacifi *et al*. (2013)</t>
  </si>
  <si>
    <r>
      <t>The adult body mass (in grams) per species were derived from Phylacine 1.2</t>
    </r>
    <r>
      <rPr>
        <sz val="10"/>
        <color rgb="FF000000"/>
        <rFont val="Arial"/>
        <family val="2"/>
      </rPr>
      <t>28</t>
    </r>
    <r>
      <rPr>
        <sz val="10"/>
        <color rgb="FF000000"/>
        <rFont val="Arial"/>
        <family val="2"/>
        <scheme val="minor"/>
      </rPr>
      <t xml:space="preserve"> and generation length from Pacifici et al.</t>
    </r>
    <r>
      <rPr>
        <sz val="10"/>
        <color rgb="FF000000"/>
        <rFont val="Arial"/>
        <family val="2"/>
      </rPr>
      <t>29</t>
    </r>
    <r>
      <rPr>
        <sz val="10"/>
        <color rgb="FF000000"/>
        <rFont val="Arial"/>
        <family val="2"/>
        <scheme val="minor"/>
      </rPr>
      <t>.</t>
    </r>
  </si>
  <si>
    <t>Direct threats</t>
  </si>
  <si>
    <t>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t>
  </si>
  <si>
    <t>Indirect threats</t>
  </si>
  <si>
    <t>Indirect threats (Tind) refer to the threats outside cave systems or within cave proximity, of which the impacts to populations are secondary or non-immediate but otherwise detrimental. Examples include deforestation, agriculture, and urbanisation.</t>
  </si>
  <si>
    <t>Natural threats</t>
  </si>
  <si>
    <t>Lastly, Natural threats (Tnat) refer to threats that are natural in origin, though their frequency may be impacted by human activities, and that may directly or indirectly impact populations, such as diseases (e.g., White-nose syndrome) and climate-driven risks (e.g., drought, extreme cold)</t>
  </si>
  <si>
    <t>doi</t>
  </si>
  <si>
    <t>Visitation, Seed Dispersal, Pollination, Consumption, Roost, Host, Predation, Cohabitation, Transport</t>
  </si>
  <si>
    <t>This database only contains accounts of bats interacting with other organisms and not hypotheses that they might (e.g. a flower has chiropterophilious features). We report what is published and do not assume that every visit to a flower results in pollination or that every fruit eaten results in seed dispersal. We do assume that every object that is consumed is destroyed in the process.</t>
  </si>
  <si>
    <t>Geiselman, C. K., &amp; Younger, S. (2020). Bat Eco-Interactions Database.</t>
  </si>
  <si>
    <t>Forest, Wetlands, Artificial Landscape, Caves and Subterranean Areas, Rocky Areas, Savanna, Desert, Shrubland, Grassland, Captivity</t>
  </si>
  <si>
    <t>The terrestrial habitat types used by this database are listed below and are the standard terms used in the IUCN Red List Habitats Authority File (Version 3.0). For more information please see IUCN Habitats Classification Scheme.</t>
  </si>
  <si>
    <t xml:space="preserve">It is acknowledged that the classification scheme used here may not be entirely satisfactory, but it provides a standardization of habitat types for analytical purposes. This database only report data as it is published and does not make changes or evaluates accuracy of the species accounts. </t>
  </si>
  <si>
    <t>Days</t>
  </si>
  <si>
    <t>Age at first conception.</t>
  </si>
  <si>
    <t>B,R,M</t>
  </si>
  <si>
    <t>https://doi.org/10.1890/15-0846R.1</t>
  </si>
  <si>
    <t>The range of frequencies through which an echolocation call sweeps</t>
  </si>
  <si>
    <t>https://doi.org/10.1038/s41597-023-02157-4</t>
  </si>
  <si>
    <t>Number</t>
  </si>
  <si>
    <t>Number of offspring per litter or number of eggs per clutch.</t>
  </si>
  <si>
    <t>ms</t>
  </si>
  <si>
    <t>Duration of a call</t>
  </si>
  <si>
    <t>Number per year</t>
  </si>
  <si>
    <t>Number of litters or clutches produced per year.</t>
  </si>
  <si>
    <t>Frequency value measured at the end of the call</t>
  </si>
  <si>
    <t>Grams</t>
  </si>
  <si>
    <t>Body mass using data from males, females, and/or unspecified adults.</t>
  </si>
  <si>
    <t>Time interval between two consecutive calls</t>
  </si>
  <si>
    <t>Years</t>
  </si>
  <si>
    <t>Maximum recorded longevity for species.</t>
  </si>
  <si>
    <t>Maximum frequency value of the call</t>
  </si>
  <si>
    <t>Length of time from conception or fertilization to birth.</t>
  </si>
  <si>
    <t>M</t>
  </si>
  <si>
    <t>Frequency of highest energy taken at half call duration</t>
  </si>
  <si>
    <t>Age at which the species becomes dependent on food other than its mother's milk.</t>
  </si>
  <si>
    <t>Minimum frequency value of the call</t>
  </si>
  <si>
    <t>Weight at birth or at hatching.</t>
  </si>
  <si>
    <t>Frequency with the greatest amount of energy in a call</t>
  </si>
  <si>
    <t>Weight at weaning.</t>
  </si>
  <si>
    <t>kHz/ms</t>
  </si>
  <si>
    <t>Total slope of the call, calculated from the difference in frequency and time from the point of highest frequency to the point of the characteristic frequency</t>
  </si>
  <si>
    <t>egg_mass_g</t>
  </si>
  <si>
    <t>Egg mass.</t>
  </si>
  <si>
    <t>B,R</t>
  </si>
  <si>
    <t>Frequency value measured at the beginning of the call</t>
  </si>
  <si>
    <t>incubation_d</t>
  </si>
  <si>
    <t>Length of time between egg oviposition and hatching.</t>
  </si>
  <si>
    <t>Number_of_buzzes/hour</t>
  </si>
  <si>
    <t>Number of feeding buzzes per hour</t>
  </si>
  <si>
    <t>fledging_age_d</t>
  </si>
  <si>
    <t>Age of the bird when it is capable of flight.</t>
  </si>
  <si>
    <t>B</t>
  </si>
  <si>
    <t>Duration of a feeding buzz (including pre-buzz phase)</t>
  </si>
  <si>
    <t>Age at death.</t>
  </si>
  <si>
    <t>Frequency with the greatest amount of energy in a feeding buzz call</t>
  </si>
  <si>
    <t>Age of sexual maturity for males.</t>
  </si>
  <si>
    <t>Call type: FM (frequency modulated), FM/QCF (frequency modulated or quasi-constant frequency), CF+FM constant-frequency with modulated frequency components)</t>
  </si>
  <si>
    <t>Interval between successive births or ovipositions.  This can differ from litter/clutch frequency due to seasonality.</t>
  </si>
  <si>
    <t>years</t>
  </si>
  <si>
    <t>Maximum record of longevity in the wild</t>
  </si>
  <si>
    <t>Body mass of female adults.</t>
  </si>
  <si>
    <t>Order of the main prey item: Lepidoptera, Coleoptera, Diptera, Trichoptera, Hymenoptera, Orthoptera, Arachnida</t>
  </si>
  <si>
    <t>Body mass of male adults.</t>
  </si>
  <si>
    <t>Order of the second main prey item: Lepidoptera, Coleoptera, Diptera, Trichoptera, Hymenoptera, Orthoptera, Arachnida</t>
  </si>
  <si>
    <t>Body mass of unspecified adults.</t>
  </si>
  <si>
    <t>Order of the third main prey item: Lepidoptera, Coleoptera, Diptera, Trichoptera, Hymenoptera, Orthoptera, Arachnida</t>
  </si>
  <si>
    <t>egg_width_mm</t>
  </si>
  <si>
    <t>Millimeters</t>
  </si>
  <si>
    <t>Egg width.</t>
  </si>
  <si>
    <t>Dietary niche breadth calculated using Levin’s standardised index: higher values indicate large niche breadth</t>
  </si>
  <si>
    <t>egg_length_mm</t>
  </si>
  <si>
    <t>Egg length.</t>
  </si>
  <si>
    <t>Dietary diversity calculated using Shannon-Weaver diversity index: higher values indicate highly diverse diet</t>
  </si>
  <si>
    <t>fledging_mass_g</t>
  </si>
  <si>
    <t>Mass of the bird at the time it has developed the feathers necessary for flight.</t>
  </si>
  <si>
    <t>Diet type: insectivorous, frugivorous</t>
  </si>
  <si>
    <t>Centimeters</t>
  </si>
  <si>
    <t>Measure from tip of the snout to either the opening of the cloaca (Birds &amp; Reptiles) or tail base (mammals) for male, female, and/or unspecified adults.</t>
  </si>
  <si>
    <t>index</t>
  </si>
  <si>
    <t>Trophic specialisation calculated using the coefficient of variation: higher values indicate high level of specialisation towards a given prey order</t>
  </si>
  <si>
    <t>Measure from tip of the snout to the opening of the cloaca or tail base for male adults.</t>
  </si>
  <si>
    <t>Species habitat specialisation index: degree of specialisation of a species in its use of a habitat for foraging/commuting calculated using the coefficient of variation: higher values indicate high level of specialisation towards a given habitat.</t>
  </si>
  <si>
    <t>Measure from tip of the snout to the opening of the cloaca or tail base for female adults.</t>
  </si>
  <si>
    <t>Estimated response to decideous forest at 50 m radius buffer scale calculated from generalized linear mixed model</t>
  </si>
  <si>
    <t>Measure from tip of the snout to the opening of the cloaca or tail base at the time of hatching for male, female, and/or unspecified newborn animals.</t>
  </si>
  <si>
    <t>B,R, M</t>
  </si>
  <si>
    <t>Estimated response to coniferous forest at 50 m radius buffer scale calculated from generalized linear mixed model</t>
  </si>
  <si>
    <t>Measure from tip of the snout to the opening of the cloaca or tail base at the time of maturity for females.</t>
  </si>
  <si>
    <t>Estimated response to dense urban area at 50 m radius buffer scale calculated from generalized linear mixed model</t>
  </si>
  <si>
    <t>Body mass at the time of maturity for females.</t>
  </si>
  <si>
    <t>Estimated response to freshwater at 50 m radius buffer scale calculated from generalized linear mixed model</t>
  </si>
  <si>
    <t>Measure from tip of the snout to the opening of the cloaca or tail base for unspecified adults.</t>
  </si>
  <si>
    <t>Estimated response to cropland at 50 m radius buffer scale calculated from generalized linear mixed model</t>
  </si>
  <si>
    <t>Age at sexual maturity for unspecified adults.</t>
  </si>
  <si>
    <t>Estimated response to grassland at 50 m radius buffer scale calculated from generalized linear mixed model</t>
  </si>
  <si>
    <t>Body mass of an adult individual in grams</t>
  </si>
  <si>
    <t>https://doi.org/10.1002/ecy.3344</t>
  </si>
  <si>
    <t>Weight of the brain of an adult individual in grams</t>
  </si>
  <si>
    <t>Total length from tip of the nose to anus or base of the tail of an adult individual in millimeters</t>
  </si>
  <si>
    <t>Total length from elbow to wrist of an adult individual in millimeters, specific to order Chiroptera</t>
  </si>
  <si>
    <t>days</t>
  </si>
  <si>
    <t>Maximum reported age at death for the species in days</t>
  </si>
  <si>
    <t>The amount of time needed to reach sexual maturity in days</t>
  </si>
  <si>
    <r>
      <rPr>
        <sz val="12"/>
        <color theme="1"/>
        <rFont val="&quot;TimesNewRomanPS&quot;"/>
      </rPr>
      <t>female</t>
    </r>
    <r>
      <rPr>
        <sz val="11"/>
        <color theme="1"/>
        <rFont val="&quot;TimesNewRomanPS&quot;"/>
      </rPr>
      <t>_maturity_d</t>
    </r>
  </si>
  <si>
    <t>The amount of time needed for a female to reach sexual maturity in days</t>
  </si>
  <si>
    <r>
      <rPr>
        <sz val="12"/>
        <color theme="1"/>
        <rFont val="&quot;TimesNewRomanPS&quot;"/>
      </rPr>
      <t>male</t>
    </r>
    <r>
      <rPr>
        <sz val="11"/>
        <color theme="1"/>
        <rFont val="&quot;TimesNewRomanPS&quot;"/>
      </rPr>
      <t>_maturity_d</t>
    </r>
  </si>
  <si>
    <t>The amount of time needed for a male to reach sexual maturity in days</t>
  </si>
  <si>
    <t>Age at which females give birth to their first litter or their young attach to teats in days</t>
  </si>
  <si>
    <t>Length of time of fetal growth in days</t>
  </si>
  <si>
    <t>Total number of teats present in an individual of the species</t>
  </si>
  <si>
    <t>Number of offspring born per litter per female</t>
  </si>
  <si>
    <t>litters/year</t>
  </si>
  <si>
    <t>Number of litters per female per year</t>
  </si>
  <si>
    <t>Time between reproduction events in days</t>
  </si>
  <si>
    <t>Weight of an individual at birth in grams</t>
  </si>
  <si>
    <t>Age at which primary nutritional dependency on the mother ends and independent foraging begins in days</t>
  </si>
  <si>
    <t>Weight at weaning in grams</t>
  </si>
  <si>
    <t>Average age of parents of the current cohort in days</t>
  </si>
  <si>
    <t>km</t>
  </si>
  <si>
    <t>The distance an animal travels between its place of birth to the place where it reproduces in kilometers</t>
  </si>
  <si>
    <t>individuals/km2</t>
  </si>
  <si>
    <t>Number of individuals of the species per squared kilometer</t>
  </si>
  <si>
    <t>0 (no), 1 (yes)</t>
  </si>
  <si>
    <t>Individuals of the species go through hibernation or torpor</t>
  </si>
  <si>
    <t xml:space="preserve">1: fossorial and/or ground dwelling, 2: above ground dwelling </t>
  </si>
  <si>
    <t>The species is above ground dwelling or ground/fossorial dwelling</t>
  </si>
  <si>
    <t>km2</t>
  </si>
  <si>
    <r>
      <rPr>
        <sz val="11"/>
        <color theme="1"/>
        <rFont val="&quot;TimesNewRomanPSMT&quot;"/>
      </rPr>
      <t>Size of the area within which everyday activities of individuals or groups of individuals are typically restricted in km</t>
    </r>
    <r>
      <rPr>
        <sz val="7"/>
        <color theme="1"/>
        <rFont val="&quot;TimesNewRomanPSMT&quot;"/>
      </rPr>
      <t>2</t>
    </r>
  </si>
  <si>
    <t>individuals</t>
  </si>
  <si>
    <t>Number of individuals in a group that spends most of their daily time together</t>
  </si>
  <si>
    <t>%</t>
  </si>
  <si>
    <t xml:space="preserve">Percentage of the diet composed of invertebrates </t>
  </si>
  <si>
    <t>Percentage of the diet composed of vertebrates</t>
  </si>
  <si>
    <t>Percentage of the diet composed of plants and/or fungi</t>
  </si>
  <si>
    <t>Percentage of the diet composed of invertebrates</t>
  </si>
  <si>
    <t>Percentage of the diet composed of mammals, birds</t>
  </si>
  <si>
    <t>Percentage of the diet composed of reptiles, snakes, amphibians, salamanders</t>
  </si>
  <si>
    <t>Percentage of the diet composed of fish</t>
  </si>
  <si>
    <t>Percentage of the diet composed of vertebrates – general or unknown</t>
  </si>
  <si>
    <t>Percentage of the diet composed of scavenge, garbage, offal, carcasses, trawlers, carrion</t>
  </si>
  <si>
    <t>Percentage of the diet composed of fruit, drupes</t>
  </si>
  <si>
    <t>Percentage of the diet composed of nectar, pollen, plant exudates, gums</t>
  </si>
  <si>
    <t>Percentage of the diet composed of seed, maize, nuts, spores, wheat, grains</t>
  </si>
  <si>
    <t>Percentage of the diet composed of other plant elements</t>
  </si>
  <si>
    <t>Values range from 1 dietary category to 5 dietary categories</t>
  </si>
  <si>
    <r>
      <rPr>
        <sz val="11"/>
        <color theme="1"/>
        <rFont val="&quot;TimesNewRomanPSMT&quot;"/>
      </rPr>
      <t>Number of prevalent (</t>
    </r>
    <r>
      <rPr>
        <sz val="11"/>
        <color theme="1"/>
        <rFont val="&quot;TimesNewRomanPSMT&quot;"/>
      </rPr>
      <t xml:space="preserve">≥ </t>
    </r>
    <r>
      <rPr>
        <sz val="11"/>
        <color theme="1"/>
        <rFont val="&quot;TimesNewRomanPSMT&quot;"/>
      </rPr>
      <t>20%) EltonTraits dietary categories consumed</t>
    </r>
  </si>
  <si>
    <t>1: herbivore 2: omnivore 3: carnivore</t>
  </si>
  <si>
    <t>Trophic level of the species</t>
  </si>
  <si>
    <t>M: marine, G: ground level, including aquatic foraging, S: scansorial, Ar: arboreal, A: aerial</t>
  </si>
  <si>
    <t>Assignment to one of five foraging stratum categories</t>
  </si>
  <si>
    <t>1: nocturnal only, 2: nocturnal/crepuscular, cathemeral, crepuscular or diurnal/crepuscular, 3: diurnal only</t>
  </si>
  <si>
    <t>Activity cycle of each species</t>
  </si>
  <si>
    <t>The species spends a significant amount of time in freshwater bodies</t>
  </si>
  <si>
    <t>The species spends a significant amount of time in oceans and/or seas</t>
  </si>
  <si>
    <t>The species spends a significant amount of time on land</t>
  </si>
  <si>
    <t>The species is capable of powered flight and spends a significant amount of time flying in the air</t>
  </si>
  <si>
    <t>m</t>
  </si>
  <si>
    <t>Upper elevation limit at which the species can be found in meters</t>
  </si>
  <si>
    <t>Lower elevation limit at which the species can be found in meters</t>
  </si>
  <si>
    <t>Difference between the upper and lower elevation limits of a species in meters</t>
  </si>
  <si>
    <t>20% or more of the breeding range occurs on an island</t>
  </si>
  <si>
    <t>Exclusively marine, Occurs on mainland, Occurs on large land bridge islands: the species occurs on islands greater than 1,000 km2 that are separated from the mainland by water no more than 110 m deep. The islands would have been part of the mainland during the last glacial maximum., Occurs on small land bridge islands: the species occurs on islands smaller than 1,000 km2 that are separated from the mainland by water no more than 110 m deep. The islands would have been part of the mainland during the last glacial maximum., Occurs only on isolated islands: the species occurs on islands separated from the mainland by water deeper than 110 m.</t>
  </si>
  <si>
    <t>Score of island endemicity obtained from species’ ranges and historical and fossil occurrence records</t>
  </si>
  <si>
    <t>Range dissected by mountains (based on elevation gradients with slopes equal or higher than 5 degrees)</t>
  </si>
  <si>
    <t>Historical exposure to glaciation, considered as more than 20% range overlap with areas glaciated in the last 21000 years Binary</t>
  </si>
  <si>
    <r>
      <rPr>
        <sz val="12"/>
        <color theme="1"/>
        <rFont val="&quot;TimesNewRomanPS&quot;"/>
      </rPr>
      <t>biogeographical</t>
    </r>
    <r>
      <rPr>
        <sz val="11"/>
        <color theme="1"/>
        <rFont val="&quot;TimesNewRomanPS&quot;"/>
      </rPr>
      <t>_realm</t>
    </r>
  </si>
  <si>
    <t>Afrotropical, Antarctic, Australasian, Indomalayan, Nearctic, Neotropical, Oceanian, Palearctic</t>
  </si>
  <si>
    <t>Biogeographical realms in which the species can be encountered</t>
  </si>
  <si>
    <r>
      <rPr>
        <sz val="12"/>
        <color theme="1"/>
        <rFont val="&quot;TimesNewRomanPS&quot;"/>
      </rPr>
      <t>habitat</t>
    </r>
    <r>
      <rPr>
        <sz val="11"/>
        <color theme="1"/>
        <rFont val="&quot;TimesNewRomanPS&quot;"/>
      </rPr>
      <t>_breadth_n</t>
    </r>
  </si>
  <si>
    <t>Number of distinct suitable level 1 IUCN habitats</t>
  </si>
  <si>
    <t>FM (frequency modulated), FM/QCF (frequency modulated or quasi-constant frequency), CF+FM constant-frequency with modulated frequency components)</t>
  </si>
  <si>
    <t>Lepidoptera, Coleoptera, Diptera, Trichoptera, Hymenoptera, Orthoptera, Arachnida</t>
  </si>
  <si>
    <t>insectivorous, frugivorous</t>
  </si>
  <si>
    <t>Estimated response to decideous forest at 500 m radius buffer scale calculated from generalized linear mixed model</t>
  </si>
  <si>
    <t>Estimated response to coniferous at 500 m radius buffer scale calculated from generalized linear mixed model</t>
  </si>
  <si>
    <t>Estimated response to dense urban area at 500 m radius buffer scale calculated from generalized linear mixed model</t>
  </si>
  <si>
    <t>Estimated response to freshwater at 500 m radius buffer scale calculated from generalized linear mixed model</t>
  </si>
  <si>
    <t>Estimated response to cropland at 500 m radius buffer scale calculated from generalized linear mixed model</t>
  </si>
  <si>
    <t>Estimated response to grassland at 500 m radius buffer scale calculated from generalized linear mixed model</t>
  </si>
  <si>
    <t>Estimated response to cropland at 5000 m radius buffer scale calculated from generalized linear mixed model</t>
  </si>
  <si>
    <t>Estimated response to grassland at 5000 m radius buffer scale calculated from generalized linear mixed model</t>
  </si>
  <si>
    <t>Estimated response to dense urban area at 5000 m radius buffer scale calculated from generalized linear mixed model</t>
  </si>
  <si>
    <t>Estimated response to freshwater at 5000 m radius buffer scale calculated from generalized linear mixed model</t>
  </si>
  <si>
    <t>Forest as critical feeding areas: yes, no</t>
  </si>
  <si>
    <t>Wooded riparian habitat as critical feeding areas: yes, no</t>
  </si>
  <si>
    <t>Wetland as critical feeding areas: yes, no</t>
  </si>
  <si>
    <t>Water bodies as critical feeding areas: yes, no</t>
  </si>
  <si>
    <t>Grassland as critical feeding areas: yes, no</t>
  </si>
  <si>
    <t>Hedgerows as critical feeding areas: yes, no</t>
  </si>
  <si>
    <t>Orchard as critical feeding areas: yes, no</t>
  </si>
  <si>
    <t>Shrubland as critical feeding areas: yes, no</t>
  </si>
  <si>
    <t>Open habitat as critical feeding areas: yes, no</t>
  </si>
  <si>
    <t>Urban park/garden as critical feeding areas: yes, no</t>
  </si>
  <si>
    <t>Number of alleles</t>
  </si>
  <si>
    <t>Average number of alleles (genetic variants) per microsatellite locus</t>
  </si>
  <si>
    <t>base pairs</t>
  </si>
  <si>
    <t>Number of base pairs in complete mtDNA genome</t>
  </si>
  <si>
    <t>Number of sub-populations</t>
  </si>
  <si>
    <t>Number of genetic sub-population clusters measured according to individual ancestry based on microsatellite or SNP datasets</t>
  </si>
  <si>
    <t>Giga base pairs</t>
  </si>
  <si>
    <t>The amount of DNA in the genome measured as number of nucleotide base pairs</t>
  </si>
  <si>
    <t>yes, no, possible</t>
  </si>
  <si>
    <t>Hybridization: yes, no, possible</t>
  </si>
  <si>
    <t>Number of chromosomes</t>
  </si>
  <si>
    <t>Number of genetic lineages</t>
  </si>
  <si>
    <t>Number of genetic lineages in the phylogenetic tree constructed with nuclear DNA or mitochondrial DNA sequences</t>
  </si>
  <si>
    <t>Number of chromosomal arms</t>
  </si>
  <si>
    <t>Number of autosomal arms</t>
  </si>
  <si>
    <t>Estimated extent of occurrence: area contained within the shortest continuous imaginary boundary which can be drawn to encompass all the known, inferred or projected sites of present occurrence of a taxon, excluding cases of vagrancy</t>
  </si>
  <si>
    <t>Spatial area where a species is found</t>
  </si>
  <si>
    <t>Upper elevation limit</t>
  </si>
  <si>
    <t>Endemic to an island: yes, no</t>
  </si>
  <si>
    <t>Altitudinal migration: yes, no, possible</t>
  </si>
  <si>
    <t>Third digit length</t>
  </si>
  <si>
    <t>Fifth digit length</t>
  </si>
  <si>
    <t>Ratio condylobasal length/condylocanine length</t>
  </si>
  <si>
    <t>Length of upper tooth row</t>
  </si>
  <si>
    <t>Aspect ratio index</t>
  </si>
  <si>
    <t>g/dm2</t>
  </si>
  <si>
    <t>Wing loading index</t>
  </si>
  <si>
    <t>Endoparasites identified in the species</t>
  </si>
  <si>
    <t>Fungal pathogens identified in the species</t>
  </si>
  <si>
    <t>Viruses identified in the species</t>
  </si>
  <si>
    <t>Kurtosis index of the seasonal activity pattern: kurtosis is the measure of the sharpness of the peak of a frequency distribution, with positive values indicating heavy tails and negative values indicated light tails</t>
  </si>
  <si>
    <t>Skewness index of the seasonal activity pattern: if values &lt;-0.5: indication of a substantially skewed distribution towards the spring, if values &gt;0.5: indication of a substantially skewed distribution towards the autumn, if values [-0.5,5]: distribution fairly symmetrical with peak around mid-summer</t>
  </si>
  <si>
    <t>ml O2/h</t>
  </si>
  <si>
    <t>calculated from measurements of heat production or oxygen consumption in an organism in post-absorptive state, and thermoneutral zone</t>
  </si>
  <si>
    <t>Basal rate of metabolism as a percentage of the value expected from the equation described in Genoud et al. (2018)</t>
  </si>
  <si>
    <t>A measure of how much of a feed or nutrient appears to be digested</t>
  </si>
  <si>
    <t>bpm</t>
  </si>
  <si>
    <t>Heart rate during flight (beats per minutes, bpm)</t>
  </si>
  <si>
    <t>Heart rate during rest (beats per minutes, bpm)</t>
  </si>
  <si>
    <t>Heart rate during torpor (beats per minutes, bpm)</t>
  </si>
  <si>
    <t>h</t>
  </si>
  <si>
    <t>Maximum torpor bout duration</t>
  </si>
  <si>
    <t>Mean torpor bout duration</t>
  </si>
  <si>
    <t>˚C</t>
  </si>
  <si>
    <t>Minimum body temperature of the species while in its thermoneutral zone (not corrected). The thermoneutral zone is the range of ambient temperature at which temperature regulation is achieved only by control of sensible heat loss, i.e., without regulatory changes in metabolic heat production or evaporative heat loss.</t>
  </si>
  <si>
    <t>W kg-1</t>
  </si>
  <si>
    <t>The metabolic rate of an animal that is resting in a thermoneutral environment but not in the postabsorptive state</t>
  </si>
  <si>
    <t>ml/h</t>
  </si>
  <si>
    <t>The sum of cutaneous evaporative water loss and respiratory evaporative water loss</t>
  </si>
  <si>
    <t>Torpor behaviour: yes, no</t>
  </si>
  <si>
    <t>°C</t>
  </si>
  <si>
    <t>Species thermal index: thermal preference of a species expressed as the average temperature a species experiences across its geographic range</t>
  </si>
  <si>
    <t>Estimated response to temperature at night calculated from generalized linear mixed model</t>
  </si>
  <si>
    <t>Estimated response to the amount of precipitations at night calculated from generalized linear mixed model</t>
  </si>
  <si>
    <t>Estimated response to wind speed at night calculated from generalized linear mixed model</t>
  </si>
  <si>
    <t>Time of gestation</t>
  </si>
  <si>
    <t>Number of offspring per year</t>
  </si>
  <si>
    <t>Average age at sexual or reproductive maturity of female</t>
  </si>
  <si>
    <t>Average age at sexual or reproductive maturity of male</t>
  </si>
  <si>
    <t>Weaning time</t>
  </si>
  <si>
    <t>Thermally stable underground roosts (e.g. caves, mines, etc.), thermally unstable underground roosts (e.g. cellar, bunker, etc.), human-made roost (e.g. buildings, barns, churches, etc.), tree roost (e.g. holes, crevices, barck pockets, etc.), rock crevices</t>
  </si>
  <si>
    <t>Main hibernation roost: thermally stable underground roosts (e.g. caves, mines, etc.), thermally unstable underground roosts (e.g. cellar, bunker, etc.), human-made roost (e.g. buildings, barns, churches, etc.), tree roost (e.g. holes, crevices, barck pockets, etc.), rock crevices</t>
  </si>
  <si>
    <t>Main maternity roost: thermally stable underground roosts (e.g. caves, mines, etc.), thermally unstable underground roosts (e.g. cellar, bunker, etc.), human-made roost (e.g. buildings, barns, churches, etc.), tree roost (e.g. holes, crevices, barck pockets, etc.), rock crevices</t>
  </si>
  <si>
    <t>Second main hibernation roost: thermally stable underground roosts (e.g. caves, mines, etc.), thermally unstable underground roosts (e.g. cellar, bunker, etc.), human-made roost (e.g. buildings, barns, churches, etc.), tree roost (e.g. holes, crevices, barck pockets, etc.), rock crevices</t>
  </si>
  <si>
    <t>Second main maternity roost: thermally stable underground roosts (e.g. caves, mines, etc.), thermally unstable underground roosts (e.g. cellar, bunker, etc.), human-made roost (e.g. buildings, barns, churches, etc.), tree roost (e.g. holes, crevices, barck pockets, etc.), rock crevices</t>
  </si>
  <si>
    <t>Third main hibernation roost: thermally stable underground roosts (e.g. caves, mines, etc.), thermally unstable underground roosts (e.g. cellar, bunker, etc.), human-made roost (e.g. buildings, barns, churches, etc.), tree roost (e.g. holes, crevices, barck pockets, etc.), rock crevices</t>
  </si>
  <si>
    <t>Third main maternity roost: thermally stable underground roosts (e.g. caves, mines, etc.), thermally unstable underground roosts (e.g. cellar, bunker, etc.), human-made roost (e.g. buildings, barns, churches, etc.), tree roost (e.g. holes, crevices, barck pockets, etc.), rock crevices</t>
  </si>
  <si>
    <t>0: no dependence, 1: low dependence, 2: moderate dependence, 3: high dependence, 4: very high dependence, 5: extremely high dependence.</t>
  </si>
  <si>
    <t>Degree of dependence on castle/fortification as overground roost: 0: no dependence, 1: low dependence, 2: moderate dependence, 3: high dependence, 4: very high dependence, 5: extremely high dependence.</t>
  </si>
  <si>
    <t>Degree of dependence on church as overground roost: 0: no dependence, 1: low dependence, 2: moderate dependence, 3: high dependence, 4: very high dependence, 5: extremely high dependence.</t>
  </si>
  <si>
    <t>Degree of dependence on house/block of flats as overground roost: 0: no dependence, 1: low dependence, 2: moderate dependence, 3: high dependence, 4: very high dependence, 5: extremely high dependence.</t>
  </si>
  <si>
    <t>Degree of dependence on barn/stable as overground roost: 0: no dependence, 1: low dependence, 2: moderate dependence, 3: high dependence, 4: very high dependence, 5: extremely high dependence.</t>
  </si>
  <si>
    <t>Degree of dependence on bridge as overground roost: 0: no dependence, 1: low dependence, 2: moderate dependence, 3: high dependence, 4: very high dependence, 5: extremely high dependence.</t>
  </si>
  <si>
    <t>Degree of dependence on tree as overground roost: 0: no dependence, 1: low dependence, 2: moderate dependence, 3: high dependence, 4: very high dependence, 5: extremely high dependence.</t>
  </si>
  <si>
    <t>Mean average daily distance between roost and foraging habitats</t>
  </si>
  <si>
    <t>Mean maximum daily distance between roost and foraging habitats</t>
  </si>
  <si>
    <t>Area routinely used by an individual to satisfy its daily needs: mean, median, min, max and cumulated.</t>
  </si>
  <si>
    <t>Regular dispersal distances, includes both natal dispersal of juveniles and dispersal of adults for mating / hibernation</t>
  </si>
  <si>
    <t>Maximum recorded seasonal movement (includes migration movement)</t>
  </si>
  <si>
    <t>Estimated realistic turning diameter for minimum flight speed, using values for ﬂight characteristics (ﬂight speed, wing loading) and body measures (body mass, wing area)</t>
  </si>
  <si>
    <t>Proportion of flights at height</t>
  </si>
  <si>
    <t>Based on weight</t>
  </si>
  <si>
    <t>SI, FM</t>
  </si>
  <si>
    <t>https://doi.org/10.11606/1807-0205/2021.61.24</t>
  </si>
  <si>
    <t>Measurement from the tail (if any) to the head (tail + body + head). If 
there is no tail, the measurement encompasses the lower end of the body to 
the head</t>
  </si>
  <si>
    <t>FM</t>
  </si>
  <si>
    <t>https://doi.org/10.11606/1807-0205/2021.61.24</t>
  </si>
  <si>
    <t>Measurement from the base of the elbow (tip of the olecranon process) to 
the distal region of the forearm where it joins the carpus</t>
  </si>
  <si>
    <t>SI, FM, BC</t>
  </si>
  <si>
    <t>https://doi.org/10.11606/1807-0205/2021.61.24</t>
  </si>
  <si>
    <t>In biological collections the trait is the result of the sum of the 
metacarpus and its three phalanges. The metacarpus is measured from the 
joint with the phalanx to the junction with the carpus. The phalanx is 
measured as the maximum distance between the joints. In the field, the 
trait is measured from the junction of the metacarpus with the carpus to 
the tip of the third phalanx</t>
  </si>
  <si>
    <t>FM, BC</t>
  </si>
  <si>
    <t>https://doi.org/10.11606/1807-0205/2021.61.24</t>
  </si>
  <si>
    <t>In biological collections the trait is the result of the sum of the 
metacarpus and its two phalanges. The metacarpus is measured from the joint 
with the phalanx to the junction with the carpus. The phalanx is measured 
as the maximum distance between the joints. In the field, it is measured 
from the junction of the metacarpus with the carps to the tip of the second 
phalanx</t>
  </si>
  <si>
    <t>https://doi.org/10.11606/1807-0205/2021.61.24</t>
  </si>
  <si>
    <t>Newtons/m2</t>
  </si>
  <si>
    <t>Wing loading (Wl) is body mass in kg times acceleration of gravity (Mg) 
divided by its wing area in m2 (S); *gravity acceleration = 9.8 m/s2; Wl = 
Mg/S (N/m2)</t>
  </si>
  <si>
    <t>FM, SI</t>
  </si>
  <si>
    <t>https://doi.org/10.11606/1807-0205/2021.61.24</t>
  </si>
  <si>
    <t>Aspect ratio (A) is the result of the wing span squared (m2) (B) divided by 
wing area (m2) (S); A = B2/S</t>
  </si>
  <si>
    <t>https://doi.org/10.11606/1807-0205/2021.61.24</t>
  </si>
  <si>
    <t>Tip shape index (I) is the tip area ratio (Ts) divided by tip length ratio 
(Tl) minus Ts; I = Ts/(Tl-Ts)</t>
  </si>
  <si>
    <t>https://doi.org/10.11606/1807-0205/2021.61.24</t>
  </si>
  <si>
    <t>Measurement taken from tip to tip of the extended wings held along to the 
long axis of the body</t>
  </si>
  <si>
    <t>https://doi.org/10.11606/1807-0205/2021.61.24</t>
  </si>
  <si>
    <t>Measurement from the beginning of the phalanx of finger to the beginning of 
the claw</t>
  </si>
  <si>
    <t>https://doi.org/10.11606/1807-0205/2021.61.24</t>
  </si>
  <si>
    <t>Measurement from the beginning of the phalanx of the thumb to the tip of 
the claw</t>
  </si>
  <si>
    <t>https://doi.org/10.11606/1807-0205/2021.61.24</t>
  </si>
  <si>
    <t>Measurement from the joint with the tibia to the beginning of the claws</t>
  </si>
  <si>
    <t>https://doi.org/10.11606/1807-0205/2021.61.24</t>
  </si>
  <si>
    <t>Measurement from the tibia joint to the tip of the claw</t>
  </si>
  <si>
    <t>https://doi.org/10.11606/1807-0205/2021.61.24</t>
  </si>
  <si>
    <t>Measurement from the joint with the femur to the joint with the foot</t>
  </si>
  <si>
    <t>https://doi.org/10.11606/1807-0205/2021.61.24</t>
  </si>
  <si>
    <t>Measure from the base of the calcaneus to the tip of it</t>
  </si>
  <si>
    <t>https://doi.org/10.11606/1807-0205/2021.61.24</t>
  </si>
  <si>
    <t>Measure from the base of the ear to its most apical region</t>
  </si>
  <si>
    <t>https://doi.org/10.11606/1807-0205/2021.61.24</t>
  </si>
  <si>
    <t>Measure from the base to the tip of the structure</t>
  </si>
  <si>
    <t>https://doi.org/10.11606/1807-0205/2021.61.24</t>
  </si>
  <si>
    <t>Measurement from the base of the nasal horseshoe to the tip of the lancet</t>
  </si>
  <si>
    <t>https://doi.org/10.11606/1807-0205/2021.61.24</t>
  </si>
  <si>
    <t>Ratio of the cranial width to the inner nostril width</t>
  </si>
  <si>
    <t>https://doi.org/10.11606/1807-0205/2021.61.24</t>
  </si>
  <si>
    <t>Value of the trait in millimeters (mm)</t>
  </si>
  <si>
    <t>Measurement from the insertion of the tail in the body to its distal end</t>
  </si>
  <si>
    <t>https://doi.org/10.11606/1807-0205/2021.61.24</t>
  </si>
  <si>
    <t>Value of the trait in area (m2)</t>
  </si>
  <si>
    <t>Measurement of the surface area of the intrafemoral membrane</t>
  </si>
  <si>
    <t>https://doi.org/10.11606/1807-0205/2021.61.24</t>
  </si>
  <si>
    <t>Mean number of litters during a year</t>
  </si>
  <si>
    <t>Number of litters produced per year</t>
  </si>
  <si>
    <t>https://doi.org/10.11606/1807-0205/2021.61.24</t>
  </si>
  <si>
    <t>Mean number of pups per litter</t>
  </si>
  <si>
    <t>Number of pups produced per litter</t>
  </si>
  <si>
    <t>https://doi.org/10.11606/1807-0205/2021.61.24</t>
  </si>
  <si>
    <t>Mean days in pregnancy</t>
  </si>
  <si>
    <t>Length of the pregnancy expressed in days</t>
  </si>
  <si>
    <t>https://doi.org/10.11606/1807-0205/2021.61.24</t>
  </si>
  <si>
    <t>Mean days in lactation</t>
  </si>
  <si>
    <t>Length of the lactation expressed in days</t>
  </si>
  <si>
    <t>https://doi.org/10.11606/1807-0205/2021.61.24</t>
  </si>
  <si>
    <t>For females the frequencies or population averages of each stage: 
Proestrus. Estrus. Metestrus. Anestrus. For males the frequencies or 
population averages of: Scrotted males Non-scrotted males</t>
  </si>
  <si>
    <t>Reproductive stage that involves hormonal concentration (progesterone and 
estradiol peaks) and physiological changes in females (corpus luteum and 
ovarian follicle). Vaginal smears can reveal superficial nucleated cells 
(proestrus), superficial non-nucleated cells parabasal (estrus), 
intermediate cells (metestrus) and parabasal cells (anestrus) in bat 
females. Females can be considered reproductive when they presented a 
dominance in proestrus, estrus, and metestrus. By contrast, 
non-reproductive females are when the dominant stage is anestrus. This can 
be measured individually and can also be expressed in frequencies or 
population averages of each stage. For males, reproductive status can be 
determined by examining testes (scrotted or not), thus obtaining 
frequencies or population averages of each condition.</t>
  </si>
  <si>
    <t>https://doi.org/10.11606/1807-0205/2021.61.24</t>
  </si>
  <si>
    <t>Mean number of years</t>
  </si>
  <si>
    <t>Age at first reproductive event (adult)</t>
  </si>
  <si>
    <t>https://doi.org/10.11606/1807-0205/2021.61.24</t>
  </si>
  <si>
    <t>Monogamic; Polygyny; Polyandry; Promiscuty</t>
  </si>
  <si>
    <t>All the potential combinations between bats to find mate and copulate 
during reproductive season</t>
  </si>
  <si>
    <t>https://doi.org/10.11606/1807-0205/2021.61.24</t>
  </si>
  <si>
    <t>Food intake response</t>
  </si>
  <si>
    <t>Bat capacity to obtain nutrients when consumption item differ in nutrient 
quality. Food intake response is defined as the relationship (following 
power function) between volumetric food intake and nutrient concentration</t>
  </si>
  <si>
    <t>LE</t>
  </si>
  <si>
    <t>https://doi.org/10.11606/1807-0205/2021.61.24</t>
  </si>
  <si>
    <t>Gut area of the total gut. Mean surface area.</t>
  </si>
  <si>
    <t>BC</t>
  </si>
  <si>
    <t>https://doi.org/10.11606/1807-0205/2021.61.24</t>
  </si>
  <si>
    <t>minutes</t>
  </si>
  <si>
    <t>Time that the seeds are retained inside the gut of the bat until is 
expelled by feces. Mean number of time.</t>
  </si>
  <si>
    <t>https://doi.org/10.11606/1807-0205/2021.61.24</t>
  </si>
  <si>
    <t>Gustative, including vallate and fungiform, or mechanical comprising basal, 
postero-median, scalelike, filiform, foliate, conical, and horny</t>
  </si>
  <si>
    <t>Shape of the papillae in tongue</t>
  </si>
  <si>
    <t>https://doi.org/10.11606/1807-0205/2021.61.24</t>
  </si>
  <si>
    <t>kcal/day</t>
  </si>
  <si>
    <t>Energy unit per time required by an individual to maintain its basal 
physiological functions. Mean energetic expenditure</t>
  </si>
  <si>
    <t>FM, LE</t>
  </si>
  <si>
    <t>https://doi.org/10.11606/1807-0205/2021.61.24</t>
  </si>
  <si>
    <t>ºC</t>
  </si>
  <si>
    <t>Individual capacity to survive at a specific temperature, either hot or 
cold temperatures</t>
  </si>
  <si>
    <t>https://doi.org/10.11606/1807-0205/2021.61.24</t>
  </si>
  <si>
    <t>Resident; Migratory</t>
  </si>
  <si>
    <t>Species movement according its life history</t>
  </si>
  <si>
    <t>https://doi.org/10.11606/1807-0205/2021.61.24</t>
  </si>
  <si>
    <t>Solitary; Society; Group; Colony; Aggregation</t>
  </si>
  <si>
    <t>Clustering of individuals</t>
  </si>
  <si>
    <t>https://doi.org/10.11606/1807-0205/2021.61.24</t>
  </si>
  <si>
    <t>Gleaning foragers; Aerial foragers; Trawling foragers</t>
  </si>
  <si>
    <t>Behavioral strategy that is used to obtain food</t>
  </si>
  <si>
    <t>SI</t>
  </si>
  <si>
    <t>https://doi.org/10.11606/1807-0205/2021.61.24</t>
  </si>
  <si>
    <t>Number of recording events per time hour</t>
  </si>
  <si>
    <t>Activity period of bat species within nocturnal time. Commonly spanned from 
18:00h to 6:00h. Number of recording events per time hour</t>
  </si>
  <si>
    <t>https://doi.org/10.11606/1807-0205/2021.61.24</t>
  </si>
  <si>
    <t>Necterivore; Frugivore; Carnívore; Omnívore; Sanguinivore; Insectívore; 
Piscívore</t>
  </si>
  <si>
    <t>Based on the food item that is consumed mainly for a large part of bat life</t>
  </si>
  <si>
    <t>https://doi.org/10.11606/1807-0205/2021.61.24</t>
  </si>
  <si>
    <t>Based on the percentage of the contribution of each food item to the total 
diet the species. Levin index as well as Morisita index can estimate 
dietary specialization</t>
  </si>
  <si>
    <t>FM, Value of the niche breadth index selected (*e.g.,* Levin, Morisita, etc.) 
ranging from low values (specialist) to high values (generalist)</t>
  </si>
  <si>
    <t>https://doi.org/10.11606/1807-0205/2021.61.24</t>
  </si>
  <si>
    <t>Newtons</t>
  </si>
  <si>
    <t>Is the result of the interplay between the teeth, the masticatory muscles, 
the mandible, the maxillae, and temporomandibular joints. Bite force can be 
measured *in vivo* with an isometric Kistler force transducer or can be 
estimated with assessments of muscular and bony morphology from skulls 
using algorithms</t>
  </si>
  <si>
    <t>FM, BC, SI</t>
  </si>
  <si>
    <t>https://doi.org/10.11606/1807-0205/2021.61.24</t>
  </si>
  <si>
    <t>Background space; Uncluttered space; Highly cluttered space</t>
  </si>
  <si>
    <t>It is the space where the bat is found most of the time, especially when 
searching for food. Resource availability and conditions limit foraging 
habitat</t>
  </si>
  <si>
    <t>https://doi.org/10.11606/1807-0205/2021.61.24</t>
  </si>
  <si>
    <t>individuals per mist-net hour
Canopy</t>
  </si>
  <si>
    <t>Based on the proportion of bat capture rate in ground (shrubs) and canopy 
nets (treetops). Bats can also use both strata (no preference)</t>
  </si>
  <si>
    <t>FM, Capture rate (individuals per mist-net hour) in each strata: Understory; 
Canopy</t>
  </si>
  <si>
    <t>https://doi.org/10.11606/1807-0205/2021.61.24</t>
  </si>
  <si>
    <t>Area of available habitat over which an individual does its daily 
activities. There are several ways to estimate home range such as minimum 
convex polygon, minimum area probabilities, areas of kernel, etc.</t>
  </si>
  <si>
    <t>https://doi.org/10.11606/1807-0205/2021.61.24</t>
  </si>
  <si>
    <t>Animal burrow or hole; Termite ant/nest; Cavity in fallen tree; Cavity in 
standing tree; Exposed on standing tree; Foliage, leaf tent; Foliage, 
unmodified foliage; Rocks, crevices, or caves; Under fallen tree; Undercut 
earth bank</t>
  </si>
  <si>
    <t>Diurnal roosts used by bats</t>
  </si>
  <si>
    <t>https://doi.org/10.11606/1807-0205/2021.61.24</t>
  </si>
  <si>
    <t>Time span of the call emitted by the bat</t>
  </si>
  <si>
    <t>https://doi.org/10.11606/1807-0205/2021.61.24</t>
  </si>
  <si>
    <t>Time between one call to another emitted by the bat</t>
  </si>
  <si>
    <t>https://doi.org/10.11606/1807-0205/2021.61.24</t>
  </si>
  <si>
    <t>Khz</t>
  </si>
  <si>
    <t>Number of pressure waves of the call emitted by the bat that pass by a 
reference point per unit time. This can include the start of the call 
(initial frequency), the end of the call (final frequency) and the maximum 
amplitude of the call (maximum frequency)</t>
  </si>
  <si>
    <t>https://doi.org/10.11606/1807-0205/2021.61.24</t>
  </si>
  <si>
    <t>db</t>
  </si>
  <si>
    <t>Height of the sound pressure wave emitted by the bat</t>
  </si>
  <si>
    <t>https://doi.org/10.11606/1807-0205/2021.61.24</t>
  </si>
  <si>
    <t>Wave that is a multiple of the fundamental frequency emitted by the bat</t>
  </si>
  <si>
    <t>https://doi.org/10.11606/1807-0205/2021.61.24</t>
  </si>
  <si>
    <t>1= yes, 2=no</t>
  </si>
  <si>
    <t>Presence of sexual dimorphism in size</t>
  </si>
  <si>
    <t>https://doi.org/10.1038/s41597-023-02472-w</t>
  </si>
  <si>
    <t>The length from tip of nose to anus</t>
  </si>
  <si>
    <t>Length of the tail</t>
  </si>
  <si>
    <t>Length of the forearm</t>
  </si>
  <si>
    <t>Length of the hindfoot</t>
  </si>
  <si>
    <t>Total length of the body</t>
  </si>
  <si>
    <t>Length of the wing</t>
  </si>
  <si>
    <t>cm²</t>
  </si>
  <si>
    <t>Area of the two wings</t>
  </si>
  <si>
    <t>Distance between the wingtips when wings are extended</t>
  </si>
  <si>
    <t>The square of the wingspan divided by the wing area</t>
  </si>
  <si>
    <t>N/m²</t>
  </si>
  <si>
    <t>The weight divided by the wing area</t>
  </si>
  <si>
    <t>In-nCn-nPn-nMn-n</t>
  </si>
  <si>
    <t>Dental formula of the species</t>
  </si>
  <si>
    <t>Number of teeth of the species</t>
  </si>
  <si>
    <t>The weight of the species</t>
  </si>
  <si>
    <t>The body mass of infants</t>
  </si>
  <si>
    <t>The head-body length of infants</t>
  </si>
  <si>
    <t>The weight of weanlings</t>
  </si>
  <si>
    <t>The head-body length of weanlings</t>
  </si>
  <si>
    <t>Mating system of the species</t>
  </si>
  <si>
    <t>The age of sexual maturity</t>
  </si>
  <si>
    <t>Age of first litter of females</t>
  </si>
  <si>
    <t xml:space="preserve">categorical </t>
  </si>
  <si>
    <t>Presence of sperm retention</t>
  </si>
  <si>
    <t>Presence of any lag in the implantation</t>
  </si>
  <si>
    <t>Presence of any lag in the embryonic period</t>
  </si>
  <si>
    <t xml:space="preserve">days </t>
  </si>
  <si>
    <t>The length of active gestation</t>
  </si>
  <si>
    <t xml:space="preserve">Total duration of pregnancy </t>
  </si>
  <si>
    <t>The length of the lactation period</t>
  </si>
  <si>
    <t>The length of the weaning period</t>
  </si>
  <si>
    <t>Number of live offspring produced in one litter</t>
  </si>
  <si>
    <t>The interval between two consecutive pregnancy</t>
  </si>
  <si>
    <t>Presence of parental cares</t>
  </si>
  <si>
    <t xml:space="preserve">Nursery roost </t>
  </si>
  <si>
    <t>Presence of nursery roost</t>
  </si>
  <si>
    <t>number of individuals</t>
  </si>
  <si>
    <t>Number of individuals in a nursery roost</t>
  </si>
  <si>
    <t>The length of life in the wild</t>
  </si>
  <si>
    <t>The length of life in captivity</t>
  </si>
  <si>
    <t>Km²</t>
  </si>
  <si>
    <t>Size of the home range area</t>
  </si>
  <si>
    <t>Km</t>
  </si>
  <si>
    <t>Dispersal distance</t>
  </si>
  <si>
    <t>Territoriality of the species individuals</t>
  </si>
  <si>
    <t>Presence of migratory behavior</t>
  </si>
  <si>
    <t xml:space="preserve">Colony size number </t>
  </si>
  <si>
    <t>Number of individuals in a colony</t>
  </si>
  <si>
    <t xml:space="preserve">Colony size </t>
  </si>
  <si>
    <t>1 = small, 2= medium, 3 = large</t>
  </si>
  <si>
    <t>Size of the colony</t>
  </si>
  <si>
    <t>Presence of different species in the same colony</t>
  </si>
  <si>
    <t>Presence of hibernation period.</t>
  </si>
  <si>
    <t>Length of the hibernation period</t>
  </si>
  <si>
    <t>Presence of echolocation</t>
  </si>
  <si>
    <t>1= CF (constant frequency), 2= FM (frequency modulated), 3= QCF (quasi- constant frequency)</t>
  </si>
  <si>
    <t>The type of the echolocation call</t>
  </si>
  <si>
    <t>Frequence of maximum energy of the call</t>
  </si>
  <si>
    <t xml:space="preserve">End frequency of the call </t>
  </si>
  <si>
    <t xml:space="preserve">Activity pattern of the species </t>
  </si>
  <si>
    <t>Roost type of the species</t>
  </si>
  <si>
    <t>Presence of pest control ecosystem service</t>
  </si>
  <si>
    <t>Presence of seed dispersal ecosystem service</t>
  </si>
  <si>
    <t>Presence of pollination ecosystem service</t>
  </si>
  <si>
    <t xml:space="preserve">Threats for the species </t>
  </si>
  <si>
    <t>DD= Data Deficient, LC= Least Concern, NT= Near Threatened, VU= Vulnerable, EN= Endangered, CR= Critically Endangered, NE= Not Evaluated</t>
  </si>
  <si>
    <t xml:space="preserve">Conservation status of the species </t>
  </si>
  <si>
    <t>0 = never, 1 = occasional, 2 = typical</t>
  </si>
  <si>
    <t xml:space="preserve">Insectivorous species </t>
  </si>
  <si>
    <t xml:space="preserve">Frugivorous species </t>
  </si>
  <si>
    <t xml:space="preserve">Nectarivorous species </t>
  </si>
  <si>
    <t xml:space="preserve">Carnivorous species </t>
  </si>
  <si>
    <t>Ground foraging</t>
  </si>
  <si>
    <t>Aerial foraging</t>
  </si>
  <si>
    <t>Vegetation foraging</t>
  </si>
  <si>
    <t xml:space="preserve">Aquatic </t>
  </si>
  <si>
    <t>Aquatic foraging</t>
  </si>
  <si>
    <t>Clutter foraging habitat</t>
  </si>
  <si>
    <t>Clutter-edge/ edge foraging habitat</t>
  </si>
  <si>
    <t>Open foraging habitat</t>
  </si>
  <si>
    <t xml:space="preserve">Hawking strategy </t>
  </si>
  <si>
    <t>Gleaning strategy</t>
  </si>
  <si>
    <t>Flycatching strategy</t>
  </si>
  <si>
    <t>Trawling strategy</t>
  </si>
  <si>
    <t>Hovering strategy</t>
  </si>
  <si>
    <t>Perching strategy</t>
  </si>
  <si>
    <t>Presence of seeds in the diet</t>
  </si>
  <si>
    <t>Presence of fruits in the diet</t>
  </si>
  <si>
    <t>Presence of leaves in the diet</t>
  </si>
  <si>
    <t xml:space="preserve">Flowers </t>
  </si>
  <si>
    <t>Presence of flowers in the diet</t>
  </si>
  <si>
    <t>Presence of nectar in the diet</t>
  </si>
  <si>
    <t>Presence of insects in the diet</t>
  </si>
  <si>
    <t>Presence of arachnids in the diet</t>
  </si>
  <si>
    <t>Presence of chilopods in the diet</t>
  </si>
  <si>
    <t>Presence of fishes in the diet</t>
  </si>
  <si>
    <t>Presence of amphibians in the diet</t>
  </si>
  <si>
    <t xml:space="preserve">Reptiles </t>
  </si>
  <si>
    <t>Presence of reptiles in the diet</t>
  </si>
  <si>
    <t>Presence of birds in the diet</t>
  </si>
  <si>
    <t>Presence of mammals in the diet</t>
  </si>
  <si>
    <t>Gonçalvez-Souza_2023</t>
  </si>
  <si>
    <t>Size of the area within which everyday activities of individuals or groups of individuals are typically restricted in km2</t>
  </si>
  <si>
    <t>Number of prevalent (≥ 20%) EltonTraits dietary categories consumed</t>
  </si>
  <si>
    <t>biogeographical_realm</t>
  </si>
  <si>
    <t>habitat_breadth_n</t>
  </si>
  <si>
    <t>For trophic groups, we derived diet information from EltonTraits 1.030. We grouped species as frugi-nectarivorous for all species that forage on plant-based resources (e.g., fruits, leaves, and nectars). As species foraging smaller vertebrates (i.e., fish, birds, and rodents) and larger invertebrates are very few, we classified them as carnivores along with insectivorous bats. Species that forage on both resources were grouped into omnivores.</t>
  </si>
  <si>
    <t>Current geographical ranges were assembled from the Phylacine 1.2 database28 based on IUCN species ranges.</t>
  </si>
  <si>
    <t>The adult body mass (in grams) per species were derived from Phylacine 1.228 and generation length from Pacifici et al.29.</t>
  </si>
  <si>
    <t>For diet, we used a previous classification of degree of frugivory in the Neotropical bat family Phyllostomidae (Lobova et al. 2009; Fleming and Kress 2013; Mello et al. 2015) which is: (1) animalivore species that occasionally feed on fruits (e.g. phyllostomines, micronycterines), (2) nectar-feeding species which are secondary frugivorous but frequently feed on fruits (glossophagines and lonchophyllines), and (3) obligatory frugivores species which are highly dependent on fruit (carolliines and stenordermatines).</t>
  </si>
  <si>
    <t>Ecological interactions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</si>
</sst>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0">
    <font>
      <sz val="10"/>
      <color rgb="FF000000"/>
      <name val="Arial"/>
      <scheme val="minor"/>
    </font>
    <font>
      <sz val="10"/>
      <color theme="1"/>
      <name val="Arial"/>
      <family val="2"/>
      <scheme val="minor"/>
    </font>
    <font>
      <sz val="11"/>
      <color theme="1"/>
      <name val="Calibri"/>
      <family val="2"/>
    </font>
    <font>
      <sz val="10"/>
      <color theme="1"/>
      <name val="Arial"/>
      <family val="2"/>
    </font>
    <font>
      <sz val="10"/>
      <color theme="1"/>
      <name val="Arial"/>
      <family val="2"/>
    </font>
    <font>
      <sz val="10"/>
      <color rgb="FF000000"/>
      <name val="Arial"/>
      <family val="2"/>
      <scheme val="minor"/>
    </font>
    <font>
      <u/>
      <sz val="10"/>
      <color rgb="FF0000FF"/>
      <name val="Arial"/>
      <family val="2"/>
    </font>
    <font>
      <sz val="9"/>
      <color theme="1"/>
      <name val="Arial"/>
      <family val="2"/>
      <scheme val="minor"/>
    </font>
    <font>
      <u/>
      <sz val="10"/>
      <color rgb="FF0000FF"/>
      <name val="Arial"/>
      <family val="2"/>
    </font>
    <font>
      <u/>
      <sz val="10"/>
      <color rgb="FF0000FF"/>
      <name val="Arial"/>
      <family val="2"/>
    </font>
    <font>
      <sz val="11"/>
      <color theme="1"/>
      <name val="Arial"/>
      <family val="2"/>
    </font>
    <font>
      <sz val="11"/>
      <color rgb="FF000000"/>
      <name val="&quot;Times New Roman&quot;"/>
    </font>
    <font>
      <sz val="10"/>
      <color theme="1"/>
      <name val="Arial"/>
      <family val="2"/>
      <scheme val="minor"/>
    </font>
    <font>
      <sz val="12"/>
      <color theme="1"/>
      <name val="&quot;TimesNewRomanPS&quot;"/>
    </font>
    <font>
      <sz val="11"/>
      <color theme="1"/>
      <name val="&quot;TimesNewRomanPSMT&quot;"/>
    </font>
    <font>
      <sz val="10"/>
      <color rgb="FF000000"/>
      <name val="Arial"/>
      <family val="2"/>
    </font>
    <font>
      <sz val="11"/>
      <color theme="1"/>
      <name val="&quot;TimesNewRomanPS&quot;"/>
    </font>
    <font>
      <sz val="7"/>
      <color theme="1"/>
      <name val="&quot;TimesNewRomanPSMT&quot;"/>
    </font>
    <font>
      <sz val="8"/>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164" fontId="1" fillId="0" borderId="0" xfId="0" applyNumberFormat="1" applyFont="1"/>
    <xf numFmtId="0" fontId="2" fillId="0" borderId="0" xfId="0" applyFont="1"/>
    <xf numFmtId="0" fontId="3" fillId="0" borderId="0" xfId="0" applyFont="1"/>
    <xf numFmtId="0" fontId="4" fillId="0" borderId="0" xfId="0" applyFont="1"/>
    <xf numFmtId="0" fontId="2" fillId="0" borderId="0" xfId="0" applyFont="1" applyAlignment="1">
      <alignment horizontal="left"/>
    </xf>
    <xf numFmtId="0" fontId="5" fillId="0" borderId="0" xfId="0" applyFont="1"/>
    <xf numFmtId="0" fontId="6" fillId="0" borderId="0" xfId="0" applyFont="1"/>
    <xf numFmtId="0" fontId="7" fillId="0" borderId="0" xfId="0" applyFont="1"/>
    <xf numFmtId="0" fontId="1" fillId="0" borderId="0" xfId="0" applyFont="1" applyAlignment="1">
      <alignment horizontal="left"/>
    </xf>
    <xf numFmtId="0" fontId="2" fillId="0" borderId="0" xfId="0" applyFont="1" applyAlignment="1">
      <alignment horizontal="right"/>
    </xf>
    <xf numFmtId="0" fontId="8" fillId="0" borderId="0" xfId="0" applyFont="1"/>
    <xf numFmtId="0" fontId="9" fillId="0" borderId="0" xfId="0" applyFont="1"/>
    <xf numFmtId="0" fontId="10" fillId="0" borderId="0" xfId="0" applyFont="1"/>
    <xf numFmtId="0" fontId="11" fillId="0" borderId="0" xfId="0" applyFont="1" applyAlignment="1">
      <alignment horizontal="left" wrapText="1"/>
    </xf>
    <xf numFmtId="0" fontId="12" fillId="0" borderId="0" xfId="0" applyFont="1"/>
    <xf numFmtId="0" fontId="13" fillId="0" borderId="0" xfId="0" applyFont="1"/>
    <xf numFmtId="0" fontId="14" fillId="0" borderId="0" xfId="0" applyFont="1"/>
    <xf numFmtId="0" fontId="1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17" Type="http://schemas.openxmlformats.org/officeDocument/2006/relationships/hyperlink" Target="https://doi.org/10.1038/s41597-023-02472-w" TargetMode="External"/><Relationship Id="rId299" Type="http://schemas.openxmlformats.org/officeDocument/2006/relationships/hyperlink" Target="https://doi.org/10.1038/s41597-023-02157-4" TargetMode="External"/><Relationship Id="rId21" Type="http://schemas.openxmlformats.org/officeDocument/2006/relationships/hyperlink" Target="https://doi.org/10.11606/1807-0205/2021.61.24" TargetMode="External"/><Relationship Id="rId63" Type="http://schemas.openxmlformats.org/officeDocument/2006/relationships/hyperlink" Target="https://doi.org/10.1002/ecy.3344" TargetMode="External"/><Relationship Id="rId159" Type="http://schemas.openxmlformats.org/officeDocument/2006/relationships/hyperlink" Target="https://doi.org/10.1038/s41597-023-02472-w" TargetMode="External"/><Relationship Id="rId324" Type="http://schemas.openxmlformats.org/officeDocument/2006/relationships/hyperlink" Target="https://doi.org/10.1038/s41597-023-02157-4" TargetMode="External"/><Relationship Id="rId366" Type="http://schemas.openxmlformats.org/officeDocument/2006/relationships/hyperlink" Target="https://doi.org/10.1890/15-0846R.1" TargetMode="External"/><Relationship Id="rId170" Type="http://schemas.openxmlformats.org/officeDocument/2006/relationships/hyperlink" Target="https://doi.org/10.1038/s41597-023-02472-w" TargetMode="External"/><Relationship Id="rId226" Type="http://schemas.openxmlformats.org/officeDocument/2006/relationships/hyperlink" Target="https://doi.org/10.1038/s41597-023-02157-4" TargetMode="External"/><Relationship Id="rId268" Type="http://schemas.openxmlformats.org/officeDocument/2006/relationships/hyperlink" Target="https://doi.org/10.1038/s41597-023-02157-4" TargetMode="External"/><Relationship Id="rId32" Type="http://schemas.openxmlformats.org/officeDocument/2006/relationships/hyperlink" Target="https://doi.org/10.11606/1807-0205/2021.61.24" TargetMode="External"/><Relationship Id="rId74" Type="http://schemas.openxmlformats.org/officeDocument/2006/relationships/hyperlink" Target="https://doi.org/10.1002/ecy.3344" TargetMode="External"/><Relationship Id="rId128" Type="http://schemas.openxmlformats.org/officeDocument/2006/relationships/hyperlink" Target="https://doi.org/10.1038/s41597-023-02472-w" TargetMode="External"/><Relationship Id="rId335" Type="http://schemas.openxmlformats.org/officeDocument/2006/relationships/hyperlink" Target="https://doi.org/10.1111/mam.12270" TargetMode="External"/><Relationship Id="rId377" Type="http://schemas.openxmlformats.org/officeDocument/2006/relationships/hyperlink" Target="https://doi.org/10.1038/s41597-022-01234-4" TargetMode="External"/><Relationship Id="rId5" Type="http://schemas.openxmlformats.org/officeDocument/2006/relationships/hyperlink" Target="https://doi.org/10.11606/1807-0205/2021.61.24" TargetMode="External"/><Relationship Id="rId181" Type="http://schemas.openxmlformats.org/officeDocument/2006/relationships/hyperlink" Target="https://doi.org/10.1038/s41597-023-02472-w" TargetMode="External"/><Relationship Id="rId237" Type="http://schemas.openxmlformats.org/officeDocument/2006/relationships/hyperlink" Target="https://doi.org/10.1038/s41597-023-02157-4" TargetMode="External"/><Relationship Id="rId402" Type="http://schemas.openxmlformats.org/officeDocument/2006/relationships/hyperlink" Target="https://doi.org/10.1038/s41597-022-01234-4" TargetMode="External"/><Relationship Id="rId279" Type="http://schemas.openxmlformats.org/officeDocument/2006/relationships/hyperlink" Target="https://doi.org/10.1038/s41597-023-02157-4" TargetMode="External"/><Relationship Id="rId43" Type="http://schemas.openxmlformats.org/officeDocument/2006/relationships/hyperlink" Target="https://doi.org/10.11606/1807-0205/2021.61.24" TargetMode="External"/><Relationship Id="rId139" Type="http://schemas.openxmlformats.org/officeDocument/2006/relationships/hyperlink" Target="https://doi.org/10.1038/s41597-023-02472-w" TargetMode="External"/><Relationship Id="rId290" Type="http://schemas.openxmlformats.org/officeDocument/2006/relationships/hyperlink" Target="https://doi.org/10.1038/s41597-023-02157-4" TargetMode="External"/><Relationship Id="rId304" Type="http://schemas.openxmlformats.org/officeDocument/2006/relationships/hyperlink" Target="https://doi.org/10.1038/s41597-023-02157-4" TargetMode="External"/><Relationship Id="rId346" Type="http://schemas.openxmlformats.org/officeDocument/2006/relationships/hyperlink" Target="https://doi.org/10.1890/15-0846R.1" TargetMode="External"/><Relationship Id="rId388" Type="http://schemas.openxmlformats.org/officeDocument/2006/relationships/hyperlink" Target="https://doi.org/10.1038/s41597-022-01234-4" TargetMode="External"/><Relationship Id="rId85" Type="http://schemas.openxmlformats.org/officeDocument/2006/relationships/hyperlink" Target="https://doi.org/10.1002/ecy.3344" TargetMode="External"/><Relationship Id="rId150" Type="http://schemas.openxmlformats.org/officeDocument/2006/relationships/hyperlink" Target="https://doi.org/10.1038/s41597-023-02472-w" TargetMode="External"/><Relationship Id="rId192" Type="http://schemas.openxmlformats.org/officeDocument/2006/relationships/hyperlink" Target="https://doi.org/10.1038/s41597-023-02472-w" TargetMode="External"/><Relationship Id="rId206" Type="http://schemas.openxmlformats.org/officeDocument/2006/relationships/hyperlink" Target="https://doi.org/10.1038/s41597-023-02472-w" TargetMode="External"/><Relationship Id="rId413" Type="http://schemas.openxmlformats.org/officeDocument/2006/relationships/hyperlink" Target="https://doi.org/10.1046/j.1474-9728.2002.00020.x" TargetMode="External"/><Relationship Id="rId248" Type="http://schemas.openxmlformats.org/officeDocument/2006/relationships/hyperlink" Target="https://doi.org/10.1038/s41597-023-02157-4" TargetMode="External"/><Relationship Id="rId12" Type="http://schemas.openxmlformats.org/officeDocument/2006/relationships/hyperlink" Target="https://doi.org/10.11606/1807-0205/2021.61.24" TargetMode="External"/><Relationship Id="rId108" Type="http://schemas.openxmlformats.org/officeDocument/2006/relationships/hyperlink" Target="https://doi.org/10.1038/s41597-023-02472-w" TargetMode="External"/><Relationship Id="rId315" Type="http://schemas.openxmlformats.org/officeDocument/2006/relationships/hyperlink" Target="https://doi.org/10.1038/s41597-023-02157-4" TargetMode="External"/><Relationship Id="rId357" Type="http://schemas.openxmlformats.org/officeDocument/2006/relationships/hyperlink" Target="https://doi.org/10.1890/15-0846R.1" TargetMode="External"/><Relationship Id="rId54" Type="http://schemas.openxmlformats.org/officeDocument/2006/relationships/hyperlink" Target="https://doi.org/10.1002/ecy.3344" TargetMode="External"/><Relationship Id="rId96" Type="http://schemas.openxmlformats.org/officeDocument/2006/relationships/hyperlink" Target="https://doi.org/10.1002/ecy.3344" TargetMode="External"/><Relationship Id="rId161" Type="http://schemas.openxmlformats.org/officeDocument/2006/relationships/hyperlink" Target="https://doi.org/10.1038/s41597-023-02472-w" TargetMode="External"/><Relationship Id="rId217" Type="http://schemas.openxmlformats.org/officeDocument/2006/relationships/hyperlink" Target="https://doi.org/10.1038/s41597-023-02157-4" TargetMode="External"/><Relationship Id="rId399" Type="http://schemas.openxmlformats.org/officeDocument/2006/relationships/hyperlink" Target="https://doi.org/10.1038/s41597-022-01234-4" TargetMode="External"/><Relationship Id="rId259" Type="http://schemas.openxmlformats.org/officeDocument/2006/relationships/hyperlink" Target="https://doi.org/10.1038/s41597-023-02157-4" TargetMode="External"/><Relationship Id="rId424" Type="http://schemas.openxmlformats.org/officeDocument/2006/relationships/hyperlink" Target="https://doi.org/10.1038/s41597-022-01364-9" TargetMode="External"/><Relationship Id="rId23" Type="http://schemas.openxmlformats.org/officeDocument/2006/relationships/hyperlink" Target="https://doi.org/10.11606/1807-0205/2021.61.24" TargetMode="External"/><Relationship Id="rId119" Type="http://schemas.openxmlformats.org/officeDocument/2006/relationships/hyperlink" Target="https://doi.org/10.1038/s41597-023-02472-w" TargetMode="External"/><Relationship Id="rId270" Type="http://schemas.openxmlformats.org/officeDocument/2006/relationships/hyperlink" Target="https://doi.org/10.1038/s41597-023-02157-4" TargetMode="External"/><Relationship Id="rId326" Type="http://schemas.openxmlformats.org/officeDocument/2006/relationships/hyperlink" Target="https://doi.org/10.1038/s41597-023-02157-4" TargetMode="External"/><Relationship Id="rId65" Type="http://schemas.openxmlformats.org/officeDocument/2006/relationships/hyperlink" Target="https://doi.org/10.1002/ecy.3344" TargetMode="External"/><Relationship Id="rId130" Type="http://schemas.openxmlformats.org/officeDocument/2006/relationships/hyperlink" Target="https://doi.org/10.1038/s41597-023-02472-w" TargetMode="External"/><Relationship Id="rId368" Type="http://schemas.openxmlformats.org/officeDocument/2006/relationships/hyperlink" Target="https://doi.org/10.1002/ecy.2106" TargetMode="External"/><Relationship Id="rId172" Type="http://schemas.openxmlformats.org/officeDocument/2006/relationships/hyperlink" Target="https://doi.org/10.1038/s41597-023-02472-w" TargetMode="External"/><Relationship Id="rId228" Type="http://schemas.openxmlformats.org/officeDocument/2006/relationships/hyperlink" Target="https://doi.org/10.1038/s41597-023-02157-4" TargetMode="External"/><Relationship Id="rId281" Type="http://schemas.openxmlformats.org/officeDocument/2006/relationships/hyperlink" Target="https://doi.org/10.1038/s41597-023-02157-4" TargetMode="External"/><Relationship Id="rId337" Type="http://schemas.openxmlformats.org/officeDocument/2006/relationships/hyperlink" Target="https://doi.org/10.1111/mam.12270" TargetMode="External"/><Relationship Id="rId34" Type="http://schemas.openxmlformats.org/officeDocument/2006/relationships/hyperlink" Target="https://doi.org/10.11606/1807-0205/2021.61.24" TargetMode="External"/><Relationship Id="rId76" Type="http://schemas.openxmlformats.org/officeDocument/2006/relationships/hyperlink" Target="https://doi.org/10.1002/ecy.3344" TargetMode="External"/><Relationship Id="rId141" Type="http://schemas.openxmlformats.org/officeDocument/2006/relationships/hyperlink" Target="https://doi.org/10.1038/s41597-023-02472-w" TargetMode="External"/><Relationship Id="rId379" Type="http://schemas.openxmlformats.org/officeDocument/2006/relationships/hyperlink" Target="https://doi.org/10.1038/s41597-022-01234-4" TargetMode="External"/><Relationship Id="rId7" Type="http://schemas.openxmlformats.org/officeDocument/2006/relationships/hyperlink" Target="https://doi.org/10.11606/1807-0205/2021.61.24" TargetMode="External"/><Relationship Id="rId183" Type="http://schemas.openxmlformats.org/officeDocument/2006/relationships/hyperlink" Target="https://doi.org/10.1038/s41597-023-02472-w" TargetMode="External"/><Relationship Id="rId239" Type="http://schemas.openxmlformats.org/officeDocument/2006/relationships/hyperlink" Target="https://doi.org/10.1038/s41597-023-02157-4" TargetMode="External"/><Relationship Id="rId390" Type="http://schemas.openxmlformats.org/officeDocument/2006/relationships/hyperlink" Target="https://doi.org/10.1038/s41597-022-01234-4" TargetMode="External"/><Relationship Id="rId404" Type="http://schemas.openxmlformats.org/officeDocument/2006/relationships/hyperlink" Target="https://doi.org/10.1038/s41597-022-01234-4" TargetMode="External"/><Relationship Id="rId250" Type="http://schemas.openxmlformats.org/officeDocument/2006/relationships/hyperlink" Target="https://doi.org/10.1038/s41597-023-02157-4" TargetMode="External"/><Relationship Id="rId292" Type="http://schemas.openxmlformats.org/officeDocument/2006/relationships/hyperlink" Target="https://doi.org/10.1038/s41597-023-02157-4" TargetMode="External"/><Relationship Id="rId306" Type="http://schemas.openxmlformats.org/officeDocument/2006/relationships/hyperlink" Target="https://doi.org/10.1038/s41597-023-02157-4" TargetMode="External"/><Relationship Id="rId45" Type="http://schemas.openxmlformats.org/officeDocument/2006/relationships/hyperlink" Target="https://doi.org/10.11606/1807-0205/2021.61.24" TargetMode="External"/><Relationship Id="rId87" Type="http://schemas.openxmlformats.org/officeDocument/2006/relationships/hyperlink" Target="https://doi.org/10.1002/ecy.3344" TargetMode="External"/><Relationship Id="rId110" Type="http://schemas.openxmlformats.org/officeDocument/2006/relationships/hyperlink" Target="https://doi.org/10.1038/s41597-023-02472-w" TargetMode="External"/><Relationship Id="rId348" Type="http://schemas.openxmlformats.org/officeDocument/2006/relationships/hyperlink" Target="https://doi.org/10.1890/15-0846R.1" TargetMode="External"/><Relationship Id="rId152" Type="http://schemas.openxmlformats.org/officeDocument/2006/relationships/hyperlink" Target="https://doi.org/10.1038/s41597-023-02472-w" TargetMode="External"/><Relationship Id="rId194" Type="http://schemas.openxmlformats.org/officeDocument/2006/relationships/hyperlink" Target="https://doi.org/10.1038/s41597-023-02472-w" TargetMode="External"/><Relationship Id="rId208" Type="http://schemas.openxmlformats.org/officeDocument/2006/relationships/hyperlink" Target="https://doi.org/10.1038/s41597-023-02472-w" TargetMode="External"/><Relationship Id="rId415" Type="http://schemas.openxmlformats.org/officeDocument/2006/relationships/hyperlink" Target="https://doi.org/10.1046/j.1474-9728.2002.00020.x" TargetMode="External"/><Relationship Id="rId261" Type="http://schemas.openxmlformats.org/officeDocument/2006/relationships/hyperlink" Target="https://doi.org/10.1038/s41597-023-02157-4" TargetMode="External"/><Relationship Id="rId14" Type="http://schemas.openxmlformats.org/officeDocument/2006/relationships/hyperlink" Target="https://doi.org/10.11606/1807-0205/2021.61.24" TargetMode="External"/><Relationship Id="rId56" Type="http://schemas.openxmlformats.org/officeDocument/2006/relationships/hyperlink" Target="https://doi.org/10.1002/ecy.3344" TargetMode="External"/><Relationship Id="rId317" Type="http://schemas.openxmlformats.org/officeDocument/2006/relationships/hyperlink" Target="https://doi.org/10.1038/s41597-023-02157-4" TargetMode="External"/><Relationship Id="rId359" Type="http://schemas.openxmlformats.org/officeDocument/2006/relationships/hyperlink" Target="https://doi.org/10.1890/15-0846R.1" TargetMode="External"/><Relationship Id="rId98" Type="http://schemas.openxmlformats.org/officeDocument/2006/relationships/hyperlink" Target="https://doi.org/10.1002/ecy.3344" TargetMode="External"/><Relationship Id="rId121" Type="http://schemas.openxmlformats.org/officeDocument/2006/relationships/hyperlink" Target="https://doi.org/10.1038/s41597-023-02472-w" TargetMode="External"/><Relationship Id="rId163" Type="http://schemas.openxmlformats.org/officeDocument/2006/relationships/hyperlink" Target="https://doi.org/10.1038/s41597-023-02472-w" TargetMode="External"/><Relationship Id="rId219" Type="http://schemas.openxmlformats.org/officeDocument/2006/relationships/hyperlink" Target="https://doi.org/10.1038/s41597-023-02157-4" TargetMode="External"/><Relationship Id="rId370" Type="http://schemas.openxmlformats.org/officeDocument/2006/relationships/hyperlink" Target="https://doi.org/10.1002/ecy.2106" TargetMode="External"/><Relationship Id="rId426" Type="http://schemas.openxmlformats.org/officeDocument/2006/relationships/hyperlink" Target="https://doi.org/10.1038/s41597-022-01364-9" TargetMode="External"/><Relationship Id="rId230" Type="http://schemas.openxmlformats.org/officeDocument/2006/relationships/hyperlink" Target="https://doi.org/10.1038/s41597-023-02157-4" TargetMode="External"/><Relationship Id="rId25" Type="http://schemas.openxmlformats.org/officeDocument/2006/relationships/hyperlink" Target="https://doi.org/10.11606/1807-0205/2021.61.24" TargetMode="External"/><Relationship Id="rId67" Type="http://schemas.openxmlformats.org/officeDocument/2006/relationships/hyperlink" Target="https://doi.org/10.1002/ecy.3344" TargetMode="External"/><Relationship Id="rId272" Type="http://schemas.openxmlformats.org/officeDocument/2006/relationships/hyperlink" Target="https://doi.org/10.1038/s41597-023-02157-4" TargetMode="External"/><Relationship Id="rId328" Type="http://schemas.openxmlformats.org/officeDocument/2006/relationships/hyperlink" Target="https://doi.org/10.1111/mam.12270" TargetMode="External"/><Relationship Id="rId132" Type="http://schemas.openxmlformats.org/officeDocument/2006/relationships/hyperlink" Target="https://doi.org/10.1038/s41597-023-02472-w" TargetMode="External"/><Relationship Id="rId174" Type="http://schemas.openxmlformats.org/officeDocument/2006/relationships/hyperlink" Target="https://doi.org/10.1038/s41597-023-02472-w" TargetMode="External"/><Relationship Id="rId381" Type="http://schemas.openxmlformats.org/officeDocument/2006/relationships/hyperlink" Target="https://doi.org/10.1038/s41597-022-01234-4" TargetMode="External"/><Relationship Id="rId241" Type="http://schemas.openxmlformats.org/officeDocument/2006/relationships/hyperlink" Target="https://doi.org/10.1038/s41597-023-02157-4" TargetMode="External"/><Relationship Id="rId36" Type="http://schemas.openxmlformats.org/officeDocument/2006/relationships/hyperlink" Target="https://doi.org/10.11606/1807-0205/2021.61.24" TargetMode="External"/><Relationship Id="rId283" Type="http://schemas.openxmlformats.org/officeDocument/2006/relationships/hyperlink" Target="https://doi.org/10.1038/s41597-023-02157-4" TargetMode="External"/><Relationship Id="rId339" Type="http://schemas.openxmlformats.org/officeDocument/2006/relationships/hyperlink" Target="https://doi.org/10.1890/15-0846R.1" TargetMode="External"/><Relationship Id="rId78" Type="http://schemas.openxmlformats.org/officeDocument/2006/relationships/hyperlink" Target="https://doi.org/10.1002/ecy.3344" TargetMode="External"/><Relationship Id="rId101" Type="http://schemas.openxmlformats.org/officeDocument/2006/relationships/hyperlink" Target="https://doi.org/10.1002/ecy.3344" TargetMode="External"/><Relationship Id="rId143" Type="http://schemas.openxmlformats.org/officeDocument/2006/relationships/hyperlink" Target="https://doi.org/10.1038/s41597-023-02472-w" TargetMode="External"/><Relationship Id="rId185" Type="http://schemas.openxmlformats.org/officeDocument/2006/relationships/hyperlink" Target="https://doi.org/10.1038/s41597-023-02472-w" TargetMode="External"/><Relationship Id="rId350" Type="http://schemas.openxmlformats.org/officeDocument/2006/relationships/hyperlink" Target="https://doi.org/10.1890/15-0846R.1" TargetMode="External"/><Relationship Id="rId406" Type="http://schemas.openxmlformats.org/officeDocument/2006/relationships/hyperlink" Target="https://doi.org/10.1038/s41597-022-01234-4" TargetMode="External"/><Relationship Id="rId9" Type="http://schemas.openxmlformats.org/officeDocument/2006/relationships/hyperlink" Target="https://doi.org/10.11606/1807-0205/2021.61.24" TargetMode="External"/><Relationship Id="rId210" Type="http://schemas.openxmlformats.org/officeDocument/2006/relationships/hyperlink" Target="https://doi.org/10.1038/s41597-023-02157-4" TargetMode="External"/><Relationship Id="rId392" Type="http://schemas.openxmlformats.org/officeDocument/2006/relationships/hyperlink" Target="https://doi.org/10.1038/s41597-022-01234-4" TargetMode="External"/><Relationship Id="rId252" Type="http://schemas.openxmlformats.org/officeDocument/2006/relationships/hyperlink" Target="https://doi.org/10.1038/s41597-023-02157-4" TargetMode="External"/><Relationship Id="rId294" Type="http://schemas.openxmlformats.org/officeDocument/2006/relationships/hyperlink" Target="https://doi.org/10.1038/s41597-023-02157-4" TargetMode="External"/><Relationship Id="rId308" Type="http://schemas.openxmlformats.org/officeDocument/2006/relationships/hyperlink" Target="https://doi.org/10.1038/s41597-023-02157-4" TargetMode="External"/><Relationship Id="rId47" Type="http://schemas.openxmlformats.org/officeDocument/2006/relationships/hyperlink" Target="https://doi.org/10.11606/1807-0205/2021.61.24" TargetMode="External"/><Relationship Id="rId89" Type="http://schemas.openxmlformats.org/officeDocument/2006/relationships/hyperlink" Target="https://doi.org/10.1002/ecy.3344" TargetMode="External"/><Relationship Id="rId112" Type="http://schemas.openxmlformats.org/officeDocument/2006/relationships/hyperlink" Target="https://doi.org/10.1038/s41597-023-02472-w" TargetMode="External"/><Relationship Id="rId154" Type="http://schemas.openxmlformats.org/officeDocument/2006/relationships/hyperlink" Target="https://doi.org/10.1038/s41597-023-02472-w" TargetMode="External"/><Relationship Id="rId361" Type="http://schemas.openxmlformats.org/officeDocument/2006/relationships/hyperlink" Target="https://doi.org/10.1890/15-0846R.1" TargetMode="External"/><Relationship Id="rId196" Type="http://schemas.openxmlformats.org/officeDocument/2006/relationships/hyperlink" Target="https://doi.org/10.1038/s41597-023-02472-w" TargetMode="External"/><Relationship Id="rId417" Type="http://schemas.openxmlformats.org/officeDocument/2006/relationships/hyperlink" Target="https://doi.org/10.1046/j.1474-9728.2002.00020.x" TargetMode="External"/><Relationship Id="rId16" Type="http://schemas.openxmlformats.org/officeDocument/2006/relationships/hyperlink" Target="https://doi.org/10.11606/1807-0205/2021.61.24" TargetMode="External"/><Relationship Id="rId221" Type="http://schemas.openxmlformats.org/officeDocument/2006/relationships/hyperlink" Target="https://doi.org/10.1038/s41597-023-02157-4" TargetMode="External"/><Relationship Id="rId263" Type="http://schemas.openxmlformats.org/officeDocument/2006/relationships/hyperlink" Target="https://doi.org/10.1038/s41597-023-02157-4" TargetMode="External"/><Relationship Id="rId319" Type="http://schemas.openxmlformats.org/officeDocument/2006/relationships/hyperlink" Target="https://doi.org/10.1038/s41597-023-02157-4" TargetMode="External"/><Relationship Id="rId58" Type="http://schemas.openxmlformats.org/officeDocument/2006/relationships/hyperlink" Target="https://doi.org/10.1002/ecy.3344" TargetMode="External"/><Relationship Id="rId123" Type="http://schemas.openxmlformats.org/officeDocument/2006/relationships/hyperlink" Target="https://doi.org/10.1038/s41597-023-02472-w" TargetMode="External"/><Relationship Id="rId330" Type="http://schemas.openxmlformats.org/officeDocument/2006/relationships/hyperlink" Target="https://doi.org/10.1111/mam.12270" TargetMode="External"/><Relationship Id="rId165" Type="http://schemas.openxmlformats.org/officeDocument/2006/relationships/hyperlink" Target="https://doi.org/10.1038/s41597-023-02472-w" TargetMode="External"/><Relationship Id="rId372" Type="http://schemas.openxmlformats.org/officeDocument/2006/relationships/hyperlink" Target="https://doi.org/10.1002/ecy.2106" TargetMode="External"/><Relationship Id="rId428" Type="http://schemas.openxmlformats.org/officeDocument/2006/relationships/hyperlink" Target="https://doi.org/10.1038/s41597-022-01364-9" TargetMode="External"/><Relationship Id="rId232" Type="http://schemas.openxmlformats.org/officeDocument/2006/relationships/hyperlink" Target="https://doi.org/10.1038/s41597-023-02157-4" TargetMode="External"/><Relationship Id="rId274" Type="http://schemas.openxmlformats.org/officeDocument/2006/relationships/hyperlink" Target="https://doi.org/10.1038/s41597-023-02157-4" TargetMode="External"/><Relationship Id="rId27" Type="http://schemas.openxmlformats.org/officeDocument/2006/relationships/hyperlink" Target="https://doi.org/10.11606/1807-0205/2021.61.24" TargetMode="External"/><Relationship Id="rId69" Type="http://schemas.openxmlformats.org/officeDocument/2006/relationships/hyperlink" Target="https://doi.org/10.1002/ecy.3344" TargetMode="External"/><Relationship Id="rId134" Type="http://schemas.openxmlformats.org/officeDocument/2006/relationships/hyperlink" Target="https://doi.org/10.1038/s41597-023-02472-w" TargetMode="External"/><Relationship Id="rId80" Type="http://schemas.openxmlformats.org/officeDocument/2006/relationships/hyperlink" Target="https://doi.org/10.1002/ecy.3344" TargetMode="External"/><Relationship Id="rId176" Type="http://schemas.openxmlformats.org/officeDocument/2006/relationships/hyperlink" Target="https://doi.org/10.1038/s41597-023-02472-w" TargetMode="External"/><Relationship Id="rId341" Type="http://schemas.openxmlformats.org/officeDocument/2006/relationships/hyperlink" Target="https://doi.org/10.1890/15-0846R.1" TargetMode="External"/><Relationship Id="rId383" Type="http://schemas.openxmlformats.org/officeDocument/2006/relationships/hyperlink" Target="https://doi.org/10.1038/s41597-022-01234-4" TargetMode="External"/><Relationship Id="rId201" Type="http://schemas.openxmlformats.org/officeDocument/2006/relationships/hyperlink" Target="https://doi.org/10.1038/s41597-023-02472-w" TargetMode="External"/><Relationship Id="rId243" Type="http://schemas.openxmlformats.org/officeDocument/2006/relationships/hyperlink" Target="https://doi.org/10.1038/s41597-023-02157-4" TargetMode="External"/><Relationship Id="rId285" Type="http://schemas.openxmlformats.org/officeDocument/2006/relationships/hyperlink" Target="https://doi.org/10.1038/s41597-023-02157-4" TargetMode="External"/><Relationship Id="rId38" Type="http://schemas.openxmlformats.org/officeDocument/2006/relationships/hyperlink" Target="https://doi.org/10.11606/1807-0205/2021.61.24" TargetMode="External"/><Relationship Id="rId103" Type="http://schemas.openxmlformats.org/officeDocument/2006/relationships/hyperlink" Target="https://doi.org/10.1002/ecy.3344" TargetMode="External"/><Relationship Id="rId310" Type="http://schemas.openxmlformats.org/officeDocument/2006/relationships/hyperlink" Target="https://doi.org/10.1038/s41597-023-02157-4" TargetMode="External"/><Relationship Id="rId70" Type="http://schemas.openxmlformats.org/officeDocument/2006/relationships/hyperlink" Target="https://doi.org/10.1002/ecy.3344" TargetMode="External"/><Relationship Id="rId91" Type="http://schemas.openxmlformats.org/officeDocument/2006/relationships/hyperlink" Target="https://doi.org/10.1002/ecy.3344" TargetMode="External"/><Relationship Id="rId145" Type="http://schemas.openxmlformats.org/officeDocument/2006/relationships/hyperlink" Target="https://doi.org/10.1038/s41597-023-02472-w" TargetMode="External"/><Relationship Id="rId166" Type="http://schemas.openxmlformats.org/officeDocument/2006/relationships/hyperlink" Target="https://doi.org/10.1038/s41597-023-02472-w" TargetMode="External"/><Relationship Id="rId187" Type="http://schemas.openxmlformats.org/officeDocument/2006/relationships/hyperlink" Target="https://doi.org/10.1038/s41597-023-02472-w" TargetMode="External"/><Relationship Id="rId331" Type="http://schemas.openxmlformats.org/officeDocument/2006/relationships/hyperlink" Target="https://doi.org/10.1111/mam.12270" TargetMode="External"/><Relationship Id="rId352" Type="http://schemas.openxmlformats.org/officeDocument/2006/relationships/hyperlink" Target="https://doi.org/10.1890/15-0846R.1" TargetMode="External"/><Relationship Id="rId373" Type="http://schemas.openxmlformats.org/officeDocument/2006/relationships/hyperlink" Target="https://doi.org/10.1002/ecy.2106" TargetMode="External"/><Relationship Id="rId394" Type="http://schemas.openxmlformats.org/officeDocument/2006/relationships/hyperlink" Target="https://doi.org/10.1038/s41597-022-01234-4" TargetMode="External"/><Relationship Id="rId408" Type="http://schemas.openxmlformats.org/officeDocument/2006/relationships/hyperlink" Target="https://doi.org/10.1038/s41597-022-01234-4" TargetMode="External"/><Relationship Id="rId1" Type="http://schemas.openxmlformats.org/officeDocument/2006/relationships/hyperlink" Target="https://doi.org/10.11606/1807-0205/2021.61.24" TargetMode="External"/><Relationship Id="rId212" Type="http://schemas.openxmlformats.org/officeDocument/2006/relationships/hyperlink" Target="https://doi.org/10.1038/s41597-023-02157-4" TargetMode="External"/><Relationship Id="rId233" Type="http://schemas.openxmlformats.org/officeDocument/2006/relationships/hyperlink" Target="https://doi.org/10.1038/s41597-023-02157-4" TargetMode="External"/><Relationship Id="rId254" Type="http://schemas.openxmlformats.org/officeDocument/2006/relationships/hyperlink" Target="https://doi.org/10.1038/s41597-023-02157-4" TargetMode="External"/><Relationship Id="rId28" Type="http://schemas.openxmlformats.org/officeDocument/2006/relationships/hyperlink" Target="https://doi.org/10.11606/1807-0205/2021.61.24" TargetMode="External"/><Relationship Id="rId49" Type="http://schemas.openxmlformats.org/officeDocument/2006/relationships/hyperlink" Target="https://doi.org/10.11606/1807-0205/2021.61.24" TargetMode="External"/><Relationship Id="rId114" Type="http://schemas.openxmlformats.org/officeDocument/2006/relationships/hyperlink" Target="https://doi.org/10.1038/s41597-023-02472-w" TargetMode="External"/><Relationship Id="rId275" Type="http://schemas.openxmlformats.org/officeDocument/2006/relationships/hyperlink" Target="https://doi.org/10.1038/s41597-023-02157-4" TargetMode="External"/><Relationship Id="rId296" Type="http://schemas.openxmlformats.org/officeDocument/2006/relationships/hyperlink" Target="https://doi.org/10.1038/s41597-023-02157-4" TargetMode="External"/><Relationship Id="rId300" Type="http://schemas.openxmlformats.org/officeDocument/2006/relationships/hyperlink" Target="https://doi.org/10.1038/s41597-023-02157-4" TargetMode="External"/><Relationship Id="rId60" Type="http://schemas.openxmlformats.org/officeDocument/2006/relationships/hyperlink" Target="https://doi.org/10.1002/ecy.3344" TargetMode="External"/><Relationship Id="rId81" Type="http://schemas.openxmlformats.org/officeDocument/2006/relationships/hyperlink" Target="https://doi.org/10.1002/ecy.3344" TargetMode="External"/><Relationship Id="rId135" Type="http://schemas.openxmlformats.org/officeDocument/2006/relationships/hyperlink" Target="https://doi.org/10.1038/s41597-023-02472-w" TargetMode="External"/><Relationship Id="rId156" Type="http://schemas.openxmlformats.org/officeDocument/2006/relationships/hyperlink" Target="https://doi.org/10.1038/s41597-023-02472-w" TargetMode="External"/><Relationship Id="rId177" Type="http://schemas.openxmlformats.org/officeDocument/2006/relationships/hyperlink" Target="https://doi.org/10.1038/s41597-023-02472-w" TargetMode="External"/><Relationship Id="rId198" Type="http://schemas.openxmlformats.org/officeDocument/2006/relationships/hyperlink" Target="https://doi.org/10.1038/s41597-023-02472-w" TargetMode="External"/><Relationship Id="rId321" Type="http://schemas.openxmlformats.org/officeDocument/2006/relationships/hyperlink" Target="https://doi.org/10.1038/s41597-023-02157-4" TargetMode="External"/><Relationship Id="rId342" Type="http://schemas.openxmlformats.org/officeDocument/2006/relationships/hyperlink" Target="https://doi.org/10.1890/15-0846R.1" TargetMode="External"/><Relationship Id="rId363" Type="http://schemas.openxmlformats.org/officeDocument/2006/relationships/hyperlink" Target="https://doi.org/10.1890/15-0846R.1" TargetMode="External"/><Relationship Id="rId384" Type="http://schemas.openxmlformats.org/officeDocument/2006/relationships/hyperlink" Target="https://doi.org/10.1038/s41597-022-01234-4" TargetMode="External"/><Relationship Id="rId419" Type="http://schemas.openxmlformats.org/officeDocument/2006/relationships/hyperlink" Target="https://doi.org/10.1046/j.1474-9728.2002.00020.x" TargetMode="External"/><Relationship Id="rId202" Type="http://schemas.openxmlformats.org/officeDocument/2006/relationships/hyperlink" Target="https://doi.org/10.1038/s41597-023-02472-w" TargetMode="External"/><Relationship Id="rId223" Type="http://schemas.openxmlformats.org/officeDocument/2006/relationships/hyperlink" Target="https://doi.org/10.1038/s41597-023-02157-4" TargetMode="External"/><Relationship Id="rId244" Type="http://schemas.openxmlformats.org/officeDocument/2006/relationships/hyperlink" Target="https://doi.org/10.1038/s41597-023-02157-4" TargetMode="External"/><Relationship Id="rId18" Type="http://schemas.openxmlformats.org/officeDocument/2006/relationships/hyperlink" Target="https://doi.org/10.11606/1807-0205/2021.61.24" TargetMode="External"/><Relationship Id="rId39" Type="http://schemas.openxmlformats.org/officeDocument/2006/relationships/hyperlink" Target="https://doi.org/10.11606/1807-0205/2021.61.24" TargetMode="External"/><Relationship Id="rId265" Type="http://schemas.openxmlformats.org/officeDocument/2006/relationships/hyperlink" Target="https://doi.org/10.1038/s41597-023-02157-4" TargetMode="External"/><Relationship Id="rId286" Type="http://schemas.openxmlformats.org/officeDocument/2006/relationships/hyperlink" Target="https://doi.org/10.1038/s41597-023-02157-4" TargetMode="External"/><Relationship Id="rId50" Type="http://schemas.openxmlformats.org/officeDocument/2006/relationships/hyperlink" Target="https://doi.org/10.11606/1807-0205/2021.61.24" TargetMode="External"/><Relationship Id="rId104" Type="http://schemas.openxmlformats.org/officeDocument/2006/relationships/hyperlink" Target="https://doi.org/10.1002/ecy.3344" TargetMode="External"/><Relationship Id="rId125" Type="http://schemas.openxmlformats.org/officeDocument/2006/relationships/hyperlink" Target="https://doi.org/10.1038/s41597-023-02472-w" TargetMode="External"/><Relationship Id="rId146" Type="http://schemas.openxmlformats.org/officeDocument/2006/relationships/hyperlink" Target="https://doi.org/10.1038/s41597-023-02472-w" TargetMode="External"/><Relationship Id="rId167" Type="http://schemas.openxmlformats.org/officeDocument/2006/relationships/hyperlink" Target="https://doi.org/10.1038/s41597-023-02472-w" TargetMode="External"/><Relationship Id="rId188" Type="http://schemas.openxmlformats.org/officeDocument/2006/relationships/hyperlink" Target="https://doi.org/10.1038/s41597-023-02472-w" TargetMode="External"/><Relationship Id="rId311" Type="http://schemas.openxmlformats.org/officeDocument/2006/relationships/hyperlink" Target="https://doi.org/10.1038/s41597-023-02157-4" TargetMode="External"/><Relationship Id="rId332" Type="http://schemas.openxmlformats.org/officeDocument/2006/relationships/hyperlink" Target="https://doi.org/10.1111/mam.12270" TargetMode="External"/><Relationship Id="rId353" Type="http://schemas.openxmlformats.org/officeDocument/2006/relationships/hyperlink" Target="https://doi.org/10.1890/15-0846R.1" TargetMode="External"/><Relationship Id="rId374" Type="http://schemas.openxmlformats.org/officeDocument/2006/relationships/hyperlink" Target="https://doi.org/10.1002/ecy.2106" TargetMode="External"/><Relationship Id="rId395" Type="http://schemas.openxmlformats.org/officeDocument/2006/relationships/hyperlink" Target="https://doi.org/10.1038/s41597-022-01234-4" TargetMode="External"/><Relationship Id="rId409" Type="http://schemas.openxmlformats.org/officeDocument/2006/relationships/hyperlink" Target="https://doi.org/10.1038/s41597-022-01234-4" TargetMode="External"/><Relationship Id="rId71" Type="http://schemas.openxmlformats.org/officeDocument/2006/relationships/hyperlink" Target="https://doi.org/10.1002/ecy.3344" TargetMode="External"/><Relationship Id="rId92" Type="http://schemas.openxmlformats.org/officeDocument/2006/relationships/hyperlink" Target="https://doi.org/10.1002/ecy.3344" TargetMode="External"/><Relationship Id="rId213" Type="http://schemas.openxmlformats.org/officeDocument/2006/relationships/hyperlink" Target="https://doi.org/10.1038/s41597-023-02157-4" TargetMode="External"/><Relationship Id="rId234" Type="http://schemas.openxmlformats.org/officeDocument/2006/relationships/hyperlink" Target="https://doi.org/10.1038/s41597-023-02157-4" TargetMode="External"/><Relationship Id="rId420" Type="http://schemas.openxmlformats.org/officeDocument/2006/relationships/hyperlink" Target="https://doi.org/10.1038/s41597-022-01364-9" TargetMode="External"/><Relationship Id="rId2" Type="http://schemas.openxmlformats.org/officeDocument/2006/relationships/hyperlink" Target="https://doi.org/10.11606/1807-0205/2021.61.24" TargetMode="External"/><Relationship Id="rId29" Type="http://schemas.openxmlformats.org/officeDocument/2006/relationships/hyperlink" Target="https://doi.org/10.11606/1807-0205/2021.61.24" TargetMode="External"/><Relationship Id="rId255" Type="http://schemas.openxmlformats.org/officeDocument/2006/relationships/hyperlink" Target="https://doi.org/10.1038/s41597-023-02157-4" TargetMode="External"/><Relationship Id="rId276" Type="http://schemas.openxmlformats.org/officeDocument/2006/relationships/hyperlink" Target="https://doi.org/10.1038/s41597-023-02157-4" TargetMode="External"/><Relationship Id="rId297" Type="http://schemas.openxmlformats.org/officeDocument/2006/relationships/hyperlink" Target="https://doi.org/10.1038/s41597-023-02157-4" TargetMode="External"/><Relationship Id="rId40" Type="http://schemas.openxmlformats.org/officeDocument/2006/relationships/hyperlink" Target="https://doi.org/10.11606/1807-0205/2021.61.24" TargetMode="External"/><Relationship Id="rId115" Type="http://schemas.openxmlformats.org/officeDocument/2006/relationships/hyperlink" Target="https://doi.org/10.1038/s41597-023-02472-w" TargetMode="External"/><Relationship Id="rId136" Type="http://schemas.openxmlformats.org/officeDocument/2006/relationships/hyperlink" Target="https://doi.org/10.1038/s41597-023-02472-w" TargetMode="External"/><Relationship Id="rId157" Type="http://schemas.openxmlformats.org/officeDocument/2006/relationships/hyperlink" Target="https://doi.org/10.1038/s41597-023-02472-w" TargetMode="External"/><Relationship Id="rId178" Type="http://schemas.openxmlformats.org/officeDocument/2006/relationships/hyperlink" Target="https://doi.org/10.1038/s41597-023-02472-w" TargetMode="External"/><Relationship Id="rId301" Type="http://schemas.openxmlformats.org/officeDocument/2006/relationships/hyperlink" Target="https://doi.org/10.1038/s41597-023-02157-4" TargetMode="External"/><Relationship Id="rId322" Type="http://schemas.openxmlformats.org/officeDocument/2006/relationships/hyperlink" Target="https://doi.org/10.1038/s41597-023-02157-4" TargetMode="External"/><Relationship Id="rId343" Type="http://schemas.openxmlformats.org/officeDocument/2006/relationships/hyperlink" Target="https://doi.org/10.1890/15-0846R.1" TargetMode="External"/><Relationship Id="rId364" Type="http://schemas.openxmlformats.org/officeDocument/2006/relationships/hyperlink" Target="https://doi.org/10.1890/15-0846R.1" TargetMode="External"/><Relationship Id="rId61" Type="http://schemas.openxmlformats.org/officeDocument/2006/relationships/hyperlink" Target="https://doi.org/10.1002/ecy.3344" TargetMode="External"/><Relationship Id="rId82" Type="http://schemas.openxmlformats.org/officeDocument/2006/relationships/hyperlink" Target="https://doi.org/10.1002/ecy.3344" TargetMode="External"/><Relationship Id="rId199" Type="http://schemas.openxmlformats.org/officeDocument/2006/relationships/hyperlink" Target="https://doi.org/10.1038/s41597-023-02472-w" TargetMode="External"/><Relationship Id="rId203" Type="http://schemas.openxmlformats.org/officeDocument/2006/relationships/hyperlink" Target="https://doi.org/10.1038/s41597-023-02472-w" TargetMode="External"/><Relationship Id="rId385" Type="http://schemas.openxmlformats.org/officeDocument/2006/relationships/hyperlink" Target="https://doi.org/10.1038/s41597-022-01234-4" TargetMode="External"/><Relationship Id="rId19" Type="http://schemas.openxmlformats.org/officeDocument/2006/relationships/hyperlink" Target="https://doi.org/10.11606/1807-0205/2021.61.24" TargetMode="External"/><Relationship Id="rId224" Type="http://schemas.openxmlformats.org/officeDocument/2006/relationships/hyperlink" Target="https://doi.org/10.1038/s41597-023-02157-4" TargetMode="External"/><Relationship Id="rId245" Type="http://schemas.openxmlformats.org/officeDocument/2006/relationships/hyperlink" Target="https://doi.org/10.1038/s41597-023-02157-4" TargetMode="External"/><Relationship Id="rId266" Type="http://schemas.openxmlformats.org/officeDocument/2006/relationships/hyperlink" Target="https://doi.org/10.1038/s41597-023-02157-4" TargetMode="External"/><Relationship Id="rId287" Type="http://schemas.openxmlformats.org/officeDocument/2006/relationships/hyperlink" Target="https://doi.org/10.1038/s41597-023-02157-4" TargetMode="External"/><Relationship Id="rId410" Type="http://schemas.openxmlformats.org/officeDocument/2006/relationships/hyperlink" Target="https://doi.org/10.1038/s41597-022-01234-4" TargetMode="External"/><Relationship Id="rId30" Type="http://schemas.openxmlformats.org/officeDocument/2006/relationships/hyperlink" Target="https://doi.org/10.11606/1807-0205/2021.61.24" TargetMode="External"/><Relationship Id="rId105" Type="http://schemas.openxmlformats.org/officeDocument/2006/relationships/hyperlink" Target="https://doi.org/10.1038/s41597-023-02472-w" TargetMode="External"/><Relationship Id="rId126" Type="http://schemas.openxmlformats.org/officeDocument/2006/relationships/hyperlink" Target="https://doi.org/10.1038/s41597-023-02472-w" TargetMode="External"/><Relationship Id="rId147" Type="http://schemas.openxmlformats.org/officeDocument/2006/relationships/hyperlink" Target="https://doi.org/10.1038/s41597-023-02472-w" TargetMode="External"/><Relationship Id="rId168" Type="http://schemas.openxmlformats.org/officeDocument/2006/relationships/hyperlink" Target="https://doi.org/10.1038/s41597-023-02472-w" TargetMode="External"/><Relationship Id="rId312" Type="http://schemas.openxmlformats.org/officeDocument/2006/relationships/hyperlink" Target="https://doi.org/10.1038/s41597-023-02157-4" TargetMode="External"/><Relationship Id="rId333" Type="http://schemas.openxmlformats.org/officeDocument/2006/relationships/hyperlink" Target="https://doi.org/10.1111/mam.12270" TargetMode="External"/><Relationship Id="rId354" Type="http://schemas.openxmlformats.org/officeDocument/2006/relationships/hyperlink" Target="https://doi.org/10.1890/15-0846R.1" TargetMode="External"/><Relationship Id="rId51" Type="http://schemas.openxmlformats.org/officeDocument/2006/relationships/hyperlink" Target="https://doi.org/10.1002/ecy.3344" TargetMode="External"/><Relationship Id="rId72" Type="http://schemas.openxmlformats.org/officeDocument/2006/relationships/hyperlink" Target="https://doi.org/10.1002/ecy.3344" TargetMode="External"/><Relationship Id="rId93" Type="http://schemas.openxmlformats.org/officeDocument/2006/relationships/hyperlink" Target="https://doi.org/10.1002/ecy.3344" TargetMode="External"/><Relationship Id="rId189" Type="http://schemas.openxmlformats.org/officeDocument/2006/relationships/hyperlink" Target="https://doi.org/10.1038/s41597-023-02472-w" TargetMode="External"/><Relationship Id="rId375" Type="http://schemas.openxmlformats.org/officeDocument/2006/relationships/hyperlink" Target="https://doi.org/10.1038/s41597-022-01234-4" TargetMode="External"/><Relationship Id="rId396" Type="http://schemas.openxmlformats.org/officeDocument/2006/relationships/hyperlink" Target="https://doi.org/10.1038/s41597-022-01234-4" TargetMode="External"/><Relationship Id="rId3" Type="http://schemas.openxmlformats.org/officeDocument/2006/relationships/hyperlink" Target="https://doi.org/10.11606/1807-0205/2021.61.24" TargetMode="External"/><Relationship Id="rId214" Type="http://schemas.openxmlformats.org/officeDocument/2006/relationships/hyperlink" Target="https://doi.org/10.1038/s41597-023-02157-4" TargetMode="External"/><Relationship Id="rId235" Type="http://schemas.openxmlformats.org/officeDocument/2006/relationships/hyperlink" Target="https://doi.org/10.1038/s41597-023-02157-4" TargetMode="External"/><Relationship Id="rId256" Type="http://schemas.openxmlformats.org/officeDocument/2006/relationships/hyperlink" Target="https://doi.org/10.1038/s41597-023-02157-4" TargetMode="External"/><Relationship Id="rId277" Type="http://schemas.openxmlformats.org/officeDocument/2006/relationships/hyperlink" Target="https://doi.org/10.1038/s41597-023-02157-4" TargetMode="External"/><Relationship Id="rId298" Type="http://schemas.openxmlformats.org/officeDocument/2006/relationships/hyperlink" Target="https://doi.org/10.1038/s41597-023-02157-4" TargetMode="External"/><Relationship Id="rId400" Type="http://schemas.openxmlformats.org/officeDocument/2006/relationships/hyperlink" Target="https://doi.org/10.1038/s41597-022-01234-4" TargetMode="External"/><Relationship Id="rId421" Type="http://schemas.openxmlformats.org/officeDocument/2006/relationships/hyperlink" Target="https://doi.org/10.1038/s41597-022-01364-9" TargetMode="External"/><Relationship Id="rId116" Type="http://schemas.openxmlformats.org/officeDocument/2006/relationships/hyperlink" Target="https://doi.org/10.1038/s41597-023-02472-w" TargetMode="External"/><Relationship Id="rId137" Type="http://schemas.openxmlformats.org/officeDocument/2006/relationships/hyperlink" Target="https://doi.org/10.1038/s41597-023-02472-w" TargetMode="External"/><Relationship Id="rId158" Type="http://schemas.openxmlformats.org/officeDocument/2006/relationships/hyperlink" Target="https://doi.org/10.1038/s41597-023-02472-w" TargetMode="External"/><Relationship Id="rId302" Type="http://schemas.openxmlformats.org/officeDocument/2006/relationships/hyperlink" Target="https://doi.org/10.1038/s41597-023-02157-4" TargetMode="External"/><Relationship Id="rId323" Type="http://schemas.openxmlformats.org/officeDocument/2006/relationships/hyperlink" Target="https://doi.org/10.1038/s41597-023-02157-4" TargetMode="External"/><Relationship Id="rId344" Type="http://schemas.openxmlformats.org/officeDocument/2006/relationships/hyperlink" Target="https://doi.org/10.1890/15-0846R.1" TargetMode="External"/><Relationship Id="rId20" Type="http://schemas.openxmlformats.org/officeDocument/2006/relationships/hyperlink" Target="https://doi.org/10.11606/1807-0205/2021.61.24" TargetMode="External"/><Relationship Id="rId41" Type="http://schemas.openxmlformats.org/officeDocument/2006/relationships/hyperlink" Target="https://doi.org/10.11606/1807-0205/2021.61.24" TargetMode="External"/><Relationship Id="rId62" Type="http://schemas.openxmlformats.org/officeDocument/2006/relationships/hyperlink" Target="https://doi.org/10.1002/ecy.3344" TargetMode="External"/><Relationship Id="rId83" Type="http://schemas.openxmlformats.org/officeDocument/2006/relationships/hyperlink" Target="https://doi.org/10.1002/ecy.3344" TargetMode="External"/><Relationship Id="rId179" Type="http://schemas.openxmlformats.org/officeDocument/2006/relationships/hyperlink" Target="https://doi.org/10.1038/s41597-023-02472-w" TargetMode="External"/><Relationship Id="rId365" Type="http://schemas.openxmlformats.org/officeDocument/2006/relationships/hyperlink" Target="https://doi.org/10.1890/15-0846R.1" TargetMode="External"/><Relationship Id="rId386" Type="http://schemas.openxmlformats.org/officeDocument/2006/relationships/hyperlink" Target="https://doi.org/10.1038/s41597-022-01234-4" TargetMode="External"/><Relationship Id="rId190" Type="http://schemas.openxmlformats.org/officeDocument/2006/relationships/hyperlink" Target="https://doi.org/10.1038/s41597-023-02472-w" TargetMode="External"/><Relationship Id="rId204" Type="http://schemas.openxmlformats.org/officeDocument/2006/relationships/hyperlink" Target="https://doi.org/10.1038/s41597-023-02472-w" TargetMode="External"/><Relationship Id="rId225" Type="http://schemas.openxmlformats.org/officeDocument/2006/relationships/hyperlink" Target="https://doi.org/10.1038/s41597-023-02157-4" TargetMode="External"/><Relationship Id="rId246" Type="http://schemas.openxmlformats.org/officeDocument/2006/relationships/hyperlink" Target="https://doi.org/10.1038/s41597-023-02157-4" TargetMode="External"/><Relationship Id="rId267" Type="http://schemas.openxmlformats.org/officeDocument/2006/relationships/hyperlink" Target="https://doi.org/10.1038/s41597-023-02157-4" TargetMode="External"/><Relationship Id="rId288" Type="http://schemas.openxmlformats.org/officeDocument/2006/relationships/hyperlink" Target="https://doi.org/10.1038/s41597-023-02157-4" TargetMode="External"/><Relationship Id="rId411" Type="http://schemas.openxmlformats.org/officeDocument/2006/relationships/hyperlink" Target="https://doi.org/10.1038/s41597-022-01234-4" TargetMode="External"/><Relationship Id="rId106" Type="http://schemas.openxmlformats.org/officeDocument/2006/relationships/hyperlink" Target="https://doi.org/10.1038/s41597-023-02472-w" TargetMode="External"/><Relationship Id="rId127" Type="http://schemas.openxmlformats.org/officeDocument/2006/relationships/hyperlink" Target="https://doi.org/10.1038/s41597-023-02472-w" TargetMode="External"/><Relationship Id="rId313" Type="http://schemas.openxmlformats.org/officeDocument/2006/relationships/hyperlink" Target="https://doi.org/10.1038/s41597-023-02157-4" TargetMode="External"/><Relationship Id="rId10" Type="http://schemas.openxmlformats.org/officeDocument/2006/relationships/hyperlink" Target="https://doi.org/10.11606/1807-0205/2021.61.24" TargetMode="External"/><Relationship Id="rId31" Type="http://schemas.openxmlformats.org/officeDocument/2006/relationships/hyperlink" Target="https://doi.org/10.11606/1807-0205/2021.61.24" TargetMode="External"/><Relationship Id="rId52" Type="http://schemas.openxmlformats.org/officeDocument/2006/relationships/hyperlink" Target="https://doi.org/10.1002/ecy.3344" TargetMode="External"/><Relationship Id="rId73" Type="http://schemas.openxmlformats.org/officeDocument/2006/relationships/hyperlink" Target="https://doi.org/10.1002/ecy.3344" TargetMode="External"/><Relationship Id="rId94" Type="http://schemas.openxmlformats.org/officeDocument/2006/relationships/hyperlink" Target="https://doi.org/10.1002/ecy.3344" TargetMode="External"/><Relationship Id="rId148" Type="http://schemas.openxmlformats.org/officeDocument/2006/relationships/hyperlink" Target="https://doi.org/10.1038/s41597-023-02472-w" TargetMode="External"/><Relationship Id="rId169" Type="http://schemas.openxmlformats.org/officeDocument/2006/relationships/hyperlink" Target="https://doi.org/10.1038/s41597-023-02472-w" TargetMode="External"/><Relationship Id="rId334" Type="http://schemas.openxmlformats.org/officeDocument/2006/relationships/hyperlink" Target="https://doi.org/10.1111/mam.12270" TargetMode="External"/><Relationship Id="rId355" Type="http://schemas.openxmlformats.org/officeDocument/2006/relationships/hyperlink" Target="https://doi.org/10.1890/15-0846R.1" TargetMode="External"/><Relationship Id="rId376" Type="http://schemas.openxmlformats.org/officeDocument/2006/relationships/hyperlink" Target="https://doi.org/10.1038/s41597-022-01234-4" TargetMode="External"/><Relationship Id="rId397" Type="http://schemas.openxmlformats.org/officeDocument/2006/relationships/hyperlink" Target="https://doi.org/10.1038/s41597-022-01234-4" TargetMode="External"/><Relationship Id="rId4" Type="http://schemas.openxmlformats.org/officeDocument/2006/relationships/hyperlink" Target="https://doi.org/10.11606/1807-0205/2021.61.24" TargetMode="External"/><Relationship Id="rId180" Type="http://schemas.openxmlformats.org/officeDocument/2006/relationships/hyperlink" Target="https://doi.org/10.1038/s41597-023-02472-w" TargetMode="External"/><Relationship Id="rId215" Type="http://schemas.openxmlformats.org/officeDocument/2006/relationships/hyperlink" Target="https://doi.org/10.1038/s41597-023-02157-4" TargetMode="External"/><Relationship Id="rId236" Type="http://schemas.openxmlformats.org/officeDocument/2006/relationships/hyperlink" Target="https://doi.org/10.1038/s41597-023-02157-4" TargetMode="External"/><Relationship Id="rId257" Type="http://schemas.openxmlformats.org/officeDocument/2006/relationships/hyperlink" Target="https://doi.org/10.1038/s41597-023-02157-4" TargetMode="External"/><Relationship Id="rId278" Type="http://schemas.openxmlformats.org/officeDocument/2006/relationships/hyperlink" Target="https://doi.org/10.1038/s41597-023-02157-4" TargetMode="External"/><Relationship Id="rId401" Type="http://schemas.openxmlformats.org/officeDocument/2006/relationships/hyperlink" Target="https://doi.org/10.1038/s41597-022-01234-4" TargetMode="External"/><Relationship Id="rId422" Type="http://schemas.openxmlformats.org/officeDocument/2006/relationships/hyperlink" Target="https://doi.org/10.1038/s41597-022-01364-9" TargetMode="External"/><Relationship Id="rId303" Type="http://schemas.openxmlformats.org/officeDocument/2006/relationships/hyperlink" Target="https://doi.org/10.1038/s41597-023-02157-4" TargetMode="External"/><Relationship Id="rId42" Type="http://schemas.openxmlformats.org/officeDocument/2006/relationships/hyperlink" Target="https://doi.org/10.11606/1807-0205/2021.61.24" TargetMode="External"/><Relationship Id="rId84" Type="http://schemas.openxmlformats.org/officeDocument/2006/relationships/hyperlink" Target="https://doi.org/10.1002/ecy.3344" TargetMode="External"/><Relationship Id="rId138" Type="http://schemas.openxmlformats.org/officeDocument/2006/relationships/hyperlink" Target="https://doi.org/10.1038/s41597-023-02472-w" TargetMode="External"/><Relationship Id="rId345" Type="http://schemas.openxmlformats.org/officeDocument/2006/relationships/hyperlink" Target="https://doi.org/10.1890/15-0846R.1" TargetMode="External"/><Relationship Id="rId387" Type="http://schemas.openxmlformats.org/officeDocument/2006/relationships/hyperlink" Target="https://doi.org/10.1038/s41597-022-01234-4" TargetMode="External"/><Relationship Id="rId191" Type="http://schemas.openxmlformats.org/officeDocument/2006/relationships/hyperlink" Target="https://doi.org/10.1038/s41597-023-02472-w" TargetMode="External"/><Relationship Id="rId205" Type="http://schemas.openxmlformats.org/officeDocument/2006/relationships/hyperlink" Target="https://doi.org/10.1038/s41597-023-02472-w" TargetMode="External"/><Relationship Id="rId247" Type="http://schemas.openxmlformats.org/officeDocument/2006/relationships/hyperlink" Target="https://doi.org/10.1038/s41597-023-02157-4" TargetMode="External"/><Relationship Id="rId412" Type="http://schemas.openxmlformats.org/officeDocument/2006/relationships/hyperlink" Target="https://doi.org/10.1046/j.1474-9728.2002.00020.x" TargetMode="External"/><Relationship Id="rId107" Type="http://schemas.openxmlformats.org/officeDocument/2006/relationships/hyperlink" Target="https://doi.org/10.1038/s41597-023-02472-w" TargetMode="External"/><Relationship Id="rId289" Type="http://schemas.openxmlformats.org/officeDocument/2006/relationships/hyperlink" Target="https://doi.org/10.1038/s41597-023-02157-4" TargetMode="External"/><Relationship Id="rId11" Type="http://schemas.openxmlformats.org/officeDocument/2006/relationships/hyperlink" Target="https://doi.org/10.11606/1807-0205/2021.61.24" TargetMode="External"/><Relationship Id="rId53" Type="http://schemas.openxmlformats.org/officeDocument/2006/relationships/hyperlink" Target="https://doi.org/10.1002/ecy.3344" TargetMode="External"/><Relationship Id="rId149" Type="http://schemas.openxmlformats.org/officeDocument/2006/relationships/hyperlink" Target="https://doi.org/10.1038/s41597-023-02472-w" TargetMode="External"/><Relationship Id="rId314" Type="http://schemas.openxmlformats.org/officeDocument/2006/relationships/hyperlink" Target="https://doi.org/10.1038/s41597-023-02157-4" TargetMode="External"/><Relationship Id="rId356" Type="http://schemas.openxmlformats.org/officeDocument/2006/relationships/hyperlink" Target="https://doi.org/10.1890/15-0846R.1" TargetMode="External"/><Relationship Id="rId398" Type="http://schemas.openxmlformats.org/officeDocument/2006/relationships/hyperlink" Target="https://doi.org/10.1038/s41597-022-01234-4" TargetMode="External"/><Relationship Id="rId95" Type="http://schemas.openxmlformats.org/officeDocument/2006/relationships/hyperlink" Target="https://doi.org/10.1002/ecy.3344" TargetMode="External"/><Relationship Id="rId160" Type="http://schemas.openxmlformats.org/officeDocument/2006/relationships/hyperlink" Target="https://doi.org/10.1038/s41597-023-02472-w" TargetMode="External"/><Relationship Id="rId216" Type="http://schemas.openxmlformats.org/officeDocument/2006/relationships/hyperlink" Target="https://doi.org/10.1038/s41597-023-02157-4" TargetMode="External"/><Relationship Id="rId423" Type="http://schemas.openxmlformats.org/officeDocument/2006/relationships/hyperlink" Target="https://doi.org/10.1038/s41597-022-01364-9" TargetMode="External"/><Relationship Id="rId258" Type="http://schemas.openxmlformats.org/officeDocument/2006/relationships/hyperlink" Target="https://doi.org/10.1038/s41597-023-02157-4" TargetMode="External"/><Relationship Id="rId22" Type="http://schemas.openxmlformats.org/officeDocument/2006/relationships/hyperlink" Target="https://doi.org/10.11606/1807-0205/2021.61.24" TargetMode="External"/><Relationship Id="rId64" Type="http://schemas.openxmlformats.org/officeDocument/2006/relationships/hyperlink" Target="https://doi.org/10.1002/ecy.3344" TargetMode="External"/><Relationship Id="rId118" Type="http://schemas.openxmlformats.org/officeDocument/2006/relationships/hyperlink" Target="https://doi.org/10.1038/s41597-023-02472-w" TargetMode="External"/><Relationship Id="rId325" Type="http://schemas.openxmlformats.org/officeDocument/2006/relationships/hyperlink" Target="https://doi.org/10.1038/s41597-023-02157-4" TargetMode="External"/><Relationship Id="rId367" Type="http://schemas.openxmlformats.org/officeDocument/2006/relationships/hyperlink" Target="https://doi.org/10.1002/ecy.2106" TargetMode="External"/><Relationship Id="rId171" Type="http://schemas.openxmlformats.org/officeDocument/2006/relationships/hyperlink" Target="https://doi.org/10.1038/s41597-023-02472-w" TargetMode="External"/><Relationship Id="rId227" Type="http://schemas.openxmlformats.org/officeDocument/2006/relationships/hyperlink" Target="https://doi.org/10.1038/s41597-023-02157-4" TargetMode="External"/><Relationship Id="rId269" Type="http://schemas.openxmlformats.org/officeDocument/2006/relationships/hyperlink" Target="https://doi.org/10.1038/s41597-023-02157-4" TargetMode="External"/><Relationship Id="rId33" Type="http://schemas.openxmlformats.org/officeDocument/2006/relationships/hyperlink" Target="https://doi.org/10.11606/1807-0205/2021.61.24" TargetMode="External"/><Relationship Id="rId129" Type="http://schemas.openxmlformats.org/officeDocument/2006/relationships/hyperlink" Target="https://doi.org/10.1038/s41597-023-02472-w" TargetMode="External"/><Relationship Id="rId280" Type="http://schemas.openxmlformats.org/officeDocument/2006/relationships/hyperlink" Target="https://doi.org/10.1038/s41597-023-02157-4" TargetMode="External"/><Relationship Id="rId336" Type="http://schemas.openxmlformats.org/officeDocument/2006/relationships/hyperlink" Target="https://doi.org/10.1111/mam.12270" TargetMode="External"/><Relationship Id="rId75" Type="http://schemas.openxmlformats.org/officeDocument/2006/relationships/hyperlink" Target="https://doi.org/10.1002/ecy.3344" TargetMode="External"/><Relationship Id="rId140" Type="http://schemas.openxmlformats.org/officeDocument/2006/relationships/hyperlink" Target="https://doi.org/10.1038/s41597-023-02472-w" TargetMode="External"/><Relationship Id="rId182" Type="http://schemas.openxmlformats.org/officeDocument/2006/relationships/hyperlink" Target="https://doi.org/10.1038/s41597-023-02472-w" TargetMode="External"/><Relationship Id="rId378" Type="http://schemas.openxmlformats.org/officeDocument/2006/relationships/hyperlink" Target="https://doi.org/10.1038/s41597-022-01234-4" TargetMode="External"/><Relationship Id="rId403" Type="http://schemas.openxmlformats.org/officeDocument/2006/relationships/hyperlink" Target="https://doi.org/10.1038/s41597-022-01234-4" TargetMode="External"/><Relationship Id="rId6" Type="http://schemas.openxmlformats.org/officeDocument/2006/relationships/hyperlink" Target="https://doi.org/10.11606/1807-0205/2021.61.24" TargetMode="External"/><Relationship Id="rId238" Type="http://schemas.openxmlformats.org/officeDocument/2006/relationships/hyperlink" Target="https://doi.org/10.1038/s41597-023-02157-4" TargetMode="External"/><Relationship Id="rId291" Type="http://schemas.openxmlformats.org/officeDocument/2006/relationships/hyperlink" Target="https://doi.org/10.1038/s41597-023-02157-4" TargetMode="External"/><Relationship Id="rId305" Type="http://schemas.openxmlformats.org/officeDocument/2006/relationships/hyperlink" Target="https://doi.org/10.1038/s41597-023-02157-4" TargetMode="External"/><Relationship Id="rId347" Type="http://schemas.openxmlformats.org/officeDocument/2006/relationships/hyperlink" Target="https://doi.org/10.1890/15-0846R.1" TargetMode="External"/><Relationship Id="rId44" Type="http://schemas.openxmlformats.org/officeDocument/2006/relationships/hyperlink" Target="https://doi.org/10.11606/1807-0205/2021.61.24" TargetMode="External"/><Relationship Id="rId86" Type="http://schemas.openxmlformats.org/officeDocument/2006/relationships/hyperlink" Target="https://doi.org/10.1002/ecy.3344" TargetMode="External"/><Relationship Id="rId151" Type="http://schemas.openxmlformats.org/officeDocument/2006/relationships/hyperlink" Target="https://doi.org/10.1038/s41597-023-02472-w" TargetMode="External"/><Relationship Id="rId389" Type="http://schemas.openxmlformats.org/officeDocument/2006/relationships/hyperlink" Target="https://doi.org/10.1038/s41597-022-01234-4" TargetMode="External"/><Relationship Id="rId193" Type="http://schemas.openxmlformats.org/officeDocument/2006/relationships/hyperlink" Target="https://doi.org/10.1038/s41597-023-02472-w" TargetMode="External"/><Relationship Id="rId207" Type="http://schemas.openxmlformats.org/officeDocument/2006/relationships/hyperlink" Target="https://doi.org/10.1038/s41597-023-02472-w" TargetMode="External"/><Relationship Id="rId249" Type="http://schemas.openxmlformats.org/officeDocument/2006/relationships/hyperlink" Target="https://doi.org/10.1038/s41597-023-02157-4" TargetMode="External"/><Relationship Id="rId414" Type="http://schemas.openxmlformats.org/officeDocument/2006/relationships/hyperlink" Target="https://doi.org/10.1046/j.1474-9728.2002.00020.x" TargetMode="External"/><Relationship Id="rId13" Type="http://schemas.openxmlformats.org/officeDocument/2006/relationships/hyperlink" Target="https://doi.org/10.11606/1807-0205/2021.61.24" TargetMode="External"/><Relationship Id="rId109" Type="http://schemas.openxmlformats.org/officeDocument/2006/relationships/hyperlink" Target="https://doi.org/10.1038/s41597-023-02472-w" TargetMode="External"/><Relationship Id="rId260" Type="http://schemas.openxmlformats.org/officeDocument/2006/relationships/hyperlink" Target="https://doi.org/10.1038/s41597-023-02157-4" TargetMode="External"/><Relationship Id="rId316" Type="http://schemas.openxmlformats.org/officeDocument/2006/relationships/hyperlink" Target="https://doi.org/10.1038/s41597-023-02157-4" TargetMode="External"/><Relationship Id="rId55" Type="http://schemas.openxmlformats.org/officeDocument/2006/relationships/hyperlink" Target="https://doi.org/10.1002/ecy.3344" TargetMode="External"/><Relationship Id="rId97" Type="http://schemas.openxmlformats.org/officeDocument/2006/relationships/hyperlink" Target="https://doi.org/10.1002/ecy.3344" TargetMode="External"/><Relationship Id="rId120" Type="http://schemas.openxmlformats.org/officeDocument/2006/relationships/hyperlink" Target="https://doi.org/10.1038/s41597-023-02472-w" TargetMode="External"/><Relationship Id="rId358" Type="http://schemas.openxmlformats.org/officeDocument/2006/relationships/hyperlink" Target="https://doi.org/10.1890/15-0846R.1" TargetMode="External"/><Relationship Id="rId162" Type="http://schemas.openxmlformats.org/officeDocument/2006/relationships/hyperlink" Target="https://doi.org/10.1038/s41597-023-02472-w" TargetMode="External"/><Relationship Id="rId218" Type="http://schemas.openxmlformats.org/officeDocument/2006/relationships/hyperlink" Target="https://doi.org/10.1038/s41597-023-02157-4" TargetMode="External"/><Relationship Id="rId425" Type="http://schemas.openxmlformats.org/officeDocument/2006/relationships/hyperlink" Target="https://doi.org/10.1038/s41597-022-01364-9" TargetMode="External"/><Relationship Id="rId271" Type="http://schemas.openxmlformats.org/officeDocument/2006/relationships/hyperlink" Target="https://doi.org/10.1038/s41597-023-02157-4" TargetMode="External"/><Relationship Id="rId24" Type="http://schemas.openxmlformats.org/officeDocument/2006/relationships/hyperlink" Target="https://doi.org/10.11606/1807-0205/2021.61.24" TargetMode="External"/><Relationship Id="rId66" Type="http://schemas.openxmlformats.org/officeDocument/2006/relationships/hyperlink" Target="https://doi.org/10.1002/ecy.3344" TargetMode="External"/><Relationship Id="rId131" Type="http://schemas.openxmlformats.org/officeDocument/2006/relationships/hyperlink" Target="https://doi.org/10.1038/s41597-023-02472-w" TargetMode="External"/><Relationship Id="rId327" Type="http://schemas.openxmlformats.org/officeDocument/2006/relationships/hyperlink" Target="https://doi.org/10.1038/s41597-023-02157-4" TargetMode="External"/><Relationship Id="rId369" Type="http://schemas.openxmlformats.org/officeDocument/2006/relationships/hyperlink" Target="https://doi.org/10.1002/ecy.2106" TargetMode="External"/><Relationship Id="rId173" Type="http://schemas.openxmlformats.org/officeDocument/2006/relationships/hyperlink" Target="https://doi.org/10.1038/s41597-023-02472-w" TargetMode="External"/><Relationship Id="rId229" Type="http://schemas.openxmlformats.org/officeDocument/2006/relationships/hyperlink" Target="https://doi.org/10.1038/s41597-023-02157-4" TargetMode="External"/><Relationship Id="rId380" Type="http://schemas.openxmlformats.org/officeDocument/2006/relationships/hyperlink" Target="https://doi.org/10.1038/s41597-022-01234-4" TargetMode="External"/><Relationship Id="rId240" Type="http://schemas.openxmlformats.org/officeDocument/2006/relationships/hyperlink" Target="https://doi.org/10.1038/s41597-023-02157-4" TargetMode="External"/><Relationship Id="rId35" Type="http://schemas.openxmlformats.org/officeDocument/2006/relationships/hyperlink" Target="https://doi.org/10.11606/1807-0205/2021.61.24" TargetMode="External"/><Relationship Id="rId77" Type="http://schemas.openxmlformats.org/officeDocument/2006/relationships/hyperlink" Target="https://doi.org/10.1002/ecy.3344" TargetMode="External"/><Relationship Id="rId100" Type="http://schemas.openxmlformats.org/officeDocument/2006/relationships/hyperlink" Target="https://doi.org/10.1002/ecy.3344" TargetMode="External"/><Relationship Id="rId282" Type="http://schemas.openxmlformats.org/officeDocument/2006/relationships/hyperlink" Target="https://doi.org/10.1038/s41597-023-02157-4" TargetMode="External"/><Relationship Id="rId338" Type="http://schemas.openxmlformats.org/officeDocument/2006/relationships/hyperlink" Target="https://doi.org/10.1890/15-0846R.1" TargetMode="External"/><Relationship Id="rId8" Type="http://schemas.openxmlformats.org/officeDocument/2006/relationships/hyperlink" Target="https://doi.org/10.11606/1807-0205/2021.61.24" TargetMode="External"/><Relationship Id="rId142" Type="http://schemas.openxmlformats.org/officeDocument/2006/relationships/hyperlink" Target="https://doi.org/10.1038/s41597-023-02472-w" TargetMode="External"/><Relationship Id="rId184" Type="http://schemas.openxmlformats.org/officeDocument/2006/relationships/hyperlink" Target="https://doi.org/10.1038/s41597-023-02472-w" TargetMode="External"/><Relationship Id="rId391" Type="http://schemas.openxmlformats.org/officeDocument/2006/relationships/hyperlink" Target="https://doi.org/10.1038/s41597-022-01234-4" TargetMode="External"/><Relationship Id="rId405" Type="http://schemas.openxmlformats.org/officeDocument/2006/relationships/hyperlink" Target="https://doi.org/10.1038/s41597-022-01234-4" TargetMode="External"/><Relationship Id="rId251" Type="http://schemas.openxmlformats.org/officeDocument/2006/relationships/hyperlink" Target="https://doi.org/10.1038/s41597-023-02157-4" TargetMode="External"/><Relationship Id="rId46" Type="http://schemas.openxmlformats.org/officeDocument/2006/relationships/hyperlink" Target="https://doi.org/10.11606/1807-0205/2021.61.24" TargetMode="External"/><Relationship Id="rId293" Type="http://schemas.openxmlformats.org/officeDocument/2006/relationships/hyperlink" Target="https://doi.org/10.1038/s41597-023-02157-4" TargetMode="External"/><Relationship Id="rId307" Type="http://schemas.openxmlformats.org/officeDocument/2006/relationships/hyperlink" Target="https://doi.org/10.1038/s41597-023-02157-4" TargetMode="External"/><Relationship Id="rId349" Type="http://schemas.openxmlformats.org/officeDocument/2006/relationships/hyperlink" Target="https://doi.org/10.1890/15-0846R.1" TargetMode="External"/><Relationship Id="rId88" Type="http://schemas.openxmlformats.org/officeDocument/2006/relationships/hyperlink" Target="https://doi.org/10.1002/ecy.3344" TargetMode="External"/><Relationship Id="rId111" Type="http://schemas.openxmlformats.org/officeDocument/2006/relationships/hyperlink" Target="https://doi.org/10.1038/s41597-023-02472-w" TargetMode="External"/><Relationship Id="rId153" Type="http://schemas.openxmlformats.org/officeDocument/2006/relationships/hyperlink" Target="https://doi.org/10.1038/s41597-023-02472-w" TargetMode="External"/><Relationship Id="rId195" Type="http://schemas.openxmlformats.org/officeDocument/2006/relationships/hyperlink" Target="https://doi.org/10.1038/s41597-023-02472-w" TargetMode="External"/><Relationship Id="rId209" Type="http://schemas.openxmlformats.org/officeDocument/2006/relationships/hyperlink" Target="https://doi.org/10.1038/s41597-023-02472-w" TargetMode="External"/><Relationship Id="rId360" Type="http://schemas.openxmlformats.org/officeDocument/2006/relationships/hyperlink" Target="https://doi.org/10.1890/15-0846R.1" TargetMode="External"/><Relationship Id="rId416" Type="http://schemas.openxmlformats.org/officeDocument/2006/relationships/hyperlink" Target="https://doi.org/10.1046/j.1474-9728.2002.00020.x" TargetMode="External"/><Relationship Id="rId220" Type="http://schemas.openxmlformats.org/officeDocument/2006/relationships/hyperlink" Target="https://doi.org/10.1038/s41597-023-02157-4" TargetMode="External"/><Relationship Id="rId15" Type="http://schemas.openxmlformats.org/officeDocument/2006/relationships/hyperlink" Target="https://doi.org/10.11606/1807-0205/2021.61.24" TargetMode="External"/><Relationship Id="rId57" Type="http://schemas.openxmlformats.org/officeDocument/2006/relationships/hyperlink" Target="https://doi.org/10.1002/ecy.3344" TargetMode="External"/><Relationship Id="rId262" Type="http://schemas.openxmlformats.org/officeDocument/2006/relationships/hyperlink" Target="https://doi.org/10.1038/s41597-023-02157-4" TargetMode="External"/><Relationship Id="rId318" Type="http://schemas.openxmlformats.org/officeDocument/2006/relationships/hyperlink" Target="https://doi.org/10.1038/s41597-023-02157-4" TargetMode="External"/><Relationship Id="rId99" Type="http://schemas.openxmlformats.org/officeDocument/2006/relationships/hyperlink" Target="https://doi.org/10.1002/ecy.3344" TargetMode="External"/><Relationship Id="rId122" Type="http://schemas.openxmlformats.org/officeDocument/2006/relationships/hyperlink" Target="https://doi.org/10.1038/s41597-023-02472-w" TargetMode="External"/><Relationship Id="rId164" Type="http://schemas.openxmlformats.org/officeDocument/2006/relationships/hyperlink" Target="https://doi.org/10.1038/s41597-023-02472-w" TargetMode="External"/><Relationship Id="rId371" Type="http://schemas.openxmlformats.org/officeDocument/2006/relationships/hyperlink" Target="https://doi.org/10.1002/ecy.2106" TargetMode="External"/><Relationship Id="rId427" Type="http://schemas.openxmlformats.org/officeDocument/2006/relationships/hyperlink" Target="https://doi.org/10.1038/s41597-022-01364-9" TargetMode="External"/><Relationship Id="rId26" Type="http://schemas.openxmlformats.org/officeDocument/2006/relationships/hyperlink" Target="https://doi.org/10.11606/1807-0205/2021.61.24" TargetMode="External"/><Relationship Id="rId231" Type="http://schemas.openxmlformats.org/officeDocument/2006/relationships/hyperlink" Target="https://doi.org/10.1038/s41597-023-02157-4" TargetMode="External"/><Relationship Id="rId273" Type="http://schemas.openxmlformats.org/officeDocument/2006/relationships/hyperlink" Target="https://doi.org/10.1038/s41597-023-02157-4" TargetMode="External"/><Relationship Id="rId329" Type="http://schemas.openxmlformats.org/officeDocument/2006/relationships/hyperlink" Target="https://doi.org/10.1111/mam.12270" TargetMode="External"/><Relationship Id="rId68" Type="http://schemas.openxmlformats.org/officeDocument/2006/relationships/hyperlink" Target="https://doi.org/10.1002/ecy.3344" TargetMode="External"/><Relationship Id="rId133" Type="http://schemas.openxmlformats.org/officeDocument/2006/relationships/hyperlink" Target="https://doi.org/10.1038/s41597-023-02472-w" TargetMode="External"/><Relationship Id="rId175" Type="http://schemas.openxmlformats.org/officeDocument/2006/relationships/hyperlink" Target="https://doi.org/10.1038/s41597-023-02472-w" TargetMode="External"/><Relationship Id="rId340" Type="http://schemas.openxmlformats.org/officeDocument/2006/relationships/hyperlink" Target="https://doi.org/10.1890/15-0846R.1" TargetMode="External"/><Relationship Id="rId200" Type="http://schemas.openxmlformats.org/officeDocument/2006/relationships/hyperlink" Target="https://doi.org/10.1038/s41597-023-02472-w" TargetMode="External"/><Relationship Id="rId382" Type="http://schemas.openxmlformats.org/officeDocument/2006/relationships/hyperlink" Target="https://doi.org/10.1038/s41597-022-01234-4" TargetMode="External"/><Relationship Id="rId242" Type="http://schemas.openxmlformats.org/officeDocument/2006/relationships/hyperlink" Target="https://doi.org/10.1038/s41597-023-02157-4" TargetMode="External"/><Relationship Id="rId284" Type="http://schemas.openxmlformats.org/officeDocument/2006/relationships/hyperlink" Target="https://doi.org/10.1038/s41597-023-02157-4" TargetMode="External"/><Relationship Id="rId37" Type="http://schemas.openxmlformats.org/officeDocument/2006/relationships/hyperlink" Target="https://doi.org/10.11606/1807-0205/2021.61.24" TargetMode="External"/><Relationship Id="rId79" Type="http://schemas.openxmlformats.org/officeDocument/2006/relationships/hyperlink" Target="https://doi.org/10.1002/ecy.3344" TargetMode="External"/><Relationship Id="rId102" Type="http://schemas.openxmlformats.org/officeDocument/2006/relationships/hyperlink" Target="https://doi.org/10.1002/ecy.3344" TargetMode="External"/><Relationship Id="rId144" Type="http://schemas.openxmlformats.org/officeDocument/2006/relationships/hyperlink" Target="https://doi.org/10.1038/s41597-023-02472-w" TargetMode="External"/><Relationship Id="rId90" Type="http://schemas.openxmlformats.org/officeDocument/2006/relationships/hyperlink" Target="https://doi.org/10.1002/ecy.3344" TargetMode="External"/><Relationship Id="rId186" Type="http://schemas.openxmlformats.org/officeDocument/2006/relationships/hyperlink" Target="https://doi.org/10.1038/s41597-023-02472-w" TargetMode="External"/><Relationship Id="rId351" Type="http://schemas.openxmlformats.org/officeDocument/2006/relationships/hyperlink" Target="https://doi.org/10.1890/15-0846R.1" TargetMode="External"/><Relationship Id="rId393" Type="http://schemas.openxmlformats.org/officeDocument/2006/relationships/hyperlink" Target="https://doi.org/10.1038/s41597-022-01234-4" TargetMode="External"/><Relationship Id="rId407" Type="http://schemas.openxmlformats.org/officeDocument/2006/relationships/hyperlink" Target="https://doi.org/10.1038/s41597-022-01234-4" TargetMode="External"/><Relationship Id="rId211" Type="http://schemas.openxmlformats.org/officeDocument/2006/relationships/hyperlink" Target="https://doi.org/10.1038/s41597-023-02157-4" TargetMode="External"/><Relationship Id="rId253" Type="http://schemas.openxmlformats.org/officeDocument/2006/relationships/hyperlink" Target="https://doi.org/10.1038/s41597-023-02157-4" TargetMode="External"/><Relationship Id="rId295" Type="http://schemas.openxmlformats.org/officeDocument/2006/relationships/hyperlink" Target="https://doi.org/10.1038/s41597-023-02157-4" TargetMode="External"/><Relationship Id="rId309" Type="http://schemas.openxmlformats.org/officeDocument/2006/relationships/hyperlink" Target="https://doi.org/10.1038/s41597-023-02157-4" TargetMode="External"/><Relationship Id="rId48" Type="http://schemas.openxmlformats.org/officeDocument/2006/relationships/hyperlink" Target="https://doi.org/10.11606/1807-0205/2021.61.24" TargetMode="External"/><Relationship Id="rId113" Type="http://schemas.openxmlformats.org/officeDocument/2006/relationships/hyperlink" Target="https://doi.org/10.1038/s41597-023-02472-w" TargetMode="External"/><Relationship Id="rId320" Type="http://schemas.openxmlformats.org/officeDocument/2006/relationships/hyperlink" Target="https://doi.org/10.1038/s41597-023-02157-4" TargetMode="External"/><Relationship Id="rId155" Type="http://schemas.openxmlformats.org/officeDocument/2006/relationships/hyperlink" Target="https://doi.org/10.1038/s41597-023-02472-w" TargetMode="External"/><Relationship Id="rId197" Type="http://schemas.openxmlformats.org/officeDocument/2006/relationships/hyperlink" Target="https://doi.org/10.1038/s41597-023-02472-w" TargetMode="External"/><Relationship Id="rId362" Type="http://schemas.openxmlformats.org/officeDocument/2006/relationships/hyperlink" Target="https://doi.org/10.1890/15-0846R.1" TargetMode="External"/><Relationship Id="rId418" Type="http://schemas.openxmlformats.org/officeDocument/2006/relationships/hyperlink" Target="https://doi.org/10.1046/j.1474-9728.2002.00020.x" TargetMode="External"/><Relationship Id="rId222" Type="http://schemas.openxmlformats.org/officeDocument/2006/relationships/hyperlink" Target="https://doi.org/10.1038/s41597-023-02157-4" TargetMode="External"/><Relationship Id="rId264" Type="http://schemas.openxmlformats.org/officeDocument/2006/relationships/hyperlink" Target="https://doi.org/10.1038/s41597-023-02157-4" TargetMode="External"/><Relationship Id="rId17" Type="http://schemas.openxmlformats.org/officeDocument/2006/relationships/hyperlink" Target="https://doi.org/10.11606/1807-0205/2021.61.24" TargetMode="External"/><Relationship Id="rId59" Type="http://schemas.openxmlformats.org/officeDocument/2006/relationships/hyperlink" Target="https://doi.org/10.1002/ecy.3344" TargetMode="External"/><Relationship Id="rId124" Type="http://schemas.openxmlformats.org/officeDocument/2006/relationships/hyperlink" Target="https://doi.org/10.1038/s41597-023-02472-w"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doi.org/10.1038/s41597-023-02472-w" TargetMode="External"/><Relationship Id="rId299" Type="http://schemas.openxmlformats.org/officeDocument/2006/relationships/hyperlink" Target="https://doi.org/10.1038/s41597-023-02157-4" TargetMode="External"/><Relationship Id="rId21" Type="http://schemas.openxmlformats.org/officeDocument/2006/relationships/hyperlink" Target="https://doi.org/10.11606/1807-0205/2021.61.24" TargetMode="External"/><Relationship Id="rId63" Type="http://schemas.openxmlformats.org/officeDocument/2006/relationships/hyperlink" Target="https://doi.org/10.1002/ecy.3344" TargetMode="External"/><Relationship Id="rId159" Type="http://schemas.openxmlformats.org/officeDocument/2006/relationships/hyperlink" Target="https://doi.org/10.1038/s41597-023-02472-w" TargetMode="External"/><Relationship Id="rId324" Type="http://schemas.openxmlformats.org/officeDocument/2006/relationships/hyperlink" Target="https://doi.org/10.1038/s41597-023-02157-4" TargetMode="External"/><Relationship Id="rId366" Type="http://schemas.openxmlformats.org/officeDocument/2006/relationships/hyperlink" Target="https://doi.org/10.1890/15-0846R.1" TargetMode="External"/><Relationship Id="rId170" Type="http://schemas.openxmlformats.org/officeDocument/2006/relationships/hyperlink" Target="https://doi.org/10.1038/s41597-023-02472-w" TargetMode="External"/><Relationship Id="rId226" Type="http://schemas.openxmlformats.org/officeDocument/2006/relationships/hyperlink" Target="https://doi.org/10.1038/s41597-023-02157-4" TargetMode="External"/><Relationship Id="rId268" Type="http://schemas.openxmlformats.org/officeDocument/2006/relationships/hyperlink" Target="https://doi.org/10.1038/s41597-023-02157-4" TargetMode="External"/><Relationship Id="rId32" Type="http://schemas.openxmlformats.org/officeDocument/2006/relationships/hyperlink" Target="https://doi.org/10.11606/1807-0205/2021.61.24" TargetMode="External"/><Relationship Id="rId74" Type="http://schemas.openxmlformats.org/officeDocument/2006/relationships/hyperlink" Target="https://doi.org/10.1002/ecy.3344" TargetMode="External"/><Relationship Id="rId128" Type="http://schemas.openxmlformats.org/officeDocument/2006/relationships/hyperlink" Target="https://doi.org/10.1038/s41597-023-02472-w" TargetMode="External"/><Relationship Id="rId335" Type="http://schemas.openxmlformats.org/officeDocument/2006/relationships/hyperlink" Target="https://doi.org/10.1111/mam.12270" TargetMode="External"/><Relationship Id="rId377" Type="http://schemas.openxmlformats.org/officeDocument/2006/relationships/hyperlink" Target="https://doi.org/10.1038/s41597-022-01234-4" TargetMode="External"/><Relationship Id="rId5" Type="http://schemas.openxmlformats.org/officeDocument/2006/relationships/hyperlink" Target="https://doi.org/10.11606/1807-0205/2021.61.24" TargetMode="External"/><Relationship Id="rId181" Type="http://schemas.openxmlformats.org/officeDocument/2006/relationships/hyperlink" Target="https://doi.org/10.1038/s41597-023-02472-w" TargetMode="External"/><Relationship Id="rId237" Type="http://schemas.openxmlformats.org/officeDocument/2006/relationships/hyperlink" Target="https://doi.org/10.1038/s41597-023-02157-4" TargetMode="External"/><Relationship Id="rId402" Type="http://schemas.openxmlformats.org/officeDocument/2006/relationships/hyperlink" Target="https://doi.org/10.1038/s41597-022-01234-4" TargetMode="External"/><Relationship Id="rId279" Type="http://schemas.openxmlformats.org/officeDocument/2006/relationships/hyperlink" Target="https://doi.org/10.1038/s41597-023-02157-4" TargetMode="External"/><Relationship Id="rId43" Type="http://schemas.openxmlformats.org/officeDocument/2006/relationships/hyperlink" Target="https://doi.org/10.11606/1807-0205/2021.61.24" TargetMode="External"/><Relationship Id="rId139" Type="http://schemas.openxmlformats.org/officeDocument/2006/relationships/hyperlink" Target="https://doi.org/10.1038/s41597-023-02472-w" TargetMode="External"/><Relationship Id="rId290" Type="http://schemas.openxmlformats.org/officeDocument/2006/relationships/hyperlink" Target="https://doi.org/10.1038/s41597-023-02157-4" TargetMode="External"/><Relationship Id="rId304" Type="http://schemas.openxmlformats.org/officeDocument/2006/relationships/hyperlink" Target="https://doi.org/10.1038/s41597-023-02157-4" TargetMode="External"/><Relationship Id="rId346" Type="http://schemas.openxmlformats.org/officeDocument/2006/relationships/hyperlink" Target="https://doi.org/10.1890/15-0846R.1" TargetMode="External"/><Relationship Id="rId388" Type="http://schemas.openxmlformats.org/officeDocument/2006/relationships/hyperlink" Target="https://doi.org/10.1038/s41597-022-01234-4" TargetMode="External"/><Relationship Id="rId85" Type="http://schemas.openxmlformats.org/officeDocument/2006/relationships/hyperlink" Target="https://doi.org/10.1002/ecy.3344" TargetMode="External"/><Relationship Id="rId150" Type="http://schemas.openxmlformats.org/officeDocument/2006/relationships/hyperlink" Target="https://doi.org/10.1038/s41597-023-02472-w" TargetMode="External"/><Relationship Id="rId192" Type="http://schemas.openxmlformats.org/officeDocument/2006/relationships/hyperlink" Target="https://doi.org/10.1038/s41597-023-02472-w" TargetMode="External"/><Relationship Id="rId206" Type="http://schemas.openxmlformats.org/officeDocument/2006/relationships/hyperlink" Target="https://doi.org/10.1038/s41597-023-02472-w" TargetMode="External"/><Relationship Id="rId413" Type="http://schemas.openxmlformats.org/officeDocument/2006/relationships/hyperlink" Target="https://doi.org/10.1046/j.1474-9728.2002.00020.x" TargetMode="External"/><Relationship Id="rId248" Type="http://schemas.openxmlformats.org/officeDocument/2006/relationships/hyperlink" Target="https://doi.org/10.1038/s41597-023-02157-4" TargetMode="External"/><Relationship Id="rId12" Type="http://schemas.openxmlformats.org/officeDocument/2006/relationships/hyperlink" Target="https://doi.org/10.11606/1807-0205/2021.61.24" TargetMode="External"/><Relationship Id="rId108" Type="http://schemas.openxmlformats.org/officeDocument/2006/relationships/hyperlink" Target="https://doi.org/10.1038/s41597-023-02472-w" TargetMode="External"/><Relationship Id="rId315" Type="http://schemas.openxmlformats.org/officeDocument/2006/relationships/hyperlink" Target="https://doi.org/10.1038/s41597-023-02157-4" TargetMode="External"/><Relationship Id="rId357" Type="http://schemas.openxmlformats.org/officeDocument/2006/relationships/hyperlink" Target="https://doi.org/10.1890/15-0846R.1" TargetMode="External"/><Relationship Id="rId54" Type="http://schemas.openxmlformats.org/officeDocument/2006/relationships/hyperlink" Target="https://doi.org/10.1002/ecy.3344" TargetMode="External"/><Relationship Id="rId96" Type="http://schemas.openxmlformats.org/officeDocument/2006/relationships/hyperlink" Target="https://doi.org/10.1002/ecy.3344" TargetMode="External"/><Relationship Id="rId161" Type="http://schemas.openxmlformats.org/officeDocument/2006/relationships/hyperlink" Target="https://doi.org/10.1038/s41597-023-02472-w" TargetMode="External"/><Relationship Id="rId217" Type="http://schemas.openxmlformats.org/officeDocument/2006/relationships/hyperlink" Target="https://doi.org/10.1038/s41597-023-02157-4" TargetMode="External"/><Relationship Id="rId399" Type="http://schemas.openxmlformats.org/officeDocument/2006/relationships/hyperlink" Target="https://doi.org/10.1038/s41597-022-01234-4" TargetMode="External"/><Relationship Id="rId259" Type="http://schemas.openxmlformats.org/officeDocument/2006/relationships/hyperlink" Target="https://doi.org/10.1038/s41597-023-02157-4" TargetMode="External"/><Relationship Id="rId424" Type="http://schemas.openxmlformats.org/officeDocument/2006/relationships/hyperlink" Target="https://doi.org/10.1038/s41597-022-01364-9" TargetMode="External"/><Relationship Id="rId23" Type="http://schemas.openxmlformats.org/officeDocument/2006/relationships/hyperlink" Target="https://doi.org/10.11606/1807-0205/2021.61.24" TargetMode="External"/><Relationship Id="rId119" Type="http://schemas.openxmlformats.org/officeDocument/2006/relationships/hyperlink" Target="https://doi.org/10.1038/s41597-023-02472-w" TargetMode="External"/><Relationship Id="rId270" Type="http://schemas.openxmlformats.org/officeDocument/2006/relationships/hyperlink" Target="https://doi.org/10.1038/s41597-023-02157-4" TargetMode="External"/><Relationship Id="rId326" Type="http://schemas.openxmlformats.org/officeDocument/2006/relationships/hyperlink" Target="https://doi.org/10.1038/s41597-023-02157-4" TargetMode="External"/><Relationship Id="rId65" Type="http://schemas.openxmlformats.org/officeDocument/2006/relationships/hyperlink" Target="https://doi.org/10.1002/ecy.3344" TargetMode="External"/><Relationship Id="rId130" Type="http://schemas.openxmlformats.org/officeDocument/2006/relationships/hyperlink" Target="https://doi.org/10.1038/s41597-023-02472-w" TargetMode="External"/><Relationship Id="rId368" Type="http://schemas.openxmlformats.org/officeDocument/2006/relationships/hyperlink" Target="https://doi.org/10.1002/ecy.2106" TargetMode="External"/><Relationship Id="rId172" Type="http://schemas.openxmlformats.org/officeDocument/2006/relationships/hyperlink" Target="https://doi.org/10.1038/s41597-023-02472-w" TargetMode="External"/><Relationship Id="rId228" Type="http://schemas.openxmlformats.org/officeDocument/2006/relationships/hyperlink" Target="https://doi.org/10.1038/s41597-023-02157-4" TargetMode="External"/><Relationship Id="rId281" Type="http://schemas.openxmlformats.org/officeDocument/2006/relationships/hyperlink" Target="https://doi.org/10.1038/s41597-023-02157-4" TargetMode="External"/><Relationship Id="rId337" Type="http://schemas.openxmlformats.org/officeDocument/2006/relationships/hyperlink" Target="https://doi.org/10.1111/mam.12270" TargetMode="External"/><Relationship Id="rId34" Type="http://schemas.openxmlformats.org/officeDocument/2006/relationships/hyperlink" Target="https://doi.org/10.11606/1807-0205/2021.61.24" TargetMode="External"/><Relationship Id="rId76" Type="http://schemas.openxmlformats.org/officeDocument/2006/relationships/hyperlink" Target="https://doi.org/10.1002/ecy.3344" TargetMode="External"/><Relationship Id="rId141" Type="http://schemas.openxmlformats.org/officeDocument/2006/relationships/hyperlink" Target="https://doi.org/10.1038/s41597-023-02472-w" TargetMode="External"/><Relationship Id="rId379" Type="http://schemas.openxmlformats.org/officeDocument/2006/relationships/hyperlink" Target="https://doi.org/10.1038/s41597-022-01234-4" TargetMode="External"/><Relationship Id="rId7" Type="http://schemas.openxmlformats.org/officeDocument/2006/relationships/hyperlink" Target="https://doi.org/10.11606/1807-0205/2021.61.24" TargetMode="External"/><Relationship Id="rId183" Type="http://schemas.openxmlformats.org/officeDocument/2006/relationships/hyperlink" Target="https://doi.org/10.1038/s41597-023-02472-w" TargetMode="External"/><Relationship Id="rId239" Type="http://schemas.openxmlformats.org/officeDocument/2006/relationships/hyperlink" Target="https://doi.org/10.1038/s41597-023-02157-4" TargetMode="External"/><Relationship Id="rId390" Type="http://schemas.openxmlformats.org/officeDocument/2006/relationships/hyperlink" Target="https://doi.org/10.1038/s41597-022-01234-4" TargetMode="External"/><Relationship Id="rId404" Type="http://schemas.openxmlformats.org/officeDocument/2006/relationships/hyperlink" Target="https://doi.org/10.1038/s41597-022-01234-4" TargetMode="External"/><Relationship Id="rId250" Type="http://schemas.openxmlformats.org/officeDocument/2006/relationships/hyperlink" Target="https://doi.org/10.1038/s41597-023-02157-4" TargetMode="External"/><Relationship Id="rId292" Type="http://schemas.openxmlformats.org/officeDocument/2006/relationships/hyperlink" Target="https://doi.org/10.1038/s41597-023-02157-4" TargetMode="External"/><Relationship Id="rId306" Type="http://schemas.openxmlformats.org/officeDocument/2006/relationships/hyperlink" Target="https://doi.org/10.1038/s41597-023-02157-4" TargetMode="External"/><Relationship Id="rId45" Type="http://schemas.openxmlformats.org/officeDocument/2006/relationships/hyperlink" Target="https://doi.org/10.11606/1807-0205/2021.61.24" TargetMode="External"/><Relationship Id="rId87" Type="http://schemas.openxmlformats.org/officeDocument/2006/relationships/hyperlink" Target="https://doi.org/10.1002/ecy.3344" TargetMode="External"/><Relationship Id="rId110" Type="http://schemas.openxmlformats.org/officeDocument/2006/relationships/hyperlink" Target="https://doi.org/10.1038/s41597-023-02472-w" TargetMode="External"/><Relationship Id="rId348" Type="http://schemas.openxmlformats.org/officeDocument/2006/relationships/hyperlink" Target="https://doi.org/10.1890/15-0846R.1" TargetMode="External"/><Relationship Id="rId152" Type="http://schemas.openxmlformats.org/officeDocument/2006/relationships/hyperlink" Target="https://doi.org/10.1038/s41597-023-02472-w" TargetMode="External"/><Relationship Id="rId194" Type="http://schemas.openxmlformats.org/officeDocument/2006/relationships/hyperlink" Target="https://doi.org/10.1038/s41597-023-02472-w" TargetMode="External"/><Relationship Id="rId208" Type="http://schemas.openxmlformats.org/officeDocument/2006/relationships/hyperlink" Target="https://doi.org/10.1038/s41597-023-02472-w" TargetMode="External"/><Relationship Id="rId415" Type="http://schemas.openxmlformats.org/officeDocument/2006/relationships/hyperlink" Target="https://doi.org/10.1046/j.1474-9728.2002.00020.x" TargetMode="External"/><Relationship Id="rId261" Type="http://schemas.openxmlformats.org/officeDocument/2006/relationships/hyperlink" Target="https://doi.org/10.1038/s41597-023-02157-4" TargetMode="External"/><Relationship Id="rId14" Type="http://schemas.openxmlformats.org/officeDocument/2006/relationships/hyperlink" Target="https://doi.org/10.11606/1807-0205/2021.61.24" TargetMode="External"/><Relationship Id="rId56" Type="http://schemas.openxmlformats.org/officeDocument/2006/relationships/hyperlink" Target="https://doi.org/10.1002/ecy.3344" TargetMode="External"/><Relationship Id="rId317" Type="http://schemas.openxmlformats.org/officeDocument/2006/relationships/hyperlink" Target="https://doi.org/10.1038/s41597-023-02157-4" TargetMode="External"/><Relationship Id="rId359" Type="http://schemas.openxmlformats.org/officeDocument/2006/relationships/hyperlink" Target="https://doi.org/10.1890/15-0846R.1" TargetMode="External"/><Relationship Id="rId98" Type="http://schemas.openxmlformats.org/officeDocument/2006/relationships/hyperlink" Target="https://doi.org/10.1002/ecy.3344" TargetMode="External"/><Relationship Id="rId121" Type="http://schemas.openxmlformats.org/officeDocument/2006/relationships/hyperlink" Target="https://doi.org/10.1038/s41597-023-02472-w" TargetMode="External"/><Relationship Id="rId163" Type="http://schemas.openxmlformats.org/officeDocument/2006/relationships/hyperlink" Target="https://doi.org/10.1038/s41597-023-02472-w" TargetMode="External"/><Relationship Id="rId219" Type="http://schemas.openxmlformats.org/officeDocument/2006/relationships/hyperlink" Target="https://doi.org/10.1038/s41597-023-02157-4" TargetMode="External"/><Relationship Id="rId370" Type="http://schemas.openxmlformats.org/officeDocument/2006/relationships/hyperlink" Target="https://doi.org/10.1002/ecy.2106" TargetMode="External"/><Relationship Id="rId426" Type="http://schemas.openxmlformats.org/officeDocument/2006/relationships/hyperlink" Target="https://doi.org/10.1038/s41597-022-01364-9" TargetMode="External"/><Relationship Id="rId230" Type="http://schemas.openxmlformats.org/officeDocument/2006/relationships/hyperlink" Target="https://doi.org/10.1038/s41597-023-02157-4" TargetMode="External"/><Relationship Id="rId25" Type="http://schemas.openxmlformats.org/officeDocument/2006/relationships/hyperlink" Target="https://doi.org/10.11606/1807-0205/2021.61.24" TargetMode="External"/><Relationship Id="rId67" Type="http://schemas.openxmlformats.org/officeDocument/2006/relationships/hyperlink" Target="https://doi.org/10.1002/ecy.3344" TargetMode="External"/><Relationship Id="rId272" Type="http://schemas.openxmlformats.org/officeDocument/2006/relationships/hyperlink" Target="https://doi.org/10.1038/s41597-023-02157-4" TargetMode="External"/><Relationship Id="rId328" Type="http://schemas.openxmlformats.org/officeDocument/2006/relationships/hyperlink" Target="https://doi.org/10.1111/mam.12270" TargetMode="External"/><Relationship Id="rId132" Type="http://schemas.openxmlformats.org/officeDocument/2006/relationships/hyperlink" Target="https://doi.org/10.1038/s41597-023-02472-w" TargetMode="External"/><Relationship Id="rId174" Type="http://schemas.openxmlformats.org/officeDocument/2006/relationships/hyperlink" Target="https://doi.org/10.1038/s41597-023-02472-w" TargetMode="External"/><Relationship Id="rId381" Type="http://schemas.openxmlformats.org/officeDocument/2006/relationships/hyperlink" Target="https://doi.org/10.1038/s41597-022-01234-4" TargetMode="External"/><Relationship Id="rId241" Type="http://schemas.openxmlformats.org/officeDocument/2006/relationships/hyperlink" Target="https://doi.org/10.1038/s41597-023-02157-4" TargetMode="External"/><Relationship Id="rId36" Type="http://schemas.openxmlformats.org/officeDocument/2006/relationships/hyperlink" Target="https://doi.org/10.11606/1807-0205/2021.61.24" TargetMode="External"/><Relationship Id="rId283" Type="http://schemas.openxmlformats.org/officeDocument/2006/relationships/hyperlink" Target="https://doi.org/10.1038/s41597-023-02157-4" TargetMode="External"/><Relationship Id="rId339" Type="http://schemas.openxmlformats.org/officeDocument/2006/relationships/hyperlink" Target="https://doi.org/10.1890/15-0846R.1" TargetMode="External"/><Relationship Id="rId78" Type="http://schemas.openxmlformats.org/officeDocument/2006/relationships/hyperlink" Target="https://doi.org/10.1002/ecy.3344" TargetMode="External"/><Relationship Id="rId101" Type="http://schemas.openxmlformats.org/officeDocument/2006/relationships/hyperlink" Target="https://doi.org/10.1002/ecy.3344" TargetMode="External"/><Relationship Id="rId143" Type="http://schemas.openxmlformats.org/officeDocument/2006/relationships/hyperlink" Target="https://doi.org/10.1038/s41597-023-02472-w" TargetMode="External"/><Relationship Id="rId185" Type="http://schemas.openxmlformats.org/officeDocument/2006/relationships/hyperlink" Target="https://doi.org/10.1038/s41597-023-02472-w" TargetMode="External"/><Relationship Id="rId350" Type="http://schemas.openxmlformats.org/officeDocument/2006/relationships/hyperlink" Target="https://doi.org/10.1890/15-0846R.1" TargetMode="External"/><Relationship Id="rId406" Type="http://schemas.openxmlformats.org/officeDocument/2006/relationships/hyperlink" Target="https://doi.org/10.1038/s41597-022-01234-4" TargetMode="External"/><Relationship Id="rId9" Type="http://schemas.openxmlformats.org/officeDocument/2006/relationships/hyperlink" Target="https://doi.org/10.11606/1807-0205/2021.61.24" TargetMode="External"/><Relationship Id="rId210" Type="http://schemas.openxmlformats.org/officeDocument/2006/relationships/hyperlink" Target="https://doi.org/10.1038/s41597-023-02157-4" TargetMode="External"/><Relationship Id="rId392" Type="http://schemas.openxmlformats.org/officeDocument/2006/relationships/hyperlink" Target="https://doi.org/10.1038/s41597-022-01234-4" TargetMode="External"/><Relationship Id="rId252" Type="http://schemas.openxmlformats.org/officeDocument/2006/relationships/hyperlink" Target="https://doi.org/10.1038/s41597-023-02157-4" TargetMode="External"/><Relationship Id="rId294" Type="http://schemas.openxmlformats.org/officeDocument/2006/relationships/hyperlink" Target="https://doi.org/10.1038/s41597-023-02157-4" TargetMode="External"/><Relationship Id="rId308" Type="http://schemas.openxmlformats.org/officeDocument/2006/relationships/hyperlink" Target="https://doi.org/10.1038/s41597-023-02157-4" TargetMode="External"/><Relationship Id="rId47" Type="http://schemas.openxmlformats.org/officeDocument/2006/relationships/hyperlink" Target="https://doi.org/10.11606/1807-0205/2021.61.24" TargetMode="External"/><Relationship Id="rId89" Type="http://schemas.openxmlformats.org/officeDocument/2006/relationships/hyperlink" Target="https://doi.org/10.1002/ecy.3344" TargetMode="External"/><Relationship Id="rId112" Type="http://schemas.openxmlformats.org/officeDocument/2006/relationships/hyperlink" Target="https://doi.org/10.1038/s41597-023-02472-w" TargetMode="External"/><Relationship Id="rId154" Type="http://schemas.openxmlformats.org/officeDocument/2006/relationships/hyperlink" Target="https://doi.org/10.1038/s41597-023-02472-w" TargetMode="External"/><Relationship Id="rId361" Type="http://schemas.openxmlformats.org/officeDocument/2006/relationships/hyperlink" Target="https://doi.org/10.1890/15-0846R.1" TargetMode="External"/><Relationship Id="rId196" Type="http://schemas.openxmlformats.org/officeDocument/2006/relationships/hyperlink" Target="https://doi.org/10.1038/s41597-023-02472-w" TargetMode="External"/><Relationship Id="rId417" Type="http://schemas.openxmlformats.org/officeDocument/2006/relationships/hyperlink" Target="https://doi.org/10.1046/j.1474-9728.2002.00020.x" TargetMode="External"/><Relationship Id="rId16" Type="http://schemas.openxmlformats.org/officeDocument/2006/relationships/hyperlink" Target="https://doi.org/10.11606/1807-0205/2021.61.24" TargetMode="External"/><Relationship Id="rId221" Type="http://schemas.openxmlformats.org/officeDocument/2006/relationships/hyperlink" Target="https://doi.org/10.1038/s41597-023-02157-4" TargetMode="External"/><Relationship Id="rId263" Type="http://schemas.openxmlformats.org/officeDocument/2006/relationships/hyperlink" Target="https://doi.org/10.1038/s41597-023-02157-4" TargetMode="External"/><Relationship Id="rId319" Type="http://schemas.openxmlformats.org/officeDocument/2006/relationships/hyperlink" Target="https://doi.org/10.1038/s41597-023-02157-4" TargetMode="External"/><Relationship Id="rId58" Type="http://schemas.openxmlformats.org/officeDocument/2006/relationships/hyperlink" Target="https://doi.org/10.1002/ecy.3344" TargetMode="External"/><Relationship Id="rId123" Type="http://schemas.openxmlformats.org/officeDocument/2006/relationships/hyperlink" Target="https://doi.org/10.1038/s41597-023-02472-w" TargetMode="External"/><Relationship Id="rId330" Type="http://schemas.openxmlformats.org/officeDocument/2006/relationships/hyperlink" Target="https://doi.org/10.1111/mam.12270" TargetMode="External"/><Relationship Id="rId165" Type="http://schemas.openxmlformats.org/officeDocument/2006/relationships/hyperlink" Target="https://doi.org/10.1038/s41597-023-02472-w" TargetMode="External"/><Relationship Id="rId372" Type="http://schemas.openxmlformats.org/officeDocument/2006/relationships/hyperlink" Target="https://doi.org/10.1002/ecy.2106" TargetMode="External"/><Relationship Id="rId428" Type="http://schemas.openxmlformats.org/officeDocument/2006/relationships/hyperlink" Target="https://doi.org/10.1038/s41597-022-01364-9" TargetMode="External"/><Relationship Id="rId232" Type="http://schemas.openxmlformats.org/officeDocument/2006/relationships/hyperlink" Target="https://doi.org/10.1038/s41597-023-02157-4" TargetMode="External"/><Relationship Id="rId274" Type="http://schemas.openxmlformats.org/officeDocument/2006/relationships/hyperlink" Target="https://doi.org/10.1038/s41597-023-02157-4" TargetMode="External"/><Relationship Id="rId27" Type="http://schemas.openxmlformats.org/officeDocument/2006/relationships/hyperlink" Target="https://doi.org/10.11606/1807-0205/2021.61.24" TargetMode="External"/><Relationship Id="rId69" Type="http://schemas.openxmlformats.org/officeDocument/2006/relationships/hyperlink" Target="https://doi.org/10.1002/ecy.3344" TargetMode="External"/><Relationship Id="rId134" Type="http://schemas.openxmlformats.org/officeDocument/2006/relationships/hyperlink" Target="https://doi.org/10.1038/s41597-023-02472-w" TargetMode="External"/><Relationship Id="rId80" Type="http://schemas.openxmlformats.org/officeDocument/2006/relationships/hyperlink" Target="https://doi.org/10.1002/ecy.3344" TargetMode="External"/><Relationship Id="rId176" Type="http://schemas.openxmlformats.org/officeDocument/2006/relationships/hyperlink" Target="https://doi.org/10.1038/s41597-023-02472-w" TargetMode="External"/><Relationship Id="rId341" Type="http://schemas.openxmlformats.org/officeDocument/2006/relationships/hyperlink" Target="https://doi.org/10.1890/15-0846R.1" TargetMode="External"/><Relationship Id="rId383" Type="http://schemas.openxmlformats.org/officeDocument/2006/relationships/hyperlink" Target="https://doi.org/10.1038/s41597-022-01234-4" TargetMode="External"/><Relationship Id="rId201" Type="http://schemas.openxmlformats.org/officeDocument/2006/relationships/hyperlink" Target="https://doi.org/10.1038/s41597-023-02472-w" TargetMode="External"/><Relationship Id="rId243" Type="http://schemas.openxmlformats.org/officeDocument/2006/relationships/hyperlink" Target="https://doi.org/10.1038/s41597-023-02157-4" TargetMode="External"/><Relationship Id="rId285" Type="http://schemas.openxmlformats.org/officeDocument/2006/relationships/hyperlink" Target="https://doi.org/10.1038/s41597-023-02157-4" TargetMode="External"/><Relationship Id="rId38" Type="http://schemas.openxmlformats.org/officeDocument/2006/relationships/hyperlink" Target="https://doi.org/10.11606/1807-0205/2021.61.24" TargetMode="External"/><Relationship Id="rId103" Type="http://schemas.openxmlformats.org/officeDocument/2006/relationships/hyperlink" Target="https://doi.org/10.1002/ecy.3344" TargetMode="External"/><Relationship Id="rId310" Type="http://schemas.openxmlformats.org/officeDocument/2006/relationships/hyperlink" Target="https://doi.org/10.1038/s41597-023-02157-4" TargetMode="External"/><Relationship Id="rId70" Type="http://schemas.openxmlformats.org/officeDocument/2006/relationships/hyperlink" Target="https://doi.org/10.1002/ecy.3344" TargetMode="External"/><Relationship Id="rId91" Type="http://schemas.openxmlformats.org/officeDocument/2006/relationships/hyperlink" Target="https://doi.org/10.1002/ecy.3344" TargetMode="External"/><Relationship Id="rId145" Type="http://schemas.openxmlformats.org/officeDocument/2006/relationships/hyperlink" Target="https://doi.org/10.1038/s41597-023-02472-w" TargetMode="External"/><Relationship Id="rId166" Type="http://schemas.openxmlformats.org/officeDocument/2006/relationships/hyperlink" Target="https://doi.org/10.1038/s41597-023-02472-w" TargetMode="External"/><Relationship Id="rId187" Type="http://schemas.openxmlformats.org/officeDocument/2006/relationships/hyperlink" Target="https://doi.org/10.1038/s41597-023-02472-w" TargetMode="External"/><Relationship Id="rId331" Type="http://schemas.openxmlformats.org/officeDocument/2006/relationships/hyperlink" Target="https://doi.org/10.1111/mam.12270" TargetMode="External"/><Relationship Id="rId352" Type="http://schemas.openxmlformats.org/officeDocument/2006/relationships/hyperlink" Target="https://doi.org/10.1890/15-0846R.1" TargetMode="External"/><Relationship Id="rId373" Type="http://schemas.openxmlformats.org/officeDocument/2006/relationships/hyperlink" Target="https://doi.org/10.1002/ecy.2106" TargetMode="External"/><Relationship Id="rId394" Type="http://schemas.openxmlformats.org/officeDocument/2006/relationships/hyperlink" Target="https://doi.org/10.1038/s41597-022-01234-4" TargetMode="External"/><Relationship Id="rId408" Type="http://schemas.openxmlformats.org/officeDocument/2006/relationships/hyperlink" Target="https://doi.org/10.1038/s41597-022-01234-4" TargetMode="External"/><Relationship Id="rId1" Type="http://schemas.openxmlformats.org/officeDocument/2006/relationships/hyperlink" Target="https://doi.org/10.11606/1807-0205/2021.61.24" TargetMode="External"/><Relationship Id="rId212" Type="http://schemas.openxmlformats.org/officeDocument/2006/relationships/hyperlink" Target="https://doi.org/10.1038/s41597-023-02157-4" TargetMode="External"/><Relationship Id="rId233" Type="http://schemas.openxmlformats.org/officeDocument/2006/relationships/hyperlink" Target="https://doi.org/10.1038/s41597-023-02157-4" TargetMode="External"/><Relationship Id="rId254" Type="http://schemas.openxmlformats.org/officeDocument/2006/relationships/hyperlink" Target="https://doi.org/10.1038/s41597-023-02157-4" TargetMode="External"/><Relationship Id="rId28" Type="http://schemas.openxmlformats.org/officeDocument/2006/relationships/hyperlink" Target="https://doi.org/10.11606/1807-0205/2021.61.24" TargetMode="External"/><Relationship Id="rId49" Type="http://schemas.openxmlformats.org/officeDocument/2006/relationships/hyperlink" Target="https://doi.org/10.11606/1807-0205/2021.61.24" TargetMode="External"/><Relationship Id="rId114" Type="http://schemas.openxmlformats.org/officeDocument/2006/relationships/hyperlink" Target="https://doi.org/10.1038/s41597-023-02472-w" TargetMode="External"/><Relationship Id="rId275" Type="http://schemas.openxmlformats.org/officeDocument/2006/relationships/hyperlink" Target="https://doi.org/10.1038/s41597-023-02157-4" TargetMode="External"/><Relationship Id="rId296" Type="http://schemas.openxmlformats.org/officeDocument/2006/relationships/hyperlink" Target="https://doi.org/10.1038/s41597-023-02157-4" TargetMode="External"/><Relationship Id="rId300" Type="http://schemas.openxmlformats.org/officeDocument/2006/relationships/hyperlink" Target="https://doi.org/10.1038/s41597-023-02157-4" TargetMode="External"/><Relationship Id="rId60" Type="http://schemas.openxmlformats.org/officeDocument/2006/relationships/hyperlink" Target="https://doi.org/10.1002/ecy.3344" TargetMode="External"/><Relationship Id="rId81" Type="http://schemas.openxmlformats.org/officeDocument/2006/relationships/hyperlink" Target="https://doi.org/10.1002/ecy.3344" TargetMode="External"/><Relationship Id="rId135" Type="http://schemas.openxmlformats.org/officeDocument/2006/relationships/hyperlink" Target="https://doi.org/10.1038/s41597-023-02472-w" TargetMode="External"/><Relationship Id="rId156" Type="http://schemas.openxmlformats.org/officeDocument/2006/relationships/hyperlink" Target="https://doi.org/10.1038/s41597-023-02472-w" TargetMode="External"/><Relationship Id="rId177" Type="http://schemas.openxmlformats.org/officeDocument/2006/relationships/hyperlink" Target="https://doi.org/10.1038/s41597-023-02472-w" TargetMode="External"/><Relationship Id="rId198" Type="http://schemas.openxmlformats.org/officeDocument/2006/relationships/hyperlink" Target="https://doi.org/10.1038/s41597-023-02472-w" TargetMode="External"/><Relationship Id="rId321" Type="http://schemas.openxmlformats.org/officeDocument/2006/relationships/hyperlink" Target="https://doi.org/10.1038/s41597-023-02157-4" TargetMode="External"/><Relationship Id="rId342" Type="http://schemas.openxmlformats.org/officeDocument/2006/relationships/hyperlink" Target="https://doi.org/10.1890/15-0846R.1" TargetMode="External"/><Relationship Id="rId363" Type="http://schemas.openxmlformats.org/officeDocument/2006/relationships/hyperlink" Target="https://doi.org/10.1890/15-0846R.1" TargetMode="External"/><Relationship Id="rId384" Type="http://schemas.openxmlformats.org/officeDocument/2006/relationships/hyperlink" Target="https://doi.org/10.1038/s41597-022-01234-4" TargetMode="External"/><Relationship Id="rId419" Type="http://schemas.openxmlformats.org/officeDocument/2006/relationships/hyperlink" Target="https://doi.org/10.1046/j.1474-9728.2002.00020.x" TargetMode="External"/><Relationship Id="rId202" Type="http://schemas.openxmlformats.org/officeDocument/2006/relationships/hyperlink" Target="https://doi.org/10.1038/s41597-023-02472-w" TargetMode="External"/><Relationship Id="rId223" Type="http://schemas.openxmlformats.org/officeDocument/2006/relationships/hyperlink" Target="https://doi.org/10.1038/s41597-023-02157-4" TargetMode="External"/><Relationship Id="rId244" Type="http://schemas.openxmlformats.org/officeDocument/2006/relationships/hyperlink" Target="https://doi.org/10.1038/s41597-023-02157-4" TargetMode="External"/><Relationship Id="rId18" Type="http://schemas.openxmlformats.org/officeDocument/2006/relationships/hyperlink" Target="https://doi.org/10.11606/1807-0205/2021.61.24" TargetMode="External"/><Relationship Id="rId39" Type="http://schemas.openxmlformats.org/officeDocument/2006/relationships/hyperlink" Target="https://doi.org/10.11606/1807-0205/2021.61.24" TargetMode="External"/><Relationship Id="rId265" Type="http://schemas.openxmlformats.org/officeDocument/2006/relationships/hyperlink" Target="https://doi.org/10.1038/s41597-023-02157-4" TargetMode="External"/><Relationship Id="rId286" Type="http://schemas.openxmlformats.org/officeDocument/2006/relationships/hyperlink" Target="https://doi.org/10.1038/s41597-023-02157-4" TargetMode="External"/><Relationship Id="rId50" Type="http://schemas.openxmlformats.org/officeDocument/2006/relationships/hyperlink" Target="https://doi.org/10.11606/1807-0205/2021.61.24" TargetMode="External"/><Relationship Id="rId104" Type="http://schemas.openxmlformats.org/officeDocument/2006/relationships/hyperlink" Target="https://doi.org/10.1002/ecy.3344" TargetMode="External"/><Relationship Id="rId125" Type="http://schemas.openxmlformats.org/officeDocument/2006/relationships/hyperlink" Target="https://doi.org/10.1038/s41597-023-02472-w" TargetMode="External"/><Relationship Id="rId146" Type="http://schemas.openxmlformats.org/officeDocument/2006/relationships/hyperlink" Target="https://doi.org/10.1038/s41597-023-02472-w" TargetMode="External"/><Relationship Id="rId167" Type="http://schemas.openxmlformats.org/officeDocument/2006/relationships/hyperlink" Target="https://doi.org/10.1038/s41597-023-02472-w" TargetMode="External"/><Relationship Id="rId188" Type="http://schemas.openxmlformats.org/officeDocument/2006/relationships/hyperlink" Target="https://doi.org/10.1038/s41597-023-02472-w" TargetMode="External"/><Relationship Id="rId311" Type="http://schemas.openxmlformats.org/officeDocument/2006/relationships/hyperlink" Target="https://doi.org/10.1038/s41597-023-02157-4" TargetMode="External"/><Relationship Id="rId332" Type="http://schemas.openxmlformats.org/officeDocument/2006/relationships/hyperlink" Target="https://doi.org/10.1111/mam.12270" TargetMode="External"/><Relationship Id="rId353" Type="http://schemas.openxmlformats.org/officeDocument/2006/relationships/hyperlink" Target="https://doi.org/10.1890/15-0846R.1" TargetMode="External"/><Relationship Id="rId374" Type="http://schemas.openxmlformats.org/officeDocument/2006/relationships/hyperlink" Target="https://doi.org/10.1002/ecy.2106" TargetMode="External"/><Relationship Id="rId395" Type="http://schemas.openxmlformats.org/officeDocument/2006/relationships/hyperlink" Target="https://doi.org/10.1038/s41597-022-01234-4" TargetMode="External"/><Relationship Id="rId409" Type="http://schemas.openxmlformats.org/officeDocument/2006/relationships/hyperlink" Target="https://doi.org/10.1038/s41597-022-01234-4" TargetMode="External"/><Relationship Id="rId71" Type="http://schemas.openxmlformats.org/officeDocument/2006/relationships/hyperlink" Target="https://doi.org/10.1002/ecy.3344" TargetMode="External"/><Relationship Id="rId92" Type="http://schemas.openxmlformats.org/officeDocument/2006/relationships/hyperlink" Target="https://doi.org/10.1002/ecy.3344" TargetMode="External"/><Relationship Id="rId213" Type="http://schemas.openxmlformats.org/officeDocument/2006/relationships/hyperlink" Target="https://doi.org/10.1038/s41597-023-02157-4" TargetMode="External"/><Relationship Id="rId234" Type="http://schemas.openxmlformats.org/officeDocument/2006/relationships/hyperlink" Target="https://doi.org/10.1038/s41597-023-02157-4" TargetMode="External"/><Relationship Id="rId420" Type="http://schemas.openxmlformats.org/officeDocument/2006/relationships/hyperlink" Target="https://doi.org/10.1038/s41597-022-01364-9" TargetMode="External"/><Relationship Id="rId2" Type="http://schemas.openxmlformats.org/officeDocument/2006/relationships/hyperlink" Target="https://doi.org/10.11606/1807-0205/2021.61.24" TargetMode="External"/><Relationship Id="rId29" Type="http://schemas.openxmlformats.org/officeDocument/2006/relationships/hyperlink" Target="https://doi.org/10.11606/1807-0205/2021.61.24" TargetMode="External"/><Relationship Id="rId255" Type="http://schemas.openxmlformats.org/officeDocument/2006/relationships/hyperlink" Target="https://doi.org/10.1038/s41597-023-02157-4" TargetMode="External"/><Relationship Id="rId276" Type="http://schemas.openxmlformats.org/officeDocument/2006/relationships/hyperlink" Target="https://doi.org/10.1038/s41597-023-02157-4" TargetMode="External"/><Relationship Id="rId297" Type="http://schemas.openxmlformats.org/officeDocument/2006/relationships/hyperlink" Target="https://doi.org/10.1038/s41597-023-02157-4" TargetMode="External"/><Relationship Id="rId40" Type="http://schemas.openxmlformats.org/officeDocument/2006/relationships/hyperlink" Target="https://doi.org/10.11606/1807-0205/2021.61.24" TargetMode="External"/><Relationship Id="rId115" Type="http://schemas.openxmlformats.org/officeDocument/2006/relationships/hyperlink" Target="https://doi.org/10.1038/s41597-023-02472-w" TargetMode="External"/><Relationship Id="rId136" Type="http://schemas.openxmlformats.org/officeDocument/2006/relationships/hyperlink" Target="https://doi.org/10.1038/s41597-023-02472-w" TargetMode="External"/><Relationship Id="rId157" Type="http://schemas.openxmlformats.org/officeDocument/2006/relationships/hyperlink" Target="https://doi.org/10.1038/s41597-023-02472-w" TargetMode="External"/><Relationship Id="rId178" Type="http://schemas.openxmlformats.org/officeDocument/2006/relationships/hyperlink" Target="https://doi.org/10.1038/s41597-023-02472-w" TargetMode="External"/><Relationship Id="rId301" Type="http://schemas.openxmlformats.org/officeDocument/2006/relationships/hyperlink" Target="https://doi.org/10.1038/s41597-023-02157-4" TargetMode="External"/><Relationship Id="rId322" Type="http://schemas.openxmlformats.org/officeDocument/2006/relationships/hyperlink" Target="https://doi.org/10.1038/s41597-023-02157-4" TargetMode="External"/><Relationship Id="rId343" Type="http://schemas.openxmlformats.org/officeDocument/2006/relationships/hyperlink" Target="https://doi.org/10.1890/15-0846R.1" TargetMode="External"/><Relationship Id="rId364" Type="http://schemas.openxmlformats.org/officeDocument/2006/relationships/hyperlink" Target="https://doi.org/10.1890/15-0846R.1" TargetMode="External"/><Relationship Id="rId61" Type="http://schemas.openxmlformats.org/officeDocument/2006/relationships/hyperlink" Target="https://doi.org/10.1002/ecy.3344" TargetMode="External"/><Relationship Id="rId82" Type="http://schemas.openxmlformats.org/officeDocument/2006/relationships/hyperlink" Target="https://doi.org/10.1002/ecy.3344" TargetMode="External"/><Relationship Id="rId199" Type="http://schemas.openxmlformats.org/officeDocument/2006/relationships/hyperlink" Target="https://doi.org/10.1038/s41597-023-02472-w" TargetMode="External"/><Relationship Id="rId203" Type="http://schemas.openxmlformats.org/officeDocument/2006/relationships/hyperlink" Target="https://doi.org/10.1038/s41597-023-02472-w" TargetMode="External"/><Relationship Id="rId385" Type="http://schemas.openxmlformats.org/officeDocument/2006/relationships/hyperlink" Target="https://doi.org/10.1038/s41597-022-01234-4" TargetMode="External"/><Relationship Id="rId19" Type="http://schemas.openxmlformats.org/officeDocument/2006/relationships/hyperlink" Target="https://doi.org/10.11606/1807-0205/2021.61.24" TargetMode="External"/><Relationship Id="rId224" Type="http://schemas.openxmlformats.org/officeDocument/2006/relationships/hyperlink" Target="https://doi.org/10.1038/s41597-023-02157-4" TargetMode="External"/><Relationship Id="rId245" Type="http://schemas.openxmlformats.org/officeDocument/2006/relationships/hyperlink" Target="https://doi.org/10.1038/s41597-023-02157-4" TargetMode="External"/><Relationship Id="rId266" Type="http://schemas.openxmlformats.org/officeDocument/2006/relationships/hyperlink" Target="https://doi.org/10.1038/s41597-023-02157-4" TargetMode="External"/><Relationship Id="rId287" Type="http://schemas.openxmlformats.org/officeDocument/2006/relationships/hyperlink" Target="https://doi.org/10.1038/s41597-023-02157-4" TargetMode="External"/><Relationship Id="rId410" Type="http://schemas.openxmlformats.org/officeDocument/2006/relationships/hyperlink" Target="https://doi.org/10.1038/s41597-022-01234-4" TargetMode="External"/><Relationship Id="rId30" Type="http://schemas.openxmlformats.org/officeDocument/2006/relationships/hyperlink" Target="https://doi.org/10.11606/1807-0205/2021.61.24" TargetMode="External"/><Relationship Id="rId105" Type="http://schemas.openxmlformats.org/officeDocument/2006/relationships/hyperlink" Target="https://doi.org/10.1038/s41597-023-02472-w" TargetMode="External"/><Relationship Id="rId126" Type="http://schemas.openxmlformats.org/officeDocument/2006/relationships/hyperlink" Target="https://doi.org/10.1038/s41597-023-02472-w" TargetMode="External"/><Relationship Id="rId147" Type="http://schemas.openxmlformats.org/officeDocument/2006/relationships/hyperlink" Target="https://doi.org/10.1038/s41597-023-02472-w" TargetMode="External"/><Relationship Id="rId168" Type="http://schemas.openxmlformats.org/officeDocument/2006/relationships/hyperlink" Target="https://doi.org/10.1038/s41597-023-02472-w" TargetMode="External"/><Relationship Id="rId312" Type="http://schemas.openxmlformats.org/officeDocument/2006/relationships/hyperlink" Target="https://doi.org/10.1038/s41597-023-02157-4" TargetMode="External"/><Relationship Id="rId333" Type="http://schemas.openxmlformats.org/officeDocument/2006/relationships/hyperlink" Target="https://doi.org/10.1111/mam.12270" TargetMode="External"/><Relationship Id="rId354" Type="http://schemas.openxmlformats.org/officeDocument/2006/relationships/hyperlink" Target="https://doi.org/10.1890/15-0846R.1" TargetMode="External"/><Relationship Id="rId51" Type="http://schemas.openxmlformats.org/officeDocument/2006/relationships/hyperlink" Target="https://doi.org/10.1002/ecy.3344" TargetMode="External"/><Relationship Id="rId72" Type="http://schemas.openxmlformats.org/officeDocument/2006/relationships/hyperlink" Target="https://doi.org/10.1002/ecy.3344" TargetMode="External"/><Relationship Id="rId93" Type="http://schemas.openxmlformats.org/officeDocument/2006/relationships/hyperlink" Target="https://doi.org/10.1002/ecy.3344" TargetMode="External"/><Relationship Id="rId189" Type="http://schemas.openxmlformats.org/officeDocument/2006/relationships/hyperlink" Target="https://doi.org/10.1038/s41597-023-02472-w" TargetMode="External"/><Relationship Id="rId375" Type="http://schemas.openxmlformats.org/officeDocument/2006/relationships/hyperlink" Target="https://doi.org/10.1038/s41597-022-01234-4" TargetMode="External"/><Relationship Id="rId396" Type="http://schemas.openxmlformats.org/officeDocument/2006/relationships/hyperlink" Target="https://doi.org/10.1038/s41597-022-01234-4" TargetMode="External"/><Relationship Id="rId3" Type="http://schemas.openxmlformats.org/officeDocument/2006/relationships/hyperlink" Target="https://doi.org/10.11606/1807-0205/2021.61.24" TargetMode="External"/><Relationship Id="rId214" Type="http://schemas.openxmlformats.org/officeDocument/2006/relationships/hyperlink" Target="https://doi.org/10.1038/s41597-023-02157-4" TargetMode="External"/><Relationship Id="rId235" Type="http://schemas.openxmlformats.org/officeDocument/2006/relationships/hyperlink" Target="https://doi.org/10.1038/s41597-023-02157-4" TargetMode="External"/><Relationship Id="rId256" Type="http://schemas.openxmlformats.org/officeDocument/2006/relationships/hyperlink" Target="https://doi.org/10.1038/s41597-023-02157-4" TargetMode="External"/><Relationship Id="rId277" Type="http://schemas.openxmlformats.org/officeDocument/2006/relationships/hyperlink" Target="https://doi.org/10.1038/s41597-023-02157-4" TargetMode="External"/><Relationship Id="rId298" Type="http://schemas.openxmlformats.org/officeDocument/2006/relationships/hyperlink" Target="https://doi.org/10.1038/s41597-023-02157-4" TargetMode="External"/><Relationship Id="rId400" Type="http://schemas.openxmlformats.org/officeDocument/2006/relationships/hyperlink" Target="https://doi.org/10.1038/s41597-022-01234-4" TargetMode="External"/><Relationship Id="rId421" Type="http://schemas.openxmlformats.org/officeDocument/2006/relationships/hyperlink" Target="https://doi.org/10.1038/s41597-022-01364-9" TargetMode="External"/><Relationship Id="rId116" Type="http://schemas.openxmlformats.org/officeDocument/2006/relationships/hyperlink" Target="https://doi.org/10.1038/s41597-023-02472-w" TargetMode="External"/><Relationship Id="rId137" Type="http://schemas.openxmlformats.org/officeDocument/2006/relationships/hyperlink" Target="https://doi.org/10.1038/s41597-023-02472-w" TargetMode="External"/><Relationship Id="rId158" Type="http://schemas.openxmlformats.org/officeDocument/2006/relationships/hyperlink" Target="https://doi.org/10.1038/s41597-023-02472-w" TargetMode="External"/><Relationship Id="rId302" Type="http://schemas.openxmlformats.org/officeDocument/2006/relationships/hyperlink" Target="https://doi.org/10.1038/s41597-023-02157-4" TargetMode="External"/><Relationship Id="rId323" Type="http://schemas.openxmlformats.org/officeDocument/2006/relationships/hyperlink" Target="https://doi.org/10.1038/s41597-023-02157-4" TargetMode="External"/><Relationship Id="rId344" Type="http://schemas.openxmlformats.org/officeDocument/2006/relationships/hyperlink" Target="https://doi.org/10.1890/15-0846R.1" TargetMode="External"/><Relationship Id="rId20" Type="http://schemas.openxmlformats.org/officeDocument/2006/relationships/hyperlink" Target="https://doi.org/10.11606/1807-0205/2021.61.24" TargetMode="External"/><Relationship Id="rId41" Type="http://schemas.openxmlformats.org/officeDocument/2006/relationships/hyperlink" Target="https://doi.org/10.11606/1807-0205/2021.61.24" TargetMode="External"/><Relationship Id="rId62" Type="http://schemas.openxmlformats.org/officeDocument/2006/relationships/hyperlink" Target="https://doi.org/10.1002/ecy.3344" TargetMode="External"/><Relationship Id="rId83" Type="http://schemas.openxmlformats.org/officeDocument/2006/relationships/hyperlink" Target="https://doi.org/10.1002/ecy.3344" TargetMode="External"/><Relationship Id="rId179" Type="http://schemas.openxmlformats.org/officeDocument/2006/relationships/hyperlink" Target="https://doi.org/10.1038/s41597-023-02472-w" TargetMode="External"/><Relationship Id="rId365" Type="http://schemas.openxmlformats.org/officeDocument/2006/relationships/hyperlink" Target="https://doi.org/10.1890/15-0846R.1" TargetMode="External"/><Relationship Id="rId386" Type="http://schemas.openxmlformats.org/officeDocument/2006/relationships/hyperlink" Target="https://doi.org/10.1038/s41597-022-01234-4" TargetMode="External"/><Relationship Id="rId190" Type="http://schemas.openxmlformats.org/officeDocument/2006/relationships/hyperlink" Target="https://doi.org/10.1038/s41597-023-02472-w" TargetMode="External"/><Relationship Id="rId204" Type="http://schemas.openxmlformats.org/officeDocument/2006/relationships/hyperlink" Target="https://doi.org/10.1038/s41597-023-02472-w" TargetMode="External"/><Relationship Id="rId225" Type="http://schemas.openxmlformats.org/officeDocument/2006/relationships/hyperlink" Target="https://doi.org/10.1038/s41597-023-02157-4" TargetMode="External"/><Relationship Id="rId246" Type="http://schemas.openxmlformats.org/officeDocument/2006/relationships/hyperlink" Target="https://doi.org/10.1038/s41597-023-02157-4" TargetMode="External"/><Relationship Id="rId267" Type="http://schemas.openxmlformats.org/officeDocument/2006/relationships/hyperlink" Target="https://doi.org/10.1038/s41597-023-02157-4" TargetMode="External"/><Relationship Id="rId288" Type="http://schemas.openxmlformats.org/officeDocument/2006/relationships/hyperlink" Target="https://doi.org/10.1038/s41597-023-02157-4" TargetMode="External"/><Relationship Id="rId411" Type="http://schemas.openxmlformats.org/officeDocument/2006/relationships/hyperlink" Target="https://doi.org/10.1038/s41597-022-01234-4" TargetMode="External"/><Relationship Id="rId106" Type="http://schemas.openxmlformats.org/officeDocument/2006/relationships/hyperlink" Target="https://doi.org/10.1038/s41597-023-02472-w" TargetMode="External"/><Relationship Id="rId127" Type="http://schemas.openxmlformats.org/officeDocument/2006/relationships/hyperlink" Target="https://doi.org/10.1038/s41597-023-02472-w" TargetMode="External"/><Relationship Id="rId313" Type="http://schemas.openxmlformats.org/officeDocument/2006/relationships/hyperlink" Target="https://doi.org/10.1038/s41597-023-02157-4" TargetMode="External"/><Relationship Id="rId10" Type="http://schemas.openxmlformats.org/officeDocument/2006/relationships/hyperlink" Target="https://doi.org/10.11606/1807-0205/2021.61.24" TargetMode="External"/><Relationship Id="rId31" Type="http://schemas.openxmlformats.org/officeDocument/2006/relationships/hyperlink" Target="https://doi.org/10.11606/1807-0205/2021.61.24" TargetMode="External"/><Relationship Id="rId52" Type="http://schemas.openxmlformats.org/officeDocument/2006/relationships/hyperlink" Target="https://doi.org/10.1002/ecy.3344" TargetMode="External"/><Relationship Id="rId73" Type="http://schemas.openxmlformats.org/officeDocument/2006/relationships/hyperlink" Target="https://doi.org/10.1002/ecy.3344" TargetMode="External"/><Relationship Id="rId94" Type="http://schemas.openxmlformats.org/officeDocument/2006/relationships/hyperlink" Target="https://doi.org/10.1002/ecy.3344" TargetMode="External"/><Relationship Id="rId148" Type="http://schemas.openxmlformats.org/officeDocument/2006/relationships/hyperlink" Target="https://doi.org/10.1038/s41597-023-02472-w" TargetMode="External"/><Relationship Id="rId169" Type="http://schemas.openxmlformats.org/officeDocument/2006/relationships/hyperlink" Target="https://doi.org/10.1038/s41597-023-02472-w" TargetMode="External"/><Relationship Id="rId334" Type="http://schemas.openxmlformats.org/officeDocument/2006/relationships/hyperlink" Target="https://doi.org/10.1111/mam.12270" TargetMode="External"/><Relationship Id="rId355" Type="http://schemas.openxmlformats.org/officeDocument/2006/relationships/hyperlink" Target="https://doi.org/10.1890/15-0846R.1" TargetMode="External"/><Relationship Id="rId376" Type="http://schemas.openxmlformats.org/officeDocument/2006/relationships/hyperlink" Target="https://doi.org/10.1038/s41597-022-01234-4" TargetMode="External"/><Relationship Id="rId397" Type="http://schemas.openxmlformats.org/officeDocument/2006/relationships/hyperlink" Target="https://doi.org/10.1038/s41597-022-01234-4" TargetMode="External"/><Relationship Id="rId4" Type="http://schemas.openxmlformats.org/officeDocument/2006/relationships/hyperlink" Target="https://doi.org/10.11606/1807-0205/2021.61.24" TargetMode="External"/><Relationship Id="rId180" Type="http://schemas.openxmlformats.org/officeDocument/2006/relationships/hyperlink" Target="https://doi.org/10.1038/s41597-023-02472-w" TargetMode="External"/><Relationship Id="rId215" Type="http://schemas.openxmlformats.org/officeDocument/2006/relationships/hyperlink" Target="https://doi.org/10.1038/s41597-023-02157-4" TargetMode="External"/><Relationship Id="rId236" Type="http://schemas.openxmlformats.org/officeDocument/2006/relationships/hyperlink" Target="https://doi.org/10.1038/s41597-023-02157-4" TargetMode="External"/><Relationship Id="rId257" Type="http://schemas.openxmlformats.org/officeDocument/2006/relationships/hyperlink" Target="https://doi.org/10.1038/s41597-023-02157-4" TargetMode="External"/><Relationship Id="rId278" Type="http://schemas.openxmlformats.org/officeDocument/2006/relationships/hyperlink" Target="https://doi.org/10.1038/s41597-023-02157-4" TargetMode="External"/><Relationship Id="rId401" Type="http://schemas.openxmlformats.org/officeDocument/2006/relationships/hyperlink" Target="https://doi.org/10.1038/s41597-022-01234-4" TargetMode="External"/><Relationship Id="rId422" Type="http://schemas.openxmlformats.org/officeDocument/2006/relationships/hyperlink" Target="https://doi.org/10.1038/s41597-022-01364-9" TargetMode="External"/><Relationship Id="rId303" Type="http://schemas.openxmlformats.org/officeDocument/2006/relationships/hyperlink" Target="https://doi.org/10.1038/s41597-023-02157-4" TargetMode="External"/><Relationship Id="rId42" Type="http://schemas.openxmlformats.org/officeDocument/2006/relationships/hyperlink" Target="https://doi.org/10.11606/1807-0205/2021.61.24" TargetMode="External"/><Relationship Id="rId84" Type="http://schemas.openxmlformats.org/officeDocument/2006/relationships/hyperlink" Target="https://doi.org/10.1002/ecy.3344" TargetMode="External"/><Relationship Id="rId138" Type="http://schemas.openxmlformats.org/officeDocument/2006/relationships/hyperlink" Target="https://doi.org/10.1038/s41597-023-02472-w" TargetMode="External"/><Relationship Id="rId345" Type="http://schemas.openxmlformats.org/officeDocument/2006/relationships/hyperlink" Target="https://doi.org/10.1890/15-0846R.1" TargetMode="External"/><Relationship Id="rId387" Type="http://schemas.openxmlformats.org/officeDocument/2006/relationships/hyperlink" Target="https://doi.org/10.1038/s41597-022-01234-4" TargetMode="External"/><Relationship Id="rId191" Type="http://schemas.openxmlformats.org/officeDocument/2006/relationships/hyperlink" Target="https://doi.org/10.1038/s41597-023-02472-w" TargetMode="External"/><Relationship Id="rId205" Type="http://schemas.openxmlformats.org/officeDocument/2006/relationships/hyperlink" Target="https://doi.org/10.1038/s41597-023-02472-w" TargetMode="External"/><Relationship Id="rId247" Type="http://schemas.openxmlformats.org/officeDocument/2006/relationships/hyperlink" Target="https://doi.org/10.1038/s41597-023-02157-4" TargetMode="External"/><Relationship Id="rId412" Type="http://schemas.openxmlformats.org/officeDocument/2006/relationships/hyperlink" Target="https://doi.org/10.1046/j.1474-9728.2002.00020.x" TargetMode="External"/><Relationship Id="rId107" Type="http://schemas.openxmlformats.org/officeDocument/2006/relationships/hyperlink" Target="https://doi.org/10.1038/s41597-023-02472-w" TargetMode="External"/><Relationship Id="rId289" Type="http://schemas.openxmlformats.org/officeDocument/2006/relationships/hyperlink" Target="https://doi.org/10.1038/s41597-023-02157-4" TargetMode="External"/><Relationship Id="rId11" Type="http://schemas.openxmlformats.org/officeDocument/2006/relationships/hyperlink" Target="https://doi.org/10.11606/1807-0205/2021.61.24" TargetMode="External"/><Relationship Id="rId53" Type="http://schemas.openxmlformats.org/officeDocument/2006/relationships/hyperlink" Target="https://doi.org/10.1002/ecy.3344" TargetMode="External"/><Relationship Id="rId149" Type="http://schemas.openxmlformats.org/officeDocument/2006/relationships/hyperlink" Target="https://doi.org/10.1038/s41597-023-02472-w" TargetMode="External"/><Relationship Id="rId314" Type="http://schemas.openxmlformats.org/officeDocument/2006/relationships/hyperlink" Target="https://doi.org/10.1038/s41597-023-02157-4" TargetMode="External"/><Relationship Id="rId356" Type="http://schemas.openxmlformats.org/officeDocument/2006/relationships/hyperlink" Target="https://doi.org/10.1890/15-0846R.1" TargetMode="External"/><Relationship Id="rId398" Type="http://schemas.openxmlformats.org/officeDocument/2006/relationships/hyperlink" Target="https://doi.org/10.1038/s41597-022-01234-4" TargetMode="External"/><Relationship Id="rId95" Type="http://schemas.openxmlformats.org/officeDocument/2006/relationships/hyperlink" Target="https://doi.org/10.1002/ecy.3344" TargetMode="External"/><Relationship Id="rId160" Type="http://schemas.openxmlformats.org/officeDocument/2006/relationships/hyperlink" Target="https://doi.org/10.1038/s41597-023-02472-w" TargetMode="External"/><Relationship Id="rId216" Type="http://schemas.openxmlformats.org/officeDocument/2006/relationships/hyperlink" Target="https://doi.org/10.1038/s41597-023-02157-4" TargetMode="External"/><Relationship Id="rId423" Type="http://schemas.openxmlformats.org/officeDocument/2006/relationships/hyperlink" Target="https://doi.org/10.1038/s41597-022-01364-9" TargetMode="External"/><Relationship Id="rId258" Type="http://schemas.openxmlformats.org/officeDocument/2006/relationships/hyperlink" Target="https://doi.org/10.1038/s41597-023-02157-4" TargetMode="External"/><Relationship Id="rId22" Type="http://schemas.openxmlformats.org/officeDocument/2006/relationships/hyperlink" Target="https://doi.org/10.11606/1807-0205/2021.61.24" TargetMode="External"/><Relationship Id="rId64" Type="http://schemas.openxmlformats.org/officeDocument/2006/relationships/hyperlink" Target="https://doi.org/10.1002/ecy.3344" TargetMode="External"/><Relationship Id="rId118" Type="http://schemas.openxmlformats.org/officeDocument/2006/relationships/hyperlink" Target="https://doi.org/10.1038/s41597-023-02472-w" TargetMode="External"/><Relationship Id="rId325" Type="http://schemas.openxmlformats.org/officeDocument/2006/relationships/hyperlink" Target="https://doi.org/10.1038/s41597-023-02157-4" TargetMode="External"/><Relationship Id="rId367" Type="http://schemas.openxmlformats.org/officeDocument/2006/relationships/hyperlink" Target="https://doi.org/10.1002/ecy.2106" TargetMode="External"/><Relationship Id="rId171" Type="http://schemas.openxmlformats.org/officeDocument/2006/relationships/hyperlink" Target="https://doi.org/10.1038/s41597-023-02472-w" TargetMode="External"/><Relationship Id="rId227" Type="http://schemas.openxmlformats.org/officeDocument/2006/relationships/hyperlink" Target="https://doi.org/10.1038/s41597-023-02157-4" TargetMode="External"/><Relationship Id="rId269" Type="http://schemas.openxmlformats.org/officeDocument/2006/relationships/hyperlink" Target="https://doi.org/10.1038/s41597-023-02157-4" TargetMode="External"/><Relationship Id="rId33" Type="http://schemas.openxmlformats.org/officeDocument/2006/relationships/hyperlink" Target="https://doi.org/10.11606/1807-0205/2021.61.24" TargetMode="External"/><Relationship Id="rId129" Type="http://schemas.openxmlformats.org/officeDocument/2006/relationships/hyperlink" Target="https://doi.org/10.1038/s41597-023-02472-w" TargetMode="External"/><Relationship Id="rId280" Type="http://schemas.openxmlformats.org/officeDocument/2006/relationships/hyperlink" Target="https://doi.org/10.1038/s41597-023-02157-4" TargetMode="External"/><Relationship Id="rId336" Type="http://schemas.openxmlformats.org/officeDocument/2006/relationships/hyperlink" Target="https://doi.org/10.1111/mam.12270" TargetMode="External"/><Relationship Id="rId75" Type="http://schemas.openxmlformats.org/officeDocument/2006/relationships/hyperlink" Target="https://doi.org/10.1002/ecy.3344" TargetMode="External"/><Relationship Id="rId140" Type="http://schemas.openxmlformats.org/officeDocument/2006/relationships/hyperlink" Target="https://doi.org/10.1038/s41597-023-02472-w" TargetMode="External"/><Relationship Id="rId182" Type="http://schemas.openxmlformats.org/officeDocument/2006/relationships/hyperlink" Target="https://doi.org/10.1038/s41597-023-02472-w" TargetMode="External"/><Relationship Id="rId378" Type="http://schemas.openxmlformats.org/officeDocument/2006/relationships/hyperlink" Target="https://doi.org/10.1038/s41597-022-01234-4" TargetMode="External"/><Relationship Id="rId403" Type="http://schemas.openxmlformats.org/officeDocument/2006/relationships/hyperlink" Target="https://doi.org/10.1038/s41597-022-01234-4" TargetMode="External"/><Relationship Id="rId6" Type="http://schemas.openxmlformats.org/officeDocument/2006/relationships/hyperlink" Target="https://doi.org/10.11606/1807-0205/2021.61.24" TargetMode="External"/><Relationship Id="rId238" Type="http://schemas.openxmlformats.org/officeDocument/2006/relationships/hyperlink" Target="https://doi.org/10.1038/s41597-023-02157-4" TargetMode="External"/><Relationship Id="rId291" Type="http://schemas.openxmlformats.org/officeDocument/2006/relationships/hyperlink" Target="https://doi.org/10.1038/s41597-023-02157-4" TargetMode="External"/><Relationship Id="rId305" Type="http://schemas.openxmlformats.org/officeDocument/2006/relationships/hyperlink" Target="https://doi.org/10.1038/s41597-023-02157-4" TargetMode="External"/><Relationship Id="rId347" Type="http://schemas.openxmlformats.org/officeDocument/2006/relationships/hyperlink" Target="https://doi.org/10.1890/15-0846R.1" TargetMode="External"/><Relationship Id="rId44" Type="http://schemas.openxmlformats.org/officeDocument/2006/relationships/hyperlink" Target="https://doi.org/10.11606/1807-0205/2021.61.24" TargetMode="External"/><Relationship Id="rId86" Type="http://schemas.openxmlformats.org/officeDocument/2006/relationships/hyperlink" Target="https://doi.org/10.1002/ecy.3344" TargetMode="External"/><Relationship Id="rId151" Type="http://schemas.openxmlformats.org/officeDocument/2006/relationships/hyperlink" Target="https://doi.org/10.1038/s41597-023-02472-w" TargetMode="External"/><Relationship Id="rId389" Type="http://schemas.openxmlformats.org/officeDocument/2006/relationships/hyperlink" Target="https://doi.org/10.1038/s41597-022-01234-4" TargetMode="External"/><Relationship Id="rId193" Type="http://schemas.openxmlformats.org/officeDocument/2006/relationships/hyperlink" Target="https://doi.org/10.1038/s41597-023-02472-w" TargetMode="External"/><Relationship Id="rId207" Type="http://schemas.openxmlformats.org/officeDocument/2006/relationships/hyperlink" Target="https://doi.org/10.1038/s41597-023-02472-w" TargetMode="External"/><Relationship Id="rId249" Type="http://schemas.openxmlformats.org/officeDocument/2006/relationships/hyperlink" Target="https://doi.org/10.1038/s41597-023-02157-4" TargetMode="External"/><Relationship Id="rId414" Type="http://schemas.openxmlformats.org/officeDocument/2006/relationships/hyperlink" Target="https://doi.org/10.1046/j.1474-9728.2002.00020.x" TargetMode="External"/><Relationship Id="rId13" Type="http://schemas.openxmlformats.org/officeDocument/2006/relationships/hyperlink" Target="https://doi.org/10.11606/1807-0205/2021.61.24" TargetMode="External"/><Relationship Id="rId109" Type="http://schemas.openxmlformats.org/officeDocument/2006/relationships/hyperlink" Target="https://doi.org/10.1038/s41597-023-02472-w" TargetMode="External"/><Relationship Id="rId260" Type="http://schemas.openxmlformats.org/officeDocument/2006/relationships/hyperlink" Target="https://doi.org/10.1038/s41597-023-02157-4" TargetMode="External"/><Relationship Id="rId316" Type="http://schemas.openxmlformats.org/officeDocument/2006/relationships/hyperlink" Target="https://doi.org/10.1038/s41597-023-02157-4" TargetMode="External"/><Relationship Id="rId55" Type="http://schemas.openxmlformats.org/officeDocument/2006/relationships/hyperlink" Target="https://doi.org/10.1002/ecy.3344" TargetMode="External"/><Relationship Id="rId97" Type="http://schemas.openxmlformats.org/officeDocument/2006/relationships/hyperlink" Target="https://doi.org/10.1002/ecy.3344" TargetMode="External"/><Relationship Id="rId120" Type="http://schemas.openxmlformats.org/officeDocument/2006/relationships/hyperlink" Target="https://doi.org/10.1038/s41597-023-02472-w" TargetMode="External"/><Relationship Id="rId358" Type="http://schemas.openxmlformats.org/officeDocument/2006/relationships/hyperlink" Target="https://doi.org/10.1890/15-0846R.1" TargetMode="External"/><Relationship Id="rId162" Type="http://schemas.openxmlformats.org/officeDocument/2006/relationships/hyperlink" Target="https://doi.org/10.1038/s41597-023-02472-w" TargetMode="External"/><Relationship Id="rId218" Type="http://schemas.openxmlformats.org/officeDocument/2006/relationships/hyperlink" Target="https://doi.org/10.1038/s41597-023-02157-4" TargetMode="External"/><Relationship Id="rId425" Type="http://schemas.openxmlformats.org/officeDocument/2006/relationships/hyperlink" Target="https://doi.org/10.1038/s41597-022-01364-9" TargetMode="External"/><Relationship Id="rId271" Type="http://schemas.openxmlformats.org/officeDocument/2006/relationships/hyperlink" Target="https://doi.org/10.1038/s41597-023-02157-4" TargetMode="External"/><Relationship Id="rId24" Type="http://schemas.openxmlformats.org/officeDocument/2006/relationships/hyperlink" Target="https://doi.org/10.11606/1807-0205/2021.61.24" TargetMode="External"/><Relationship Id="rId66" Type="http://schemas.openxmlformats.org/officeDocument/2006/relationships/hyperlink" Target="https://doi.org/10.1002/ecy.3344" TargetMode="External"/><Relationship Id="rId131" Type="http://schemas.openxmlformats.org/officeDocument/2006/relationships/hyperlink" Target="https://doi.org/10.1038/s41597-023-02472-w" TargetMode="External"/><Relationship Id="rId327" Type="http://schemas.openxmlformats.org/officeDocument/2006/relationships/hyperlink" Target="https://doi.org/10.1038/s41597-023-02157-4" TargetMode="External"/><Relationship Id="rId369" Type="http://schemas.openxmlformats.org/officeDocument/2006/relationships/hyperlink" Target="https://doi.org/10.1002/ecy.2106" TargetMode="External"/><Relationship Id="rId173" Type="http://schemas.openxmlformats.org/officeDocument/2006/relationships/hyperlink" Target="https://doi.org/10.1038/s41597-023-02472-w" TargetMode="External"/><Relationship Id="rId229" Type="http://schemas.openxmlformats.org/officeDocument/2006/relationships/hyperlink" Target="https://doi.org/10.1038/s41597-023-02157-4" TargetMode="External"/><Relationship Id="rId380" Type="http://schemas.openxmlformats.org/officeDocument/2006/relationships/hyperlink" Target="https://doi.org/10.1038/s41597-022-01234-4" TargetMode="External"/><Relationship Id="rId240" Type="http://schemas.openxmlformats.org/officeDocument/2006/relationships/hyperlink" Target="https://doi.org/10.1038/s41597-023-02157-4" TargetMode="External"/><Relationship Id="rId35" Type="http://schemas.openxmlformats.org/officeDocument/2006/relationships/hyperlink" Target="https://doi.org/10.11606/1807-0205/2021.61.24" TargetMode="External"/><Relationship Id="rId77" Type="http://schemas.openxmlformats.org/officeDocument/2006/relationships/hyperlink" Target="https://doi.org/10.1002/ecy.3344" TargetMode="External"/><Relationship Id="rId100" Type="http://schemas.openxmlformats.org/officeDocument/2006/relationships/hyperlink" Target="https://doi.org/10.1002/ecy.3344" TargetMode="External"/><Relationship Id="rId282" Type="http://schemas.openxmlformats.org/officeDocument/2006/relationships/hyperlink" Target="https://doi.org/10.1038/s41597-023-02157-4" TargetMode="External"/><Relationship Id="rId338" Type="http://schemas.openxmlformats.org/officeDocument/2006/relationships/hyperlink" Target="https://doi.org/10.1890/15-0846R.1" TargetMode="External"/><Relationship Id="rId8" Type="http://schemas.openxmlformats.org/officeDocument/2006/relationships/hyperlink" Target="https://doi.org/10.11606/1807-0205/2021.61.24" TargetMode="External"/><Relationship Id="rId142" Type="http://schemas.openxmlformats.org/officeDocument/2006/relationships/hyperlink" Target="https://doi.org/10.1038/s41597-023-02472-w" TargetMode="External"/><Relationship Id="rId184" Type="http://schemas.openxmlformats.org/officeDocument/2006/relationships/hyperlink" Target="https://doi.org/10.1038/s41597-023-02472-w" TargetMode="External"/><Relationship Id="rId391" Type="http://schemas.openxmlformats.org/officeDocument/2006/relationships/hyperlink" Target="https://doi.org/10.1038/s41597-022-01234-4" TargetMode="External"/><Relationship Id="rId405" Type="http://schemas.openxmlformats.org/officeDocument/2006/relationships/hyperlink" Target="https://doi.org/10.1038/s41597-022-01234-4" TargetMode="External"/><Relationship Id="rId251" Type="http://schemas.openxmlformats.org/officeDocument/2006/relationships/hyperlink" Target="https://doi.org/10.1038/s41597-023-02157-4" TargetMode="External"/><Relationship Id="rId46" Type="http://schemas.openxmlformats.org/officeDocument/2006/relationships/hyperlink" Target="https://doi.org/10.11606/1807-0205/2021.61.24" TargetMode="External"/><Relationship Id="rId293" Type="http://schemas.openxmlformats.org/officeDocument/2006/relationships/hyperlink" Target="https://doi.org/10.1038/s41597-023-02157-4" TargetMode="External"/><Relationship Id="rId307" Type="http://schemas.openxmlformats.org/officeDocument/2006/relationships/hyperlink" Target="https://doi.org/10.1038/s41597-023-02157-4" TargetMode="External"/><Relationship Id="rId349" Type="http://schemas.openxmlformats.org/officeDocument/2006/relationships/hyperlink" Target="https://doi.org/10.1890/15-0846R.1" TargetMode="External"/><Relationship Id="rId88" Type="http://schemas.openxmlformats.org/officeDocument/2006/relationships/hyperlink" Target="https://doi.org/10.1002/ecy.3344" TargetMode="External"/><Relationship Id="rId111" Type="http://schemas.openxmlformats.org/officeDocument/2006/relationships/hyperlink" Target="https://doi.org/10.1038/s41597-023-02472-w" TargetMode="External"/><Relationship Id="rId153" Type="http://schemas.openxmlformats.org/officeDocument/2006/relationships/hyperlink" Target="https://doi.org/10.1038/s41597-023-02472-w" TargetMode="External"/><Relationship Id="rId195" Type="http://schemas.openxmlformats.org/officeDocument/2006/relationships/hyperlink" Target="https://doi.org/10.1038/s41597-023-02472-w" TargetMode="External"/><Relationship Id="rId209" Type="http://schemas.openxmlformats.org/officeDocument/2006/relationships/hyperlink" Target="https://doi.org/10.1038/s41597-023-02472-w" TargetMode="External"/><Relationship Id="rId360" Type="http://schemas.openxmlformats.org/officeDocument/2006/relationships/hyperlink" Target="https://doi.org/10.1890/15-0846R.1" TargetMode="External"/><Relationship Id="rId416" Type="http://schemas.openxmlformats.org/officeDocument/2006/relationships/hyperlink" Target="https://doi.org/10.1046/j.1474-9728.2002.00020.x" TargetMode="External"/><Relationship Id="rId220" Type="http://schemas.openxmlformats.org/officeDocument/2006/relationships/hyperlink" Target="https://doi.org/10.1038/s41597-023-02157-4" TargetMode="External"/><Relationship Id="rId15" Type="http://schemas.openxmlformats.org/officeDocument/2006/relationships/hyperlink" Target="https://doi.org/10.11606/1807-0205/2021.61.24" TargetMode="External"/><Relationship Id="rId57" Type="http://schemas.openxmlformats.org/officeDocument/2006/relationships/hyperlink" Target="https://doi.org/10.1002/ecy.3344" TargetMode="External"/><Relationship Id="rId262" Type="http://schemas.openxmlformats.org/officeDocument/2006/relationships/hyperlink" Target="https://doi.org/10.1038/s41597-023-02157-4" TargetMode="External"/><Relationship Id="rId318" Type="http://schemas.openxmlformats.org/officeDocument/2006/relationships/hyperlink" Target="https://doi.org/10.1038/s41597-023-02157-4" TargetMode="External"/><Relationship Id="rId99" Type="http://schemas.openxmlformats.org/officeDocument/2006/relationships/hyperlink" Target="https://doi.org/10.1002/ecy.3344" TargetMode="External"/><Relationship Id="rId122" Type="http://schemas.openxmlformats.org/officeDocument/2006/relationships/hyperlink" Target="https://doi.org/10.1038/s41597-023-02472-w" TargetMode="External"/><Relationship Id="rId164" Type="http://schemas.openxmlformats.org/officeDocument/2006/relationships/hyperlink" Target="https://doi.org/10.1038/s41597-023-02472-w" TargetMode="External"/><Relationship Id="rId371" Type="http://schemas.openxmlformats.org/officeDocument/2006/relationships/hyperlink" Target="https://doi.org/10.1002/ecy.2106" TargetMode="External"/><Relationship Id="rId427" Type="http://schemas.openxmlformats.org/officeDocument/2006/relationships/hyperlink" Target="https://doi.org/10.1038/s41597-022-01364-9" TargetMode="External"/><Relationship Id="rId26" Type="http://schemas.openxmlformats.org/officeDocument/2006/relationships/hyperlink" Target="https://doi.org/10.11606/1807-0205/2021.61.24" TargetMode="External"/><Relationship Id="rId231" Type="http://schemas.openxmlformats.org/officeDocument/2006/relationships/hyperlink" Target="https://doi.org/10.1038/s41597-023-02157-4" TargetMode="External"/><Relationship Id="rId273" Type="http://schemas.openxmlformats.org/officeDocument/2006/relationships/hyperlink" Target="https://doi.org/10.1038/s41597-023-02157-4" TargetMode="External"/><Relationship Id="rId329" Type="http://schemas.openxmlformats.org/officeDocument/2006/relationships/hyperlink" Target="https://doi.org/10.1111/mam.12270" TargetMode="External"/><Relationship Id="rId68" Type="http://schemas.openxmlformats.org/officeDocument/2006/relationships/hyperlink" Target="https://doi.org/10.1002/ecy.3344" TargetMode="External"/><Relationship Id="rId133" Type="http://schemas.openxmlformats.org/officeDocument/2006/relationships/hyperlink" Target="https://doi.org/10.1038/s41597-023-02472-w" TargetMode="External"/><Relationship Id="rId175" Type="http://schemas.openxmlformats.org/officeDocument/2006/relationships/hyperlink" Target="https://doi.org/10.1038/s41597-023-02472-w" TargetMode="External"/><Relationship Id="rId340" Type="http://schemas.openxmlformats.org/officeDocument/2006/relationships/hyperlink" Target="https://doi.org/10.1890/15-0846R.1" TargetMode="External"/><Relationship Id="rId200" Type="http://schemas.openxmlformats.org/officeDocument/2006/relationships/hyperlink" Target="https://doi.org/10.1038/s41597-023-02472-w" TargetMode="External"/><Relationship Id="rId382" Type="http://schemas.openxmlformats.org/officeDocument/2006/relationships/hyperlink" Target="https://doi.org/10.1038/s41597-022-01234-4" TargetMode="External"/><Relationship Id="rId242" Type="http://schemas.openxmlformats.org/officeDocument/2006/relationships/hyperlink" Target="https://doi.org/10.1038/s41597-023-02157-4" TargetMode="External"/><Relationship Id="rId284" Type="http://schemas.openxmlformats.org/officeDocument/2006/relationships/hyperlink" Target="https://doi.org/10.1038/s41597-023-02157-4" TargetMode="External"/><Relationship Id="rId37" Type="http://schemas.openxmlformats.org/officeDocument/2006/relationships/hyperlink" Target="https://doi.org/10.11606/1807-0205/2021.61.24" TargetMode="External"/><Relationship Id="rId79" Type="http://schemas.openxmlformats.org/officeDocument/2006/relationships/hyperlink" Target="https://doi.org/10.1002/ecy.3344" TargetMode="External"/><Relationship Id="rId102" Type="http://schemas.openxmlformats.org/officeDocument/2006/relationships/hyperlink" Target="https://doi.org/10.1002/ecy.3344" TargetMode="External"/><Relationship Id="rId144" Type="http://schemas.openxmlformats.org/officeDocument/2006/relationships/hyperlink" Target="https://doi.org/10.1038/s41597-023-02472-w" TargetMode="External"/><Relationship Id="rId90" Type="http://schemas.openxmlformats.org/officeDocument/2006/relationships/hyperlink" Target="https://doi.org/10.1002/ecy.3344" TargetMode="External"/><Relationship Id="rId186" Type="http://schemas.openxmlformats.org/officeDocument/2006/relationships/hyperlink" Target="https://doi.org/10.1038/s41597-023-02472-w" TargetMode="External"/><Relationship Id="rId351" Type="http://schemas.openxmlformats.org/officeDocument/2006/relationships/hyperlink" Target="https://doi.org/10.1890/15-0846R.1" TargetMode="External"/><Relationship Id="rId393" Type="http://schemas.openxmlformats.org/officeDocument/2006/relationships/hyperlink" Target="https://doi.org/10.1038/s41597-022-01234-4" TargetMode="External"/><Relationship Id="rId407" Type="http://schemas.openxmlformats.org/officeDocument/2006/relationships/hyperlink" Target="https://doi.org/10.1038/s41597-022-01234-4" TargetMode="External"/><Relationship Id="rId211" Type="http://schemas.openxmlformats.org/officeDocument/2006/relationships/hyperlink" Target="https://doi.org/10.1038/s41597-023-02157-4" TargetMode="External"/><Relationship Id="rId253" Type="http://schemas.openxmlformats.org/officeDocument/2006/relationships/hyperlink" Target="https://doi.org/10.1038/s41597-023-02157-4" TargetMode="External"/><Relationship Id="rId295" Type="http://schemas.openxmlformats.org/officeDocument/2006/relationships/hyperlink" Target="https://doi.org/10.1038/s41597-023-02157-4" TargetMode="External"/><Relationship Id="rId309" Type="http://schemas.openxmlformats.org/officeDocument/2006/relationships/hyperlink" Target="https://doi.org/10.1038/s41597-023-02157-4" TargetMode="External"/><Relationship Id="rId48" Type="http://schemas.openxmlformats.org/officeDocument/2006/relationships/hyperlink" Target="https://doi.org/10.11606/1807-0205/2021.61.24" TargetMode="External"/><Relationship Id="rId113" Type="http://schemas.openxmlformats.org/officeDocument/2006/relationships/hyperlink" Target="https://doi.org/10.1038/s41597-023-02472-w" TargetMode="External"/><Relationship Id="rId320" Type="http://schemas.openxmlformats.org/officeDocument/2006/relationships/hyperlink" Target="https://doi.org/10.1038/s41597-023-02157-4" TargetMode="External"/><Relationship Id="rId155" Type="http://schemas.openxmlformats.org/officeDocument/2006/relationships/hyperlink" Target="https://doi.org/10.1038/s41597-023-02472-w" TargetMode="External"/><Relationship Id="rId197" Type="http://schemas.openxmlformats.org/officeDocument/2006/relationships/hyperlink" Target="https://doi.org/10.1038/s41597-023-02472-w" TargetMode="External"/><Relationship Id="rId362" Type="http://schemas.openxmlformats.org/officeDocument/2006/relationships/hyperlink" Target="https://doi.org/10.1890/15-0846R.1" TargetMode="External"/><Relationship Id="rId418" Type="http://schemas.openxmlformats.org/officeDocument/2006/relationships/hyperlink" Target="https://doi.org/10.1046/j.1474-9728.2002.00020.x" TargetMode="External"/><Relationship Id="rId222" Type="http://schemas.openxmlformats.org/officeDocument/2006/relationships/hyperlink" Target="https://doi.org/10.1038/s41597-023-02157-4" TargetMode="External"/><Relationship Id="rId264" Type="http://schemas.openxmlformats.org/officeDocument/2006/relationships/hyperlink" Target="https://doi.org/10.1038/s41597-023-02157-4" TargetMode="External"/><Relationship Id="rId17" Type="http://schemas.openxmlformats.org/officeDocument/2006/relationships/hyperlink" Target="https://doi.org/10.11606/1807-0205/2021.61.24" TargetMode="External"/><Relationship Id="rId59" Type="http://schemas.openxmlformats.org/officeDocument/2006/relationships/hyperlink" Target="https://doi.org/10.1002/ecy.3344" TargetMode="External"/><Relationship Id="rId124" Type="http://schemas.openxmlformats.org/officeDocument/2006/relationships/hyperlink" Target="https://doi.org/10.1038/s41597-023-02472-w"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doi.org/10.1002/ece3.10016" TargetMode="External"/><Relationship Id="rId21" Type="http://schemas.openxmlformats.org/officeDocument/2006/relationships/hyperlink" Target="https://doi.org/10.1002/ece3.10016" TargetMode="External"/><Relationship Id="rId42" Type="http://schemas.openxmlformats.org/officeDocument/2006/relationships/hyperlink" Target="https://doi.org/10.1002/ece3.10016" TargetMode="External"/><Relationship Id="rId63" Type="http://schemas.openxmlformats.org/officeDocument/2006/relationships/hyperlink" Target="https://doi.org/10.1002/ece3.10016" TargetMode="External"/><Relationship Id="rId84" Type="http://schemas.openxmlformats.org/officeDocument/2006/relationships/hyperlink" Target="https://doi.org/10.1002/ece3.10016" TargetMode="External"/><Relationship Id="rId138" Type="http://schemas.openxmlformats.org/officeDocument/2006/relationships/hyperlink" Target="https://doi.org/10.1002/ece3.10016" TargetMode="External"/><Relationship Id="rId159" Type="http://schemas.openxmlformats.org/officeDocument/2006/relationships/hyperlink" Target="https://doi.org/10.1002/ece3.10016" TargetMode="External"/><Relationship Id="rId170" Type="http://schemas.openxmlformats.org/officeDocument/2006/relationships/hyperlink" Target="https://doi.org/10.1002/ece3.10016" TargetMode="External"/><Relationship Id="rId191" Type="http://schemas.openxmlformats.org/officeDocument/2006/relationships/hyperlink" Target="https://doi.org/10.1002/ece3.10016" TargetMode="External"/><Relationship Id="rId205" Type="http://schemas.openxmlformats.org/officeDocument/2006/relationships/hyperlink" Target="https://doi.org/10.1002/ece3.10016" TargetMode="External"/><Relationship Id="rId226" Type="http://schemas.openxmlformats.org/officeDocument/2006/relationships/hyperlink" Target="https://doi.org/10.1002/ece3.10016" TargetMode="External"/><Relationship Id="rId247" Type="http://schemas.openxmlformats.org/officeDocument/2006/relationships/hyperlink" Target="https://doi.org/10.1002/ece3.10016" TargetMode="External"/><Relationship Id="rId107" Type="http://schemas.openxmlformats.org/officeDocument/2006/relationships/hyperlink" Target="https://doi.org/10.1002/ece3.10016" TargetMode="External"/><Relationship Id="rId11" Type="http://schemas.openxmlformats.org/officeDocument/2006/relationships/hyperlink" Target="https://doi.org/10.1002/ece3.10016" TargetMode="External"/><Relationship Id="rId32" Type="http://schemas.openxmlformats.org/officeDocument/2006/relationships/hyperlink" Target="https://doi.org/10.1002/ece3.10016" TargetMode="External"/><Relationship Id="rId53" Type="http://schemas.openxmlformats.org/officeDocument/2006/relationships/hyperlink" Target="https://doi.org/10.1002/ece3.10016" TargetMode="External"/><Relationship Id="rId74" Type="http://schemas.openxmlformats.org/officeDocument/2006/relationships/hyperlink" Target="https://doi.org/10.1002/ece3.10016" TargetMode="External"/><Relationship Id="rId128" Type="http://schemas.openxmlformats.org/officeDocument/2006/relationships/hyperlink" Target="https://doi.org/10.1002/ece3.10016" TargetMode="External"/><Relationship Id="rId149" Type="http://schemas.openxmlformats.org/officeDocument/2006/relationships/hyperlink" Target="https://doi.org/10.1002/ece3.10016" TargetMode="External"/><Relationship Id="rId5" Type="http://schemas.openxmlformats.org/officeDocument/2006/relationships/hyperlink" Target="https://doi.org/10.1002/ece3.10016" TargetMode="External"/><Relationship Id="rId95" Type="http://schemas.openxmlformats.org/officeDocument/2006/relationships/hyperlink" Target="https://doi.org/10.1002/ece3.10016" TargetMode="External"/><Relationship Id="rId160" Type="http://schemas.openxmlformats.org/officeDocument/2006/relationships/hyperlink" Target="https://doi.org/10.1002/ece3.10016" TargetMode="External"/><Relationship Id="rId181" Type="http://schemas.openxmlformats.org/officeDocument/2006/relationships/hyperlink" Target="https://doi.org/10.1002/ece3.10016" TargetMode="External"/><Relationship Id="rId216" Type="http://schemas.openxmlformats.org/officeDocument/2006/relationships/hyperlink" Target="https://doi.org/10.1002/ece3.10016" TargetMode="External"/><Relationship Id="rId237" Type="http://schemas.openxmlformats.org/officeDocument/2006/relationships/hyperlink" Target="https://doi.org/10.1002/ece3.10016" TargetMode="External"/><Relationship Id="rId22" Type="http://schemas.openxmlformats.org/officeDocument/2006/relationships/hyperlink" Target="https://doi.org/10.1002/ece3.10016" TargetMode="External"/><Relationship Id="rId43" Type="http://schemas.openxmlformats.org/officeDocument/2006/relationships/hyperlink" Target="https://doi.org/10.1002/ece3.10016" TargetMode="External"/><Relationship Id="rId64" Type="http://schemas.openxmlformats.org/officeDocument/2006/relationships/hyperlink" Target="https://doi.org/10.1002/ece3.10016" TargetMode="External"/><Relationship Id="rId118" Type="http://schemas.openxmlformats.org/officeDocument/2006/relationships/hyperlink" Target="https://doi.org/10.1002/ece3.10016" TargetMode="External"/><Relationship Id="rId139" Type="http://schemas.openxmlformats.org/officeDocument/2006/relationships/hyperlink" Target="https://doi.org/10.1002/ece3.10016" TargetMode="External"/><Relationship Id="rId85" Type="http://schemas.openxmlformats.org/officeDocument/2006/relationships/hyperlink" Target="https://doi.org/10.1002/ece3.10016" TargetMode="External"/><Relationship Id="rId150" Type="http://schemas.openxmlformats.org/officeDocument/2006/relationships/hyperlink" Target="https://doi.org/10.1002/ece3.10016" TargetMode="External"/><Relationship Id="rId171" Type="http://schemas.openxmlformats.org/officeDocument/2006/relationships/hyperlink" Target="https://doi.org/10.1002/ece3.10016" TargetMode="External"/><Relationship Id="rId192" Type="http://schemas.openxmlformats.org/officeDocument/2006/relationships/hyperlink" Target="https://doi.org/10.1002/ece3.10016" TargetMode="External"/><Relationship Id="rId206" Type="http://schemas.openxmlformats.org/officeDocument/2006/relationships/hyperlink" Target="https://doi.org/10.1002/ece3.10016" TargetMode="External"/><Relationship Id="rId227" Type="http://schemas.openxmlformats.org/officeDocument/2006/relationships/hyperlink" Target="https://doi.org/10.1002/ece3.10016" TargetMode="External"/><Relationship Id="rId12" Type="http://schemas.openxmlformats.org/officeDocument/2006/relationships/hyperlink" Target="https://doi.org/10.1002/ece3.10016" TargetMode="External"/><Relationship Id="rId33" Type="http://schemas.openxmlformats.org/officeDocument/2006/relationships/hyperlink" Target="https://doi.org/10.1002/ece3.10016" TargetMode="External"/><Relationship Id="rId108" Type="http://schemas.openxmlformats.org/officeDocument/2006/relationships/hyperlink" Target="https://doi.org/10.1002/ece3.10016" TargetMode="External"/><Relationship Id="rId129" Type="http://schemas.openxmlformats.org/officeDocument/2006/relationships/hyperlink" Target="https://doi.org/10.1002/ece3.10016" TargetMode="External"/><Relationship Id="rId54" Type="http://schemas.openxmlformats.org/officeDocument/2006/relationships/hyperlink" Target="https://doi.org/10.1002/ece3.10016" TargetMode="External"/><Relationship Id="rId75" Type="http://schemas.openxmlformats.org/officeDocument/2006/relationships/hyperlink" Target="https://doi.org/10.1002/ece3.10016" TargetMode="External"/><Relationship Id="rId96" Type="http://schemas.openxmlformats.org/officeDocument/2006/relationships/hyperlink" Target="https://bioone.org/journals/acta-chiropterologica/volume-19/issue-2/15081109ACC2017.19.2.005/Species-Richness-Functional-Diversity-and-Assemblage-Structure-of-Insectivorous-Bats/10.3161/15081109ACC2017.19.2.005.full" TargetMode="External"/><Relationship Id="rId140" Type="http://schemas.openxmlformats.org/officeDocument/2006/relationships/hyperlink" Target="https://doi.org/10.1002/ece3.10016" TargetMode="External"/><Relationship Id="rId161" Type="http://schemas.openxmlformats.org/officeDocument/2006/relationships/hyperlink" Target="https://doi.org/10.1002/ece3.10016" TargetMode="External"/><Relationship Id="rId182" Type="http://schemas.openxmlformats.org/officeDocument/2006/relationships/hyperlink" Target="https://doi.org/10.1002/ece3.10016" TargetMode="External"/><Relationship Id="rId217" Type="http://schemas.openxmlformats.org/officeDocument/2006/relationships/hyperlink" Target="https://doi.org/10.1002/ece3.10016" TargetMode="External"/><Relationship Id="rId6" Type="http://schemas.openxmlformats.org/officeDocument/2006/relationships/hyperlink" Target="https://doi.org/10.1002/ece3.10016" TargetMode="External"/><Relationship Id="rId238" Type="http://schemas.openxmlformats.org/officeDocument/2006/relationships/hyperlink" Target="https://doi.org/10.1002/ece3.10016" TargetMode="External"/><Relationship Id="rId23" Type="http://schemas.openxmlformats.org/officeDocument/2006/relationships/hyperlink" Target="https://doi.org/10.1002/ece3.10016" TargetMode="External"/><Relationship Id="rId119" Type="http://schemas.openxmlformats.org/officeDocument/2006/relationships/hyperlink" Target="https://doi.org/10.1002/ece3.10016" TargetMode="External"/><Relationship Id="rId44" Type="http://schemas.openxmlformats.org/officeDocument/2006/relationships/hyperlink" Target="https://doi.org/10.1002/ece3.10016" TargetMode="External"/><Relationship Id="rId65" Type="http://schemas.openxmlformats.org/officeDocument/2006/relationships/hyperlink" Target="https://doi.org/10.1002/ece3.10016" TargetMode="External"/><Relationship Id="rId86" Type="http://schemas.openxmlformats.org/officeDocument/2006/relationships/hyperlink" Target="https://doi.org/10.1002/ece3.10016" TargetMode="External"/><Relationship Id="rId130" Type="http://schemas.openxmlformats.org/officeDocument/2006/relationships/hyperlink" Target="https://doi.org/10.1002/ece3.10016" TargetMode="External"/><Relationship Id="rId151" Type="http://schemas.openxmlformats.org/officeDocument/2006/relationships/hyperlink" Target="https://doi.org/10.1002/ece3.10016" TargetMode="External"/><Relationship Id="rId172" Type="http://schemas.openxmlformats.org/officeDocument/2006/relationships/hyperlink" Target="https://doi.org/10.1002/ece3.10016" TargetMode="External"/><Relationship Id="rId193" Type="http://schemas.openxmlformats.org/officeDocument/2006/relationships/hyperlink" Target="https://doi.org/10.1002/ece3.10016" TargetMode="External"/><Relationship Id="rId207" Type="http://schemas.openxmlformats.org/officeDocument/2006/relationships/hyperlink" Target="https://doi.org/10.1002/ece3.10016" TargetMode="External"/><Relationship Id="rId228" Type="http://schemas.openxmlformats.org/officeDocument/2006/relationships/hyperlink" Target="https://doi.org/10.1002/ece3.10016" TargetMode="External"/><Relationship Id="rId13" Type="http://schemas.openxmlformats.org/officeDocument/2006/relationships/hyperlink" Target="https://doi.org/10.1002/ece3.10016" TargetMode="External"/><Relationship Id="rId109" Type="http://schemas.openxmlformats.org/officeDocument/2006/relationships/hyperlink" Target="https://doi.org/10.1002/ece3.10016" TargetMode="External"/><Relationship Id="rId34" Type="http://schemas.openxmlformats.org/officeDocument/2006/relationships/hyperlink" Target="https://doi.org/10.1002/ece3.10016" TargetMode="External"/><Relationship Id="rId55" Type="http://schemas.openxmlformats.org/officeDocument/2006/relationships/hyperlink" Target="https://doi.org/10.1002/ece3.10016" TargetMode="External"/><Relationship Id="rId76" Type="http://schemas.openxmlformats.org/officeDocument/2006/relationships/hyperlink" Target="https://doi.org/10.1002/ece3.10016" TargetMode="External"/><Relationship Id="rId97" Type="http://schemas.openxmlformats.org/officeDocument/2006/relationships/hyperlink" Target="https://doi.org/10.1002/ece3.10016" TargetMode="External"/><Relationship Id="rId120" Type="http://schemas.openxmlformats.org/officeDocument/2006/relationships/hyperlink" Target="https://doi.org/10.1002/ece3.10016" TargetMode="External"/><Relationship Id="rId141" Type="http://schemas.openxmlformats.org/officeDocument/2006/relationships/hyperlink" Target="https://doi.org/10.1002/ece3.10016" TargetMode="External"/><Relationship Id="rId7" Type="http://schemas.openxmlformats.org/officeDocument/2006/relationships/hyperlink" Target="https://doi.org/10.1002/ece3.10016" TargetMode="External"/><Relationship Id="rId162" Type="http://schemas.openxmlformats.org/officeDocument/2006/relationships/hyperlink" Target="https://doi.org/10.1002/ece3.10016" TargetMode="External"/><Relationship Id="rId183" Type="http://schemas.openxmlformats.org/officeDocument/2006/relationships/hyperlink" Target="https://doi.org/10.1002/ece3.10016" TargetMode="External"/><Relationship Id="rId218" Type="http://schemas.openxmlformats.org/officeDocument/2006/relationships/hyperlink" Target="https://doi.org/10.1002/ece3.10016" TargetMode="External"/><Relationship Id="rId239" Type="http://schemas.openxmlformats.org/officeDocument/2006/relationships/hyperlink" Target="https://doi.org/10.1002/ece3.10016" TargetMode="External"/><Relationship Id="rId24" Type="http://schemas.openxmlformats.org/officeDocument/2006/relationships/hyperlink" Target="https://doi.org/10.1002/ece3.10016" TargetMode="External"/><Relationship Id="rId45" Type="http://schemas.openxmlformats.org/officeDocument/2006/relationships/hyperlink" Target="https://doi.org/10.1002/ece3.10016" TargetMode="External"/><Relationship Id="rId66" Type="http://schemas.openxmlformats.org/officeDocument/2006/relationships/hyperlink" Target="https://doi.org/10.1002/ece3.10016" TargetMode="External"/><Relationship Id="rId87" Type="http://schemas.openxmlformats.org/officeDocument/2006/relationships/hyperlink" Target="https://doi.org/10.1002/ece3.10016" TargetMode="External"/><Relationship Id="rId110" Type="http://schemas.openxmlformats.org/officeDocument/2006/relationships/hyperlink" Target="https://doi.org/10.1002/ece3.10016" TargetMode="External"/><Relationship Id="rId131" Type="http://schemas.openxmlformats.org/officeDocument/2006/relationships/hyperlink" Target="https://doi.org/10.1002/ece3.10016" TargetMode="External"/><Relationship Id="rId152" Type="http://schemas.openxmlformats.org/officeDocument/2006/relationships/hyperlink" Target="https://doi.org/10.1002/ece3.10016" TargetMode="External"/><Relationship Id="rId173" Type="http://schemas.openxmlformats.org/officeDocument/2006/relationships/hyperlink" Target="https://doi.org/10.1002/ece3.10016" TargetMode="External"/><Relationship Id="rId194" Type="http://schemas.openxmlformats.org/officeDocument/2006/relationships/hyperlink" Target="https://doi.org/10.1002/ece3.10016" TargetMode="External"/><Relationship Id="rId208" Type="http://schemas.openxmlformats.org/officeDocument/2006/relationships/hyperlink" Target="https://doi.org/10.1002/ece3.10016" TargetMode="External"/><Relationship Id="rId229" Type="http://schemas.openxmlformats.org/officeDocument/2006/relationships/hyperlink" Target="https://doi.org/10.1002/ece3.10016" TargetMode="External"/><Relationship Id="rId240" Type="http://schemas.openxmlformats.org/officeDocument/2006/relationships/hyperlink" Target="https://doi.org/10.1002/ece3.10016" TargetMode="External"/><Relationship Id="rId14" Type="http://schemas.openxmlformats.org/officeDocument/2006/relationships/hyperlink" Target="https://doi.org/10.1002/ece3.10016" TargetMode="External"/><Relationship Id="rId35" Type="http://schemas.openxmlformats.org/officeDocument/2006/relationships/hyperlink" Target="https://doi.org/10.1002/ece3.10016" TargetMode="External"/><Relationship Id="rId56" Type="http://schemas.openxmlformats.org/officeDocument/2006/relationships/hyperlink" Target="https://doi.org/10.1002/ece3.10016" TargetMode="External"/><Relationship Id="rId77" Type="http://schemas.openxmlformats.org/officeDocument/2006/relationships/hyperlink" Target="https://doi.org/10.1002/ece3.10016" TargetMode="External"/><Relationship Id="rId100" Type="http://schemas.openxmlformats.org/officeDocument/2006/relationships/hyperlink" Target="https://doi.org/10.1002/ece3.10016" TargetMode="External"/><Relationship Id="rId8" Type="http://schemas.openxmlformats.org/officeDocument/2006/relationships/hyperlink" Target="https://doi.org/10.1002/ece3.10016" TargetMode="External"/><Relationship Id="rId98" Type="http://schemas.openxmlformats.org/officeDocument/2006/relationships/hyperlink" Target="https://doi.org/10.1002/ece3.10016" TargetMode="External"/><Relationship Id="rId121" Type="http://schemas.openxmlformats.org/officeDocument/2006/relationships/hyperlink" Target="https://doi.org/10.1002/ece3.10016" TargetMode="External"/><Relationship Id="rId142" Type="http://schemas.openxmlformats.org/officeDocument/2006/relationships/hyperlink" Target="https://doi.org/10.1002/ece3.10016" TargetMode="External"/><Relationship Id="rId163" Type="http://schemas.openxmlformats.org/officeDocument/2006/relationships/hyperlink" Target="https://doi.org/10.1002/ece3.10016" TargetMode="External"/><Relationship Id="rId184" Type="http://schemas.openxmlformats.org/officeDocument/2006/relationships/hyperlink" Target="https://doi.org/10.1002/ece3.10016" TargetMode="External"/><Relationship Id="rId219" Type="http://schemas.openxmlformats.org/officeDocument/2006/relationships/hyperlink" Target="https://doi.org/10.1002/ece3.10016" TargetMode="External"/><Relationship Id="rId230" Type="http://schemas.openxmlformats.org/officeDocument/2006/relationships/hyperlink" Target="https://doi.org/10.1002/ece3.10016" TargetMode="External"/><Relationship Id="rId25" Type="http://schemas.openxmlformats.org/officeDocument/2006/relationships/hyperlink" Target="https://doi.org/10.1002/ece3.10016" TargetMode="External"/><Relationship Id="rId46" Type="http://schemas.openxmlformats.org/officeDocument/2006/relationships/hyperlink" Target="https://doi.org/10.1002/ece3.10016" TargetMode="External"/><Relationship Id="rId67" Type="http://schemas.openxmlformats.org/officeDocument/2006/relationships/hyperlink" Target="https://doi.org/10.1002/ece3.10016" TargetMode="External"/><Relationship Id="rId88" Type="http://schemas.openxmlformats.org/officeDocument/2006/relationships/hyperlink" Target="https://doi.org/10.1002/ece3.10016" TargetMode="External"/><Relationship Id="rId111" Type="http://schemas.openxmlformats.org/officeDocument/2006/relationships/hyperlink" Target="https://doi.org/10.1002/ece3.10016" TargetMode="External"/><Relationship Id="rId132" Type="http://schemas.openxmlformats.org/officeDocument/2006/relationships/hyperlink" Target="https://doi.org/10.1002/ece3.10016" TargetMode="External"/><Relationship Id="rId153" Type="http://schemas.openxmlformats.org/officeDocument/2006/relationships/hyperlink" Target="https://doi.org/10.1002/ece3.10016" TargetMode="External"/><Relationship Id="rId174" Type="http://schemas.openxmlformats.org/officeDocument/2006/relationships/hyperlink" Target="https://doi.org/10.1002/ece3.10016" TargetMode="External"/><Relationship Id="rId195" Type="http://schemas.openxmlformats.org/officeDocument/2006/relationships/hyperlink" Target="https://doi.org/10.1002/ece3.10016" TargetMode="External"/><Relationship Id="rId209" Type="http://schemas.openxmlformats.org/officeDocument/2006/relationships/hyperlink" Target="https://doi.org/10.1002/ece3.10016" TargetMode="External"/><Relationship Id="rId220" Type="http://schemas.openxmlformats.org/officeDocument/2006/relationships/hyperlink" Target="https://doi.org/10.1002/ece3.10016" TargetMode="External"/><Relationship Id="rId241" Type="http://schemas.openxmlformats.org/officeDocument/2006/relationships/hyperlink" Target="https://doi.org/10.1002/ece3.10016" TargetMode="External"/><Relationship Id="rId15" Type="http://schemas.openxmlformats.org/officeDocument/2006/relationships/hyperlink" Target="https://doi.org/10.1002/ece3.10016" TargetMode="External"/><Relationship Id="rId36" Type="http://schemas.openxmlformats.org/officeDocument/2006/relationships/hyperlink" Target="https://doi.org/10.1002/ece3.10016" TargetMode="External"/><Relationship Id="rId57" Type="http://schemas.openxmlformats.org/officeDocument/2006/relationships/hyperlink" Target="https://doi.org/10.1002/ece3.10016" TargetMode="External"/><Relationship Id="rId10" Type="http://schemas.openxmlformats.org/officeDocument/2006/relationships/hyperlink" Target="https://doi.org/10.1002/ece3.10016" TargetMode="External"/><Relationship Id="rId31" Type="http://schemas.openxmlformats.org/officeDocument/2006/relationships/hyperlink" Target="https://doi.org/10.1002/ece3.10016" TargetMode="External"/><Relationship Id="rId52" Type="http://schemas.openxmlformats.org/officeDocument/2006/relationships/hyperlink" Target="https://doi.org/10.1002/ece3.10016" TargetMode="External"/><Relationship Id="rId73" Type="http://schemas.openxmlformats.org/officeDocument/2006/relationships/hyperlink" Target="https://doi.org/10.1002/ece3.10016" TargetMode="External"/><Relationship Id="rId78" Type="http://schemas.openxmlformats.org/officeDocument/2006/relationships/hyperlink" Target="https://doi.org/10.1002/ece3.10016" TargetMode="External"/><Relationship Id="rId94" Type="http://schemas.openxmlformats.org/officeDocument/2006/relationships/hyperlink" Target="https://doi.org/10.1002/ece3.10016" TargetMode="External"/><Relationship Id="rId99" Type="http://schemas.openxmlformats.org/officeDocument/2006/relationships/hyperlink" Target="https://doi.org/10.1002/ece3.10016" TargetMode="External"/><Relationship Id="rId101" Type="http://schemas.openxmlformats.org/officeDocument/2006/relationships/hyperlink" Target="https://doi.org/10.1002/ece3.10016" TargetMode="External"/><Relationship Id="rId122" Type="http://schemas.openxmlformats.org/officeDocument/2006/relationships/hyperlink" Target="https://doi.org/10.1002/ece3.10016" TargetMode="External"/><Relationship Id="rId143" Type="http://schemas.openxmlformats.org/officeDocument/2006/relationships/hyperlink" Target="https://doi.org/10.1002/ece3.10016" TargetMode="External"/><Relationship Id="rId148" Type="http://schemas.openxmlformats.org/officeDocument/2006/relationships/hyperlink" Target="https://doi.org/10.1002/ece3.10016" TargetMode="External"/><Relationship Id="rId164" Type="http://schemas.openxmlformats.org/officeDocument/2006/relationships/hyperlink" Target="https://doi.org/10.1002/ece3.10016" TargetMode="External"/><Relationship Id="rId169" Type="http://schemas.openxmlformats.org/officeDocument/2006/relationships/hyperlink" Target="https://doi.org/10.1002/ece3.10016" TargetMode="External"/><Relationship Id="rId185" Type="http://schemas.openxmlformats.org/officeDocument/2006/relationships/hyperlink" Target="https://doi.org/10.1002/ece3.10016" TargetMode="External"/><Relationship Id="rId4" Type="http://schemas.openxmlformats.org/officeDocument/2006/relationships/hyperlink" Target="https://doi.org/10.1002/ece3.10016" TargetMode="External"/><Relationship Id="rId9" Type="http://schemas.openxmlformats.org/officeDocument/2006/relationships/hyperlink" Target="https://doi.org/10.1002/ece3.10016" TargetMode="External"/><Relationship Id="rId180" Type="http://schemas.openxmlformats.org/officeDocument/2006/relationships/hyperlink" Target="https://doi.org/10.1002/ece3.10016" TargetMode="External"/><Relationship Id="rId210" Type="http://schemas.openxmlformats.org/officeDocument/2006/relationships/hyperlink" Target="https://doi.org/10.1002/ece3.10016" TargetMode="External"/><Relationship Id="rId215" Type="http://schemas.openxmlformats.org/officeDocument/2006/relationships/hyperlink" Target="https://doi.org/10.1002/ece3.10016" TargetMode="External"/><Relationship Id="rId236" Type="http://schemas.openxmlformats.org/officeDocument/2006/relationships/hyperlink" Target="https://doi.org/10.1002/ece3.10016" TargetMode="External"/><Relationship Id="rId26" Type="http://schemas.openxmlformats.org/officeDocument/2006/relationships/hyperlink" Target="https://doi.org/10.1002/ece3.10016" TargetMode="External"/><Relationship Id="rId231" Type="http://schemas.openxmlformats.org/officeDocument/2006/relationships/hyperlink" Target="https://doi.org/10.1002/ece3.10016" TargetMode="External"/><Relationship Id="rId47" Type="http://schemas.openxmlformats.org/officeDocument/2006/relationships/hyperlink" Target="https://doi.org/10.1002/ece3.10016" TargetMode="External"/><Relationship Id="rId68" Type="http://schemas.openxmlformats.org/officeDocument/2006/relationships/hyperlink" Target="https://doi.org/10.1002/ece3.10016" TargetMode="External"/><Relationship Id="rId89" Type="http://schemas.openxmlformats.org/officeDocument/2006/relationships/hyperlink" Target="https://doi.org/10.1002/ece3.10016" TargetMode="External"/><Relationship Id="rId112" Type="http://schemas.openxmlformats.org/officeDocument/2006/relationships/hyperlink" Target="https://doi.org/10.1002/ece3.10016" TargetMode="External"/><Relationship Id="rId133" Type="http://schemas.openxmlformats.org/officeDocument/2006/relationships/hyperlink" Target="https://doi.org/10.1002/ece3.10016" TargetMode="External"/><Relationship Id="rId154" Type="http://schemas.openxmlformats.org/officeDocument/2006/relationships/hyperlink" Target="https://doi.org/10.1002/ece3.10016" TargetMode="External"/><Relationship Id="rId175" Type="http://schemas.openxmlformats.org/officeDocument/2006/relationships/hyperlink" Target="https://doi.org/10.1002/ece3.10016" TargetMode="External"/><Relationship Id="rId196" Type="http://schemas.openxmlformats.org/officeDocument/2006/relationships/hyperlink" Target="https://doi.org/10.1002/ece3.10016" TargetMode="External"/><Relationship Id="rId200" Type="http://schemas.openxmlformats.org/officeDocument/2006/relationships/hyperlink" Target="https://doi.org/10.1002/ece3.10016" TargetMode="External"/><Relationship Id="rId16" Type="http://schemas.openxmlformats.org/officeDocument/2006/relationships/hyperlink" Target="https://doi.org/10.1002/ece3.10016" TargetMode="External"/><Relationship Id="rId221" Type="http://schemas.openxmlformats.org/officeDocument/2006/relationships/hyperlink" Target="https://doi.org/10.1002/ece3.10016" TargetMode="External"/><Relationship Id="rId242" Type="http://schemas.openxmlformats.org/officeDocument/2006/relationships/hyperlink" Target="https://doi.org/10.1002/ece3.10016" TargetMode="External"/><Relationship Id="rId37" Type="http://schemas.openxmlformats.org/officeDocument/2006/relationships/hyperlink" Target="https://doi.org/10.1002/ece3.10016" TargetMode="External"/><Relationship Id="rId58" Type="http://schemas.openxmlformats.org/officeDocument/2006/relationships/hyperlink" Target="https://doi.org/10.1002/ece3.10016" TargetMode="External"/><Relationship Id="rId79" Type="http://schemas.openxmlformats.org/officeDocument/2006/relationships/hyperlink" Target="https://doi.org/10.1002/ece3.10016" TargetMode="External"/><Relationship Id="rId102" Type="http://schemas.openxmlformats.org/officeDocument/2006/relationships/hyperlink" Target="https://doi.org/10.1002/ece3.10016" TargetMode="External"/><Relationship Id="rId123" Type="http://schemas.openxmlformats.org/officeDocument/2006/relationships/hyperlink" Target="https://doi.org/10.1002/ece3.10016" TargetMode="External"/><Relationship Id="rId144" Type="http://schemas.openxmlformats.org/officeDocument/2006/relationships/hyperlink" Target="https://doi.org/10.1002/ece3.10016" TargetMode="External"/><Relationship Id="rId90" Type="http://schemas.openxmlformats.org/officeDocument/2006/relationships/hyperlink" Target="https://doi.org/10.1002/ece3.10016" TargetMode="External"/><Relationship Id="rId165" Type="http://schemas.openxmlformats.org/officeDocument/2006/relationships/hyperlink" Target="https://doi.org/10.1002/ece3.10016" TargetMode="External"/><Relationship Id="rId186" Type="http://schemas.openxmlformats.org/officeDocument/2006/relationships/hyperlink" Target="https://doi.org/10.1002/ece3.10016" TargetMode="External"/><Relationship Id="rId211" Type="http://schemas.openxmlformats.org/officeDocument/2006/relationships/hyperlink" Target="https://doi.org/10.1002/ece3.10016" TargetMode="External"/><Relationship Id="rId232" Type="http://schemas.openxmlformats.org/officeDocument/2006/relationships/hyperlink" Target="https://doi.org/10.1002/ece3.10016" TargetMode="External"/><Relationship Id="rId27" Type="http://schemas.openxmlformats.org/officeDocument/2006/relationships/hyperlink" Target="https://doi.org/10.1002/ece3.10016" TargetMode="External"/><Relationship Id="rId48" Type="http://schemas.openxmlformats.org/officeDocument/2006/relationships/hyperlink" Target="https://doi.org/10.1002/ece3.10016" TargetMode="External"/><Relationship Id="rId69" Type="http://schemas.openxmlformats.org/officeDocument/2006/relationships/hyperlink" Target="https://doi.org/10.1002/ece3.10016" TargetMode="External"/><Relationship Id="rId113" Type="http://schemas.openxmlformats.org/officeDocument/2006/relationships/hyperlink" Target="https://doi.org/10.1002/ece3.10016" TargetMode="External"/><Relationship Id="rId134" Type="http://schemas.openxmlformats.org/officeDocument/2006/relationships/hyperlink" Target="https://doi.org/10.1002/ece3.10016" TargetMode="External"/><Relationship Id="rId80" Type="http://schemas.openxmlformats.org/officeDocument/2006/relationships/hyperlink" Target="https://doi.org/10.1002/ece3.10016" TargetMode="External"/><Relationship Id="rId155" Type="http://schemas.openxmlformats.org/officeDocument/2006/relationships/hyperlink" Target="https://doi.org/10.1002/ece3.10016" TargetMode="External"/><Relationship Id="rId176" Type="http://schemas.openxmlformats.org/officeDocument/2006/relationships/hyperlink" Target="https://doi.org/10.1002/ece3.10016" TargetMode="External"/><Relationship Id="rId197" Type="http://schemas.openxmlformats.org/officeDocument/2006/relationships/hyperlink" Target="https://doi.org/10.1002/ece3.10016" TargetMode="External"/><Relationship Id="rId201" Type="http://schemas.openxmlformats.org/officeDocument/2006/relationships/hyperlink" Target="https://doi.org/10.1002/ece3.10016" TargetMode="External"/><Relationship Id="rId222" Type="http://schemas.openxmlformats.org/officeDocument/2006/relationships/hyperlink" Target="https://doi.org/10.1002/ece3.10016" TargetMode="External"/><Relationship Id="rId243" Type="http://schemas.openxmlformats.org/officeDocument/2006/relationships/hyperlink" Target="https://doi.org/10.1002/ece3.10016" TargetMode="External"/><Relationship Id="rId17" Type="http://schemas.openxmlformats.org/officeDocument/2006/relationships/hyperlink" Target="https://doi.org/10.1002/ece3.10016" TargetMode="External"/><Relationship Id="rId38" Type="http://schemas.openxmlformats.org/officeDocument/2006/relationships/hyperlink" Target="https://doi.org/10.1002/ece3.10016" TargetMode="External"/><Relationship Id="rId59" Type="http://schemas.openxmlformats.org/officeDocument/2006/relationships/hyperlink" Target="https://doi.org/10.1002/ece3.10016" TargetMode="External"/><Relationship Id="rId103" Type="http://schemas.openxmlformats.org/officeDocument/2006/relationships/hyperlink" Target="https://doi.org/10.1002/ece3.10016" TargetMode="External"/><Relationship Id="rId124" Type="http://schemas.openxmlformats.org/officeDocument/2006/relationships/hyperlink" Target="https://doi.org/10.1002/ece3.10016" TargetMode="External"/><Relationship Id="rId70" Type="http://schemas.openxmlformats.org/officeDocument/2006/relationships/hyperlink" Target="https://doi.org/10.1002/ece3.10016" TargetMode="External"/><Relationship Id="rId91" Type="http://schemas.openxmlformats.org/officeDocument/2006/relationships/hyperlink" Target="https://doi.org/10.1002/ece3.10016" TargetMode="External"/><Relationship Id="rId145" Type="http://schemas.openxmlformats.org/officeDocument/2006/relationships/hyperlink" Target="https://doi.org/10.1002/ece3.10016" TargetMode="External"/><Relationship Id="rId166" Type="http://schemas.openxmlformats.org/officeDocument/2006/relationships/hyperlink" Target="https://doi.org/10.1002/ece3.10016" TargetMode="External"/><Relationship Id="rId187" Type="http://schemas.openxmlformats.org/officeDocument/2006/relationships/hyperlink" Target="https://doi.org/10.1002/ece3.10016" TargetMode="External"/><Relationship Id="rId1" Type="http://schemas.openxmlformats.org/officeDocument/2006/relationships/hyperlink" Target="https://link.springer.com/article/10.1007/s00442-020-04662-4" TargetMode="External"/><Relationship Id="rId212" Type="http://schemas.openxmlformats.org/officeDocument/2006/relationships/hyperlink" Target="https://doi.org/10.1002/ece3.10016" TargetMode="External"/><Relationship Id="rId233" Type="http://schemas.openxmlformats.org/officeDocument/2006/relationships/hyperlink" Target="https://doi.org/10.1002/ece3.10016" TargetMode="External"/><Relationship Id="rId28" Type="http://schemas.openxmlformats.org/officeDocument/2006/relationships/hyperlink" Target="https://doi.org/10.1002/ece3.10016" TargetMode="External"/><Relationship Id="rId49" Type="http://schemas.openxmlformats.org/officeDocument/2006/relationships/hyperlink" Target="https://doi.org/10.1002/ece3.10016" TargetMode="External"/><Relationship Id="rId114" Type="http://schemas.openxmlformats.org/officeDocument/2006/relationships/hyperlink" Target="https://doi.org/10.1002/ece3.10016" TargetMode="External"/><Relationship Id="rId60" Type="http://schemas.openxmlformats.org/officeDocument/2006/relationships/hyperlink" Target="https://doi.org/10.1002/ece3.10016" TargetMode="External"/><Relationship Id="rId81" Type="http://schemas.openxmlformats.org/officeDocument/2006/relationships/hyperlink" Target="https://doi.org/10.1002/ece3.10016" TargetMode="External"/><Relationship Id="rId135" Type="http://schemas.openxmlformats.org/officeDocument/2006/relationships/hyperlink" Target="https://doi.org/10.1002/ece3.10016" TargetMode="External"/><Relationship Id="rId156" Type="http://schemas.openxmlformats.org/officeDocument/2006/relationships/hyperlink" Target="https://doi.org/10.1002/ece3.10016" TargetMode="External"/><Relationship Id="rId177" Type="http://schemas.openxmlformats.org/officeDocument/2006/relationships/hyperlink" Target="https://doi.org/10.1002/ece3.10016" TargetMode="External"/><Relationship Id="rId198" Type="http://schemas.openxmlformats.org/officeDocument/2006/relationships/hyperlink" Target="https://doi.org/10.1002/ece3.10016" TargetMode="External"/><Relationship Id="rId202" Type="http://schemas.openxmlformats.org/officeDocument/2006/relationships/hyperlink" Target="https://doi.org/10.1002/ece3.10016" TargetMode="External"/><Relationship Id="rId223" Type="http://schemas.openxmlformats.org/officeDocument/2006/relationships/hyperlink" Target="https://doi.org/10.1002/ece3.10016" TargetMode="External"/><Relationship Id="rId244" Type="http://schemas.openxmlformats.org/officeDocument/2006/relationships/hyperlink" Target="https://doi.org/10.1002/ece3.10016" TargetMode="External"/><Relationship Id="rId18" Type="http://schemas.openxmlformats.org/officeDocument/2006/relationships/hyperlink" Target="https://doi.org/10.1002/ece3.10016" TargetMode="External"/><Relationship Id="rId39" Type="http://schemas.openxmlformats.org/officeDocument/2006/relationships/hyperlink" Target="https://doi.org/10.1002/ece3.10016" TargetMode="External"/><Relationship Id="rId50" Type="http://schemas.openxmlformats.org/officeDocument/2006/relationships/hyperlink" Target="https://doi.org/10.1002/ece3.10016" TargetMode="External"/><Relationship Id="rId104" Type="http://schemas.openxmlformats.org/officeDocument/2006/relationships/hyperlink" Target="https://doi.org/10.1002/ece3.10016" TargetMode="External"/><Relationship Id="rId125" Type="http://schemas.openxmlformats.org/officeDocument/2006/relationships/hyperlink" Target="https://doi.org/10.1002/ece3.10016" TargetMode="External"/><Relationship Id="rId146" Type="http://schemas.openxmlformats.org/officeDocument/2006/relationships/hyperlink" Target="https://doi.org/10.1002/ece3.10016" TargetMode="External"/><Relationship Id="rId167" Type="http://schemas.openxmlformats.org/officeDocument/2006/relationships/hyperlink" Target="https://doi.org/10.1002/ece3.10016" TargetMode="External"/><Relationship Id="rId188" Type="http://schemas.openxmlformats.org/officeDocument/2006/relationships/hyperlink" Target="https://doi.org/10.1002/ece3.10016" TargetMode="External"/><Relationship Id="rId71" Type="http://schemas.openxmlformats.org/officeDocument/2006/relationships/hyperlink" Target="https://doi.org/10.1002/ece3.10016" TargetMode="External"/><Relationship Id="rId92" Type="http://schemas.openxmlformats.org/officeDocument/2006/relationships/hyperlink" Target="https://doi.org/10.1002/ece3.10016" TargetMode="External"/><Relationship Id="rId213" Type="http://schemas.openxmlformats.org/officeDocument/2006/relationships/hyperlink" Target="https://doi.org/10.1002/ece3.10016" TargetMode="External"/><Relationship Id="rId234" Type="http://schemas.openxmlformats.org/officeDocument/2006/relationships/hyperlink" Target="https://doi.org/10.1002/ece3.10016" TargetMode="External"/><Relationship Id="rId2" Type="http://schemas.openxmlformats.org/officeDocument/2006/relationships/hyperlink" Target="https://doi.org/10.1002/ece3.10016" TargetMode="External"/><Relationship Id="rId29" Type="http://schemas.openxmlformats.org/officeDocument/2006/relationships/hyperlink" Target="https://doi.org/10.1002/ece3.10016" TargetMode="External"/><Relationship Id="rId40" Type="http://schemas.openxmlformats.org/officeDocument/2006/relationships/hyperlink" Target="https://doi.org/10.1002/ece3.10016" TargetMode="External"/><Relationship Id="rId115" Type="http://schemas.openxmlformats.org/officeDocument/2006/relationships/hyperlink" Target="https://doi.org/10.1002/ece3.10016" TargetMode="External"/><Relationship Id="rId136" Type="http://schemas.openxmlformats.org/officeDocument/2006/relationships/hyperlink" Target="https://doi.org/10.1002/ece3.10016" TargetMode="External"/><Relationship Id="rId157" Type="http://schemas.openxmlformats.org/officeDocument/2006/relationships/hyperlink" Target="https://doi.org/10.1002/ece3.10016" TargetMode="External"/><Relationship Id="rId178" Type="http://schemas.openxmlformats.org/officeDocument/2006/relationships/hyperlink" Target="https://doi.org/10.1002/ece3.10016" TargetMode="External"/><Relationship Id="rId61" Type="http://schemas.openxmlformats.org/officeDocument/2006/relationships/hyperlink" Target="https://doi.org/10.1002/ece3.10016" TargetMode="External"/><Relationship Id="rId82" Type="http://schemas.openxmlformats.org/officeDocument/2006/relationships/hyperlink" Target="https://doi.org/10.1002/ece3.10016" TargetMode="External"/><Relationship Id="rId199" Type="http://schemas.openxmlformats.org/officeDocument/2006/relationships/hyperlink" Target="https://doi.org/10.1002/ece3.10016" TargetMode="External"/><Relationship Id="rId203" Type="http://schemas.openxmlformats.org/officeDocument/2006/relationships/hyperlink" Target="https://doi.org/10.1002/ece3.10016" TargetMode="External"/><Relationship Id="rId19" Type="http://schemas.openxmlformats.org/officeDocument/2006/relationships/hyperlink" Target="https://doi.org/10.1002/ece3.10016" TargetMode="External"/><Relationship Id="rId224" Type="http://schemas.openxmlformats.org/officeDocument/2006/relationships/hyperlink" Target="https://doi.org/10.1002/ece3.10016" TargetMode="External"/><Relationship Id="rId245" Type="http://schemas.openxmlformats.org/officeDocument/2006/relationships/hyperlink" Target="https://doi.org/10.1002/ece3.10016" TargetMode="External"/><Relationship Id="rId30" Type="http://schemas.openxmlformats.org/officeDocument/2006/relationships/hyperlink" Target="https://doi.org/10.1002/ece3.10016" TargetMode="External"/><Relationship Id="rId105" Type="http://schemas.openxmlformats.org/officeDocument/2006/relationships/hyperlink" Target="https://doi.org/10.1002/ece3.10016" TargetMode="External"/><Relationship Id="rId126" Type="http://schemas.openxmlformats.org/officeDocument/2006/relationships/hyperlink" Target="https://doi.org/10.1002/ece3.10016" TargetMode="External"/><Relationship Id="rId147" Type="http://schemas.openxmlformats.org/officeDocument/2006/relationships/hyperlink" Target="https://doi.org/10.1002/ece3.10016" TargetMode="External"/><Relationship Id="rId168" Type="http://schemas.openxmlformats.org/officeDocument/2006/relationships/hyperlink" Target="https://doi.org/10.1002/ece3.10016" TargetMode="External"/><Relationship Id="rId51" Type="http://schemas.openxmlformats.org/officeDocument/2006/relationships/hyperlink" Target="https://doi.org/10.1002/ece3.10016" TargetMode="External"/><Relationship Id="rId72" Type="http://schemas.openxmlformats.org/officeDocument/2006/relationships/hyperlink" Target="https://doi.org/10.1002/ece3.10016" TargetMode="External"/><Relationship Id="rId93" Type="http://schemas.openxmlformats.org/officeDocument/2006/relationships/hyperlink" Target="https://doi.org/10.1002/ece3.10016" TargetMode="External"/><Relationship Id="rId189" Type="http://schemas.openxmlformats.org/officeDocument/2006/relationships/hyperlink" Target="https://doi.org/10.1002/ece3.10016" TargetMode="External"/><Relationship Id="rId3" Type="http://schemas.openxmlformats.org/officeDocument/2006/relationships/hyperlink" Target="https://doi.org/10.1002/ece3.10016" TargetMode="External"/><Relationship Id="rId214" Type="http://schemas.openxmlformats.org/officeDocument/2006/relationships/hyperlink" Target="https://doi.org/10.1002/ece3.10016" TargetMode="External"/><Relationship Id="rId235" Type="http://schemas.openxmlformats.org/officeDocument/2006/relationships/hyperlink" Target="https://doi.org/10.1002/ece3.10016" TargetMode="External"/><Relationship Id="rId116" Type="http://schemas.openxmlformats.org/officeDocument/2006/relationships/hyperlink" Target="https://doi.org/10.1002/ece3.10016" TargetMode="External"/><Relationship Id="rId137" Type="http://schemas.openxmlformats.org/officeDocument/2006/relationships/hyperlink" Target="https://doi.org/10.1002/ece3.10016" TargetMode="External"/><Relationship Id="rId158" Type="http://schemas.openxmlformats.org/officeDocument/2006/relationships/hyperlink" Target="https://doi.org/10.1002/ece3.10016" TargetMode="External"/><Relationship Id="rId20" Type="http://schemas.openxmlformats.org/officeDocument/2006/relationships/hyperlink" Target="https://doi.org/10.1002/ece3.10016" TargetMode="External"/><Relationship Id="rId41" Type="http://schemas.openxmlformats.org/officeDocument/2006/relationships/hyperlink" Target="https://doi.org/10.1002/ece3.10016" TargetMode="External"/><Relationship Id="rId62" Type="http://schemas.openxmlformats.org/officeDocument/2006/relationships/hyperlink" Target="https://doi.org/10.1002/ece3.10016" TargetMode="External"/><Relationship Id="rId83" Type="http://schemas.openxmlformats.org/officeDocument/2006/relationships/hyperlink" Target="https://doi.org/10.1002/ece3.10016" TargetMode="External"/><Relationship Id="rId179" Type="http://schemas.openxmlformats.org/officeDocument/2006/relationships/hyperlink" Target="https://doi.org/10.1002/ece3.10016" TargetMode="External"/><Relationship Id="rId190" Type="http://schemas.openxmlformats.org/officeDocument/2006/relationships/hyperlink" Target="https://doi.org/10.1002/ece3.10016" TargetMode="External"/><Relationship Id="rId204" Type="http://schemas.openxmlformats.org/officeDocument/2006/relationships/hyperlink" Target="https://doi.org/10.1002/ece3.10016" TargetMode="External"/><Relationship Id="rId225" Type="http://schemas.openxmlformats.org/officeDocument/2006/relationships/hyperlink" Target="https://doi.org/10.1002/ece3.10016" TargetMode="External"/><Relationship Id="rId246" Type="http://schemas.openxmlformats.org/officeDocument/2006/relationships/hyperlink" Target="https://doi.org/10.1002/ece3.10016" TargetMode="External"/><Relationship Id="rId106" Type="http://schemas.openxmlformats.org/officeDocument/2006/relationships/hyperlink" Target="https://doi.org/10.1002/ece3.10016" TargetMode="External"/><Relationship Id="rId127" Type="http://schemas.openxmlformats.org/officeDocument/2006/relationships/hyperlink" Target="https://doi.org/10.1002/ece3.10016"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oi.org/10.1038/s41597-022-01364-9" TargetMode="External"/><Relationship Id="rId3" Type="http://schemas.openxmlformats.org/officeDocument/2006/relationships/hyperlink" Target="https://doi.org/10.1038/s41597-022-01364-9" TargetMode="External"/><Relationship Id="rId7" Type="http://schemas.openxmlformats.org/officeDocument/2006/relationships/hyperlink" Target="https://doi.org/10.1038/s41597-022-01364-9" TargetMode="External"/><Relationship Id="rId2" Type="http://schemas.openxmlformats.org/officeDocument/2006/relationships/hyperlink" Target="https://doi.org/10.1038/s41597-022-01364-9" TargetMode="External"/><Relationship Id="rId1" Type="http://schemas.openxmlformats.org/officeDocument/2006/relationships/hyperlink" Target="https://doi.org/10.1038/s41597-022-01364-9" TargetMode="External"/><Relationship Id="rId6" Type="http://schemas.openxmlformats.org/officeDocument/2006/relationships/hyperlink" Target="https://doi.org/10.1038/s41597-022-01364-9" TargetMode="External"/><Relationship Id="rId5" Type="http://schemas.openxmlformats.org/officeDocument/2006/relationships/hyperlink" Target="https://doi.org/10.1038/s41597-022-01364-9" TargetMode="External"/><Relationship Id="rId4" Type="http://schemas.openxmlformats.org/officeDocument/2006/relationships/hyperlink" Target="https://doi.org/10.1038/s41597-022-01364-9" TargetMode="External"/><Relationship Id="rId9" Type="http://schemas.openxmlformats.org/officeDocument/2006/relationships/hyperlink" Target="https://doi.org/10.1038/s41597-022-01364-9"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doi.org/10.1111/mam.12270" TargetMode="External"/><Relationship Id="rId3" Type="http://schemas.openxmlformats.org/officeDocument/2006/relationships/hyperlink" Target="https://doi.org/10.1111/mam.12270" TargetMode="External"/><Relationship Id="rId7" Type="http://schemas.openxmlformats.org/officeDocument/2006/relationships/hyperlink" Target="https://doi.org/10.1111/mam.12270" TargetMode="External"/><Relationship Id="rId2" Type="http://schemas.openxmlformats.org/officeDocument/2006/relationships/hyperlink" Target="https://doi.org/10.1111/mam.12270" TargetMode="External"/><Relationship Id="rId1" Type="http://schemas.openxmlformats.org/officeDocument/2006/relationships/hyperlink" Target="https://doi.org/10.1111/mam.12270" TargetMode="External"/><Relationship Id="rId6" Type="http://schemas.openxmlformats.org/officeDocument/2006/relationships/hyperlink" Target="https://doi.org/10.1111/mam.12270" TargetMode="External"/><Relationship Id="rId5" Type="http://schemas.openxmlformats.org/officeDocument/2006/relationships/hyperlink" Target="https://doi.org/10.1111/mam.12270" TargetMode="External"/><Relationship Id="rId10" Type="http://schemas.openxmlformats.org/officeDocument/2006/relationships/hyperlink" Target="https://doi.org/10.1111/mam.12270" TargetMode="External"/><Relationship Id="rId4" Type="http://schemas.openxmlformats.org/officeDocument/2006/relationships/hyperlink" Target="https://doi.org/10.1111/mam.12270" TargetMode="External"/><Relationship Id="rId9" Type="http://schemas.openxmlformats.org/officeDocument/2006/relationships/hyperlink" Target="https://doi.org/10.1111/mam.12270"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doi.org/10.1002/ecy.2106" TargetMode="External"/><Relationship Id="rId3" Type="http://schemas.openxmlformats.org/officeDocument/2006/relationships/hyperlink" Target="https://doi.org/10.1002/ecy.2106" TargetMode="External"/><Relationship Id="rId7" Type="http://schemas.openxmlformats.org/officeDocument/2006/relationships/hyperlink" Target="https://doi.org/10.1002/ecy.2106" TargetMode="External"/><Relationship Id="rId2" Type="http://schemas.openxmlformats.org/officeDocument/2006/relationships/hyperlink" Target="https://doi.org/10.1002/ecy.2106" TargetMode="External"/><Relationship Id="rId1" Type="http://schemas.openxmlformats.org/officeDocument/2006/relationships/hyperlink" Target="https://doi.org/10.1002/ecy.2106" TargetMode="External"/><Relationship Id="rId6" Type="http://schemas.openxmlformats.org/officeDocument/2006/relationships/hyperlink" Target="https://doi.org/10.1002/ecy.2106" TargetMode="External"/><Relationship Id="rId5" Type="http://schemas.openxmlformats.org/officeDocument/2006/relationships/hyperlink" Target="https://doi.org/10.1002/ecy.2106" TargetMode="External"/><Relationship Id="rId4" Type="http://schemas.openxmlformats.org/officeDocument/2006/relationships/hyperlink" Target="https://doi.org/10.1002/ecy.2106"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oi.org/10.1046/j.1474-9728.2002.00020.x" TargetMode="External"/><Relationship Id="rId3" Type="http://schemas.openxmlformats.org/officeDocument/2006/relationships/hyperlink" Target="https://doi.org/10.1046/j.1474-9728.2002.00020.x" TargetMode="External"/><Relationship Id="rId7" Type="http://schemas.openxmlformats.org/officeDocument/2006/relationships/hyperlink" Target="https://doi.org/10.1046/j.1474-9728.2002.00020.x" TargetMode="External"/><Relationship Id="rId2" Type="http://schemas.openxmlformats.org/officeDocument/2006/relationships/hyperlink" Target="https://doi.org/10.1046/j.1474-9728.2002.00020.x" TargetMode="External"/><Relationship Id="rId1" Type="http://schemas.openxmlformats.org/officeDocument/2006/relationships/hyperlink" Target="https://onlinelibrary.wiley.com/doi/10.1046/j.1474-9728.2002.00020.x" TargetMode="External"/><Relationship Id="rId6" Type="http://schemas.openxmlformats.org/officeDocument/2006/relationships/hyperlink" Target="https://doi.org/10.1046/j.1474-9728.2002.00020.x" TargetMode="External"/><Relationship Id="rId11" Type="http://schemas.openxmlformats.org/officeDocument/2006/relationships/hyperlink" Target="https://doi.org/10.1046/j.1474-9728.2002.00020.x" TargetMode="External"/><Relationship Id="rId5" Type="http://schemas.openxmlformats.org/officeDocument/2006/relationships/hyperlink" Target="https://onlinelibrary.wiley.com/doi/10.1046/j.1474-9728.2002.00020.x" TargetMode="External"/><Relationship Id="rId10" Type="http://schemas.openxmlformats.org/officeDocument/2006/relationships/hyperlink" Target="https://doi.org/10.1046/j.1474-9728.2002.00020.x" TargetMode="External"/><Relationship Id="rId4" Type="http://schemas.openxmlformats.org/officeDocument/2006/relationships/hyperlink" Target="https://doi.org/10.1046/j.1474-9728.2002.00020.x" TargetMode="External"/><Relationship Id="rId9" Type="http://schemas.openxmlformats.org/officeDocument/2006/relationships/hyperlink" Target="https://onlinelibrary.wiley.com/doi/10.1046/j.1474-9728.2002.00020.x"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doi.org/10.1038/s41597-022-01234-4" TargetMode="External"/><Relationship Id="rId18" Type="http://schemas.openxmlformats.org/officeDocument/2006/relationships/hyperlink" Target="https://www.nature.com/articles/s41597-022-01234-4" TargetMode="External"/><Relationship Id="rId26" Type="http://schemas.openxmlformats.org/officeDocument/2006/relationships/hyperlink" Target="https://doi.org/10.1038/s41597-022-01234-4" TargetMode="External"/><Relationship Id="rId39" Type="http://schemas.openxmlformats.org/officeDocument/2006/relationships/hyperlink" Target="https://doi.org/10.1038/s41597-022-01234-4" TargetMode="External"/><Relationship Id="rId21" Type="http://schemas.openxmlformats.org/officeDocument/2006/relationships/hyperlink" Target="https://doi.org/10.1038/s41597-022-01234-4" TargetMode="External"/><Relationship Id="rId34" Type="http://schemas.openxmlformats.org/officeDocument/2006/relationships/hyperlink" Target="https://doi.org/10.1038/s41597-022-01234-4" TargetMode="External"/><Relationship Id="rId42" Type="http://schemas.openxmlformats.org/officeDocument/2006/relationships/hyperlink" Target="https://doi.org/10.1038/s41597-022-01234-4" TargetMode="External"/><Relationship Id="rId47" Type="http://schemas.openxmlformats.org/officeDocument/2006/relationships/hyperlink" Target="https://doi.org/10.1038/s41597-022-01234-4" TargetMode="External"/><Relationship Id="rId7" Type="http://schemas.openxmlformats.org/officeDocument/2006/relationships/hyperlink" Target="https://www.iucnredlist.org/resources/habitat-classification-scheme" TargetMode="External"/><Relationship Id="rId2" Type="http://schemas.openxmlformats.org/officeDocument/2006/relationships/hyperlink" Target="https://doi.org/10.1038/s41597-022-01234-4" TargetMode="External"/><Relationship Id="rId16" Type="http://schemas.openxmlformats.org/officeDocument/2006/relationships/hyperlink" Target="https://doi.org/10.1038/s41597-022-01234-4" TargetMode="External"/><Relationship Id="rId29" Type="http://schemas.openxmlformats.org/officeDocument/2006/relationships/hyperlink" Target="https://doi.org/10.1038/s41597-022-01234-4" TargetMode="External"/><Relationship Id="rId1" Type="http://schemas.openxmlformats.org/officeDocument/2006/relationships/hyperlink" Target="https://www.iucnredlist.org/resources/habitat-classification-scheme" TargetMode="External"/><Relationship Id="rId6" Type="http://schemas.openxmlformats.org/officeDocument/2006/relationships/hyperlink" Target="https://doi.org/10.1038/s41597-022-01234-4" TargetMode="External"/><Relationship Id="rId11" Type="http://schemas.openxmlformats.org/officeDocument/2006/relationships/hyperlink" Target="https://www.iucnredlist.org/resources/habitat-classification-scheme" TargetMode="External"/><Relationship Id="rId24" Type="http://schemas.openxmlformats.org/officeDocument/2006/relationships/hyperlink" Target="https://doi.org/10.1038/s41597-022-01234-4" TargetMode="External"/><Relationship Id="rId32" Type="http://schemas.openxmlformats.org/officeDocument/2006/relationships/hyperlink" Target="https://doi.org/10.1038/s41597-022-01234-4" TargetMode="External"/><Relationship Id="rId37" Type="http://schemas.openxmlformats.org/officeDocument/2006/relationships/hyperlink" Target="https://doi.org/10.1038/s41597-022-01234-4" TargetMode="External"/><Relationship Id="rId40" Type="http://schemas.openxmlformats.org/officeDocument/2006/relationships/hyperlink" Target="https://doi.org/10.1038/s41597-022-01234-4" TargetMode="External"/><Relationship Id="rId45" Type="http://schemas.openxmlformats.org/officeDocument/2006/relationships/hyperlink" Target="https://doi.org/10.1038/s41597-022-01234-4" TargetMode="External"/><Relationship Id="rId5" Type="http://schemas.openxmlformats.org/officeDocument/2006/relationships/hyperlink" Target="https://www.iucnredlist.org/resources/habitat-classification-scheme" TargetMode="External"/><Relationship Id="rId15" Type="http://schemas.openxmlformats.org/officeDocument/2006/relationships/hyperlink" Target="https://doi.org/10.1038/s41597-022-01234-4" TargetMode="External"/><Relationship Id="rId23" Type="http://schemas.openxmlformats.org/officeDocument/2006/relationships/hyperlink" Target="https://www.nature.com/articles/s41597-022-01234-4" TargetMode="External"/><Relationship Id="rId28" Type="http://schemas.openxmlformats.org/officeDocument/2006/relationships/hyperlink" Target="https://doi.org/10.1038/s41597-022-01234-4" TargetMode="External"/><Relationship Id="rId36" Type="http://schemas.openxmlformats.org/officeDocument/2006/relationships/hyperlink" Target="https://doi.org/10.1038/s41597-022-01234-4" TargetMode="External"/><Relationship Id="rId10" Type="http://schemas.openxmlformats.org/officeDocument/2006/relationships/hyperlink" Target="https://doi.org/10.1038/s41597-022-01234-4" TargetMode="External"/><Relationship Id="rId19" Type="http://schemas.openxmlformats.org/officeDocument/2006/relationships/hyperlink" Target="https://doi.org/10.1038/s41597-022-01234-4" TargetMode="External"/><Relationship Id="rId31" Type="http://schemas.openxmlformats.org/officeDocument/2006/relationships/hyperlink" Target="https://doi.org/10.1038/s41597-022-01234-4" TargetMode="External"/><Relationship Id="rId44" Type="http://schemas.openxmlformats.org/officeDocument/2006/relationships/hyperlink" Target="https://doi.org/10.1038/s41597-022-01234-4" TargetMode="External"/><Relationship Id="rId4" Type="http://schemas.openxmlformats.org/officeDocument/2006/relationships/hyperlink" Target="https://doi.org/10.1038/s41597-022-01234-4" TargetMode="External"/><Relationship Id="rId9" Type="http://schemas.openxmlformats.org/officeDocument/2006/relationships/hyperlink" Target="https://www.iucnredlist.org/resources/habitat-classification-scheme" TargetMode="External"/><Relationship Id="rId14" Type="http://schemas.openxmlformats.org/officeDocument/2006/relationships/hyperlink" Target="https://doi.org/10.1038/s41597-022-01234-4" TargetMode="External"/><Relationship Id="rId22" Type="http://schemas.openxmlformats.org/officeDocument/2006/relationships/hyperlink" Target="https://doi.org/10.1038/s41597-022-01234-4" TargetMode="External"/><Relationship Id="rId27" Type="http://schemas.openxmlformats.org/officeDocument/2006/relationships/hyperlink" Target="https://doi.org/10.1038/s41597-022-01234-4" TargetMode="External"/><Relationship Id="rId30" Type="http://schemas.openxmlformats.org/officeDocument/2006/relationships/hyperlink" Target="https://doi.org/10.1038/s41597-022-01234-4" TargetMode="External"/><Relationship Id="rId35" Type="http://schemas.openxmlformats.org/officeDocument/2006/relationships/hyperlink" Target="https://doi.org/10.1038/s41597-022-01234-4" TargetMode="External"/><Relationship Id="rId43" Type="http://schemas.openxmlformats.org/officeDocument/2006/relationships/hyperlink" Target="https://doi.org/10.1038/s41597-022-01234-4" TargetMode="External"/><Relationship Id="rId8" Type="http://schemas.openxmlformats.org/officeDocument/2006/relationships/hyperlink" Target="https://doi.org/10.1038/s41597-022-01234-4" TargetMode="External"/><Relationship Id="rId3" Type="http://schemas.openxmlformats.org/officeDocument/2006/relationships/hyperlink" Target="https://www.iucnredlist.org/resources/habitat-classification-scheme" TargetMode="External"/><Relationship Id="rId12" Type="http://schemas.openxmlformats.org/officeDocument/2006/relationships/hyperlink" Target="https://doi.org/10.1038/s41597-022-01234-4" TargetMode="External"/><Relationship Id="rId17" Type="http://schemas.openxmlformats.org/officeDocument/2006/relationships/hyperlink" Target="https://doi.org/10.1038/s41597-022-01234-4" TargetMode="External"/><Relationship Id="rId25" Type="http://schemas.openxmlformats.org/officeDocument/2006/relationships/hyperlink" Target="https://www.nature.com/articles/s41597-022-01234-4" TargetMode="External"/><Relationship Id="rId33" Type="http://schemas.openxmlformats.org/officeDocument/2006/relationships/hyperlink" Target="https://doi.org/10.1038/s41597-022-01234-4" TargetMode="External"/><Relationship Id="rId38" Type="http://schemas.openxmlformats.org/officeDocument/2006/relationships/hyperlink" Target="https://doi.org/10.1038/s41597-022-01234-4" TargetMode="External"/><Relationship Id="rId46" Type="http://schemas.openxmlformats.org/officeDocument/2006/relationships/hyperlink" Target="https://doi.org/10.1038/s41597-022-01234-4" TargetMode="External"/><Relationship Id="rId20" Type="http://schemas.openxmlformats.org/officeDocument/2006/relationships/hyperlink" Target="https://www.nature.com/articles/s41597-022-01234-4" TargetMode="External"/><Relationship Id="rId41" Type="http://schemas.openxmlformats.org/officeDocument/2006/relationships/hyperlink" Target="https://doi.org/10.1038/s41597-022-01234-4"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www.iucnredlist.org/technical-documents/classification-schemes/habitats-classification-scheme-ver3"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https://doi.org/10.1890/15-0846R.1" TargetMode="External"/><Relationship Id="rId18" Type="http://schemas.openxmlformats.org/officeDocument/2006/relationships/hyperlink" Target="https://doi.org/10.1038/s41597-023-02157-4" TargetMode="External"/><Relationship Id="rId26" Type="http://schemas.openxmlformats.org/officeDocument/2006/relationships/hyperlink" Target="https://doi.org/10.1038/s41597-023-02157-4" TargetMode="External"/><Relationship Id="rId39" Type="http://schemas.openxmlformats.org/officeDocument/2006/relationships/hyperlink" Target="https://doi.org/10.1890/15-0846R.1" TargetMode="External"/><Relationship Id="rId21" Type="http://schemas.openxmlformats.org/officeDocument/2006/relationships/hyperlink" Target="https://doi.org/10.1890/15-0846R.1" TargetMode="External"/><Relationship Id="rId34" Type="http://schemas.openxmlformats.org/officeDocument/2006/relationships/hyperlink" Target="https://doi.org/10.1038/s41597-023-02157-4" TargetMode="External"/><Relationship Id="rId42" Type="http://schemas.openxmlformats.org/officeDocument/2006/relationships/hyperlink" Target="https://doi.org/10.1038/s41597-023-02157-4" TargetMode="External"/><Relationship Id="rId47" Type="http://schemas.openxmlformats.org/officeDocument/2006/relationships/hyperlink" Target="https://doi.org/10.1890/15-0846R.1" TargetMode="External"/><Relationship Id="rId50" Type="http://schemas.openxmlformats.org/officeDocument/2006/relationships/hyperlink" Target="https://doi.org/10.1038/s41597-023-02157-4" TargetMode="External"/><Relationship Id="rId55" Type="http://schemas.openxmlformats.org/officeDocument/2006/relationships/hyperlink" Target="https://doi.org/10.1890/15-0846R.1" TargetMode="External"/><Relationship Id="rId7" Type="http://schemas.openxmlformats.org/officeDocument/2006/relationships/hyperlink" Target="https://doi.org/10.1890/15-0846R.1" TargetMode="External"/><Relationship Id="rId2" Type="http://schemas.openxmlformats.org/officeDocument/2006/relationships/hyperlink" Target="https://doi.org/10.1038/s41597-023-02157-4" TargetMode="External"/><Relationship Id="rId16" Type="http://schemas.openxmlformats.org/officeDocument/2006/relationships/hyperlink" Target="https://doi.org/10.1038/s41597-023-02157-4" TargetMode="External"/><Relationship Id="rId29" Type="http://schemas.openxmlformats.org/officeDocument/2006/relationships/hyperlink" Target="https://doi.org/10.1890/15-0846R.1" TargetMode="External"/><Relationship Id="rId11" Type="http://schemas.openxmlformats.org/officeDocument/2006/relationships/hyperlink" Target="https://doi.org/10.1890/15-0846R.1" TargetMode="External"/><Relationship Id="rId24" Type="http://schemas.openxmlformats.org/officeDocument/2006/relationships/hyperlink" Target="https://doi.org/10.1038/s41597-023-02157-4" TargetMode="External"/><Relationship Id="rId32" Type="http://schemas.openxmlformats.org/officeDocument/2006/relationships/hyperlink" Target="https://doi.org/10.1038/s41597-023-02157-4" TargetMode="External"/><Relationship Id="rId37" Type="http://schemas.openxmlformats.org/officeDocument/2006/relationships/hyperlink" Target="https://doi.org/10.1890/15-0846R.1" TargetMode="External"/><Relationship Id="rId40" Type="http://schemas.openxmlformats.org/officeDocument/2006/relationships/hyperlink" Target="https://doi.org/10.1038/s41597-023-02157-4" TargetMode="External"/><Relationship Id="rId45" Type="http://schemas.openxmlformats.org/officeDocument/2006/relationships/hyperlink" Target="https://doi.org/10.1890/15-0846R.1" TargetMode="External"/><Relationship Id="rId53" Type="http://schemas.openxmlformats.org/officeDocument/2006/relationships/hyperlink" Target="https://doi.org/10.1890/15-0846R.1" TargetMode="External"/><Relationship Id="rId58" Type="http://schemas.openxmlformats.org/officeDocument/2006/relationships/hyperlink" Target="https://doi.org/10.1038/s41597-023-02157-4" TargetMode="External"/><Relationship Id="rId5" Type="http://schemas.openxmlformats.org/officeDocument/2006/relationships/hyperlink" Target="https://doi.org/10.1890/15-0846R.1" TargetMode="External"/><Relationship Id="rId19" Type="http://schemas.openxmlformats.org/officeDocument/2006/relationships/hyperlink" Target="https://doi.org/10.1890/15-0846R.1" TargetMode="External"/><Relationship Id="rId4" Type="http://schemas.openxmlformats.org/officeDocument/2006/relationships/hyperlink" Target="https://doi.org/10.1038/s41597-023-02157-4" TargetMode="External"/><Relationship Id="rId9" Type="http://schemas.openxmlformats.org/officeDocument/2006/relationships/hyperlink" Target="https://doi.org/10.1890/15-0846R.1" TargetMode="External"/><Relationship Id="rId14" Type="http://schemas.openxmlformats.org/officeDocument/2006/relationships/hyperlink" Target="https://doi.org/10.1038/s41597-023-02157-4" TargetMode="External"/><Relationship Id="rId22" Type="http://schemas.openxmlformats.org/officeDocument/2006/relationships/hyperlink" Target="https://doi.org/10.1038/s41597-023-02157-4" TargetMode="External"/><Relationship Id="rId27" Type="http://schemas.openxmlformats.org/officeDocument/2006/relationships/hyperlink" Target="https://doi.org/10.1890/15-0846R.1" TargetMode="External"/><Relationship Id="rId30" Type="http://schemas.openxmlformats.org/officeDocument/2006/relationships/hyperlink" Target="https://doi.org/10.1038/s41597-023-02157-4" TargetMode="External"/><Relationship Id="rId35" Type="http://schemas.openxmlformats.org/officeDocument/2006/relationships/hyperlink" Target="https://doi.org/10.1890/15-0846R.1" TargetMode="External"/><Relationship Id="rId43" Type="http://schemas.openxmlformats.org/officeDocument/2006/relationships/hyperlink" Target="https://doi.org/10.1890/15-0846R.1" TargetMode="External"/><Relationship Id="rId48" Type="http://schemas.openxmlformats.org/officeDocument/2006/relationships/hyperlink" Target="https://doi.org/10.1038/s41597-023-02157-4" TargetMode="External"/><Relationship Id="rId56" Type="http://schemas.openxmlformats.org/officeDocument/2006/relationships/hyperlink" Target="https://doi.org/10.1038/s41597-023-02157-4" TargetMode="External"/><Relationship Id="rId8" Type="http://schemas.openxmlformats.org/officeDocument/2006/relationships/hyperlink" Target="https://doi.org/10.1038/s41597-023-02157-4" TargetMode="External"/><Relationship Id="rId51" Type="http://schemas.openxmlformats.org/officeDocument/2006/relationships/hyperlink" Target="https://doi.org/10.1890/15-0846R.1" TargetMode="External"/><Relationship Id="rId3" Type="http://schemas.openxmlformats.org/officeDocument/2006/relationships/hyperlink" Target="https://doi.org/10.1890/15-0846R.1" TargetMode="External"/><Relationship Id="rId12" Type="http://schemas.openxmlformats.org/officeDocument/2006/relationships/hyperlink" Target="https://doi.org/10.1038/s41597-023-02157-4" TargetMode="External"/><Relationship Id="rId17" Type="http://schemas.openxmlformats.org/officeDocument/2006/relationships/hyperlink" Target="https://doi.org/10.1890/15-0846R.1" TargetMode="External"/><Relationship Id="rId25" Type="http://schemas.openxmlformats.org/officeDocument/2006/relationships/hyperlink" Target="https://doi.org/10.1890/15-0846R.1" TargetMode="External"/><Relationship Id="rId33" Type="http://schemas.openxmlformats.org/officeDocument/2006/relationships/hyperlink" Target="https://doi.org/10.1890/15-0846R.1" TargetMode="External"/><Relationship Id="rId38" Type="http://schemas.openxmlformats.org/officeDocument/2006/relationships/hyperlink" Target="https://doi.org/10.1038/s41597-023-02157-4" TargetMode="External"/><Relationship Id="rId46" Type="http://schemas.openxmlformats.org/officeDocument/2006/relationships/hyperlink" Target="https://doi.org/10.1038/s41597-023-02157-4" TargetMode="External"/><Relationship Id="rId20" Type="http://schemas.openxmlformats.org/officeDocument/2006/relationships/hyperlink" Target="https://doi.org/10.1038/s41597-023-02157-4" TargetMode="External"/><Relationship Id="rId41" Type="http://schemas.openxmlformats.org/officeDocument/2006/relationships/hyperlink" Target="https://doi.org/10.1890/15-0846R.1" TargetMode="External"/><Relationship Id="rId54" Type="http://schemas.openxmlformats.org/officeDocument/2006/relationships/hyperlink" Target="https://doi.org/10.1038/s41597-023-02157-4" TargetMode="External"/><Relationship Id="rId1" Type="http://schemas.openxmlformats.org/officeDocument/2006/relationships/hyperlink" Target="https://doi.org/10.1890/15-0846R.1" TargetMode="External"/><Relationship Id="rId6" Type="http://schemas.openxmlformats.org/officeDocument/2006/relationships/hyperlink" Target="https://doi.org/10.1038/s41597-023-02157-4" TargetMode="External"/><Relationship Id="rId15" Type="http://schemas.openxmlformats.org/officeDocument/2006/relationships/hyperlink" Target="https://doi.org/10.1890/15-0846R.1" TargetMode="External"/><Relationship Id="rId23" Type="http://schemas.openxmlformats.org/officeDocument/2006/relationships/hyperlink" Target="https://doi.org/10.1890/15-0846R.1" TargetMode="External"/><Relationship Id="rId28" Type="http://schemas.openxmlformats.org/officeDocument/2006/relationships/hyperlink" Target="https://doi.org/10.1038/s41597-023-02157-4" TargetMode="External"/><Relationship Id="rId36" Type="http://schemas.openxmlformats.org/officeDocument/2006/relationships/hyperlink" Target="https://doi.org/10.1038/s41597-023-02157-4" TargetMode="External"/><Relationship Id="rId49" Type="http://schemas.openxmlformats.org/officeDocument/2006/relationships/hyperlink" Target="https://doi.org/10.1890/15-0846R.1" TargetMode="External"/><Relationship Id="rId57" Type="http://schemas.openxmlformats.org/officeDocument/2006/relationships/hyperlink" Target="https://doi.org/10.1890/15-0846R.1" TargetMode="External"/><Relationship Id="rId10" Type="http://schemas.openxmlformats.org/officeDocument/2006/relationships/hyperlink" Target="https://doi.org/10.1038/s41597-023-02157-4" TargetMode="External"/><Relationship Id="rId31" Type="http://schemas.openxmlformats.org/officeDocument/2006/relationships/hyperlink" Target="https://doi.org/10.1890/15-0846R.1" TargetMode="External"/><Relationship Id="rId44" Type="http://schemas.openxmlformats.org/officeDocument/2006/relationships/hyperlink" Target="https://doi.org/10.1038/s41597-023-02157-4" TargetMode="External"/><Relationship Id="rId52" Type="http://schemas.openxmlformats.org/officeDocument/2006/relationships/hyperlink" Target="https://doi.org/10.1038/s41597-023-02157-4"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s://doi.org/10.1002/ecy.3344" TargetMode="External"/><Relationship Id="rId18" Type="http://schemas.openxmlformats.org/officeDocument/2006/relationships/hyperlink" Target="https://doi.org/10.1002/ecy.3344" TargetMode="External"/><Relationship Id="rId26" Type="http://schemas.openxmlformats.org/officeDocument/2006/relationships/hyperlink" Target="https://doi.org/10.1002/ecy.3344" TargetMode="External"/><Relationship Id="rId39" Type="http://schemas.openxmlformats.org/officeDocument/2006/relationships/hyperlink" Target="https://doi.org/10.1002/ecy.3344" TargetMode="External"/><Relationship Id="rId21" Type="http://schemas.openxmlformats.org/officeDocument/2006/relationships/hyperlink" Target="https://doi.org/10.1002/ecy.3344" TargetMode="External"/><Relationship Id="rId34" Type="http://schemas.openxmlformats.org/officeDocument/2006/relationships/hyperlink" Target="https://doi.org/10.1002/ecy.3344" TargetMode="External"/><Relationship Id="rId42" Type="http://schemas.openxmlformats.org/officeDocument/2006/relationships/hyperlink" Target="https://doi.org/10.1002/ecy.3344" TargetMode="External"/><Relationship Id="rId47" Type="http://schemas.openxmlformats.org/officeDocument/2006/relationships/hyperlink" Target="https://doi.org/10.1002/ecy.3344" TargetMode="External"/><Relationship Id="rId50" Type="http://schemas.openxmlformats.org/officeDocument/2006/relationships/hyperlink" Target="https://doi.org/10.1002/ecy.3344" TargetMode="External"/><Relationship Id="rId7" Type="http://schemas.openxmlformats.org/officeDocument/2006/relationships/hyperlink" Target="https://doi.org/10.1002/ecy.3344" TargetMode="External"/><Relationship Id="rId2" Type="http://schemas.openxmlformats.org/officeDocument/2006/relationships/hyperlink" Target="https://doi.org/10.1002/ecy.3344" TargetMode="External"/><Relationship Id="rId16" Type="http://schemas.openxmlformats.org/officeDocument/2006/relationships/hyperlink" Target="https://doi.org/10.1002/ecy.3344" TargetMode="External"/><Relationship Id="rId29" Type="http://schemas.openxmlformats.org/officeDocument/2006/relationships/hyperlink" Target="https://doi.org/10.1002/ecy.3344" TargetMode="External"/><Relationship Id="rId11" Type="http://schemas.openxmlformats.org/officeDocument/2006/relationships/hyperlink" Target="https://doi.org/10.1002/ecy.3344" TargetMode="External"/><Relationship Id="rId24" Type="http://schemas.openxmlformats.org/officeDocument/2006/relationships/hyperlink" Target="https://doi.org/10.1002/ecy.3344" TargetMode="External"/><Relationship Id="rId32" Type="http://schemas.openxmlformats.org/officeDocument/2006/relationships/hyperlink" Target="https://doi.org/10.1002/ecy.3344" TargetMode="External"/><Relationship Id="rId37" Type="http://schemas.openxmlformats.org/officeDocument/2006/relationships/hyperlink" Target="https://doi.org/10.1002/ecy.3344" TargetMode="External"/><Relationship Id="rId40" Type="http://schemas.openxmlformats.org/officeDocument/2006/relationships/hyperlink" Target="https://doi.org/10.1002/ecy.3344" TargetMode="External"/><Relationship Id="rId45" Type="http://schemas.openxmlformats.org/officeDocument/2006/relationships/hyperlink" Target="https://doi.org/10.1002/ecy.3344" TargetMode="External"/><Relationship Id="rId53" Type="http://schemas.openxmlformats.org/officeDocument/2006/relationships/hyperlink" Target="https://doi.org/10.1002/ecy.3344" TargetMode="External"/><Relationship Id="rId5" Type="http://schemas.openxmlformats.org/officeDocument/2006/relationships/hyperlink" Target="https://doi.org/10.1002/ecy.3344" TargetMode="External"/><Relationship Id="rId10" Type="http://schemas.openxmlformats.org/officeDocument/2006/relationships/hyperlink" Target="https://doi.org/10.1002/ecy.3344" TargetMode="External"/><Relationship Id="rId19" Type="http://schemas.openxmlformats.org/officeDocument/2006/relationships/hyperlink" Target="https://doi.org/10.1002/ecy.3344" TargetMode="External"/><Relationship Id="rId31" Type="http://schemas.openxmlformats.org/officeDocument/2006/relationships/hyperlink" Target="https://doi.org/10.1002/ecy.3344" TargetMode="External"/><Relationship Id="rId44" Type="http://schemas.openxmlformats.org/officeDocument/2006/relationships/hyperlink" Target="https://doi.org/10.1002/ecy.3344" TargetMode="External"/><Relationship Id="rId52" Type="http://schemas.openxmlformats.org/officeDocument/2006/relationships/hyperlink" Target="https://doi.org/10.1002/ecy.3344" TargetMode="External"/><Relationship Id="rId4" Type="http://schemas.openxmlformats.org/officeDocument/2006/relationships/hyperlink" Target="https://doi.org/10.1002/ecy.3344" TargetMode="External"/><Relationship Id="rId9" Type="http://schemas.openxmlformats.org/officeDocument/2006/relationships/hyperlink" Target="https://doi.org/10.1002/ecy.3344" TargetMode="External"/><Relationship Id="rId14" Type="http://schemas.openxmlformats.org/officeDocument/2006/relationships/hyperlink" Target="https://doi.org/10.1002/ecy.3344" TargetMode="External"/><Relationship Id="rId22" Type="http://schemas.openxmlformats.org/officeDocument/2006/relationships/hyperlink" Target="https://doi.org/10.1002/ecy.3344" TargetMode="External"/><Relationship Id="rId27" Type="http://schemas.openxmlformats.org/officeDocument/2006/relationships/hyperlink" Target="https://doi.org/10.1002/ecy.3344" TargetMode="External"/><Relationship Id="rId30" Type="http://schemas.openxmlformats.org/officeDocument/2006/relationships/hyperlink" Target="https://doi.org/10.1002/ecy.3344" TargetMode="External"/><Relationship Id="rId35" Type="http://schemas.openxmlformats.org/officeDocument/2006/relationships/hyperlink" Target="https://doi.org/10.1002/ecy.3344" TargetMode="External"/><Relationship Id="rId43" Type="http://schemas.openxmlformats.org/officeDocument/2006/relationships/hyperlink" Target="https://doi.org/10.1002/ecy.3344" TargetMode="External"/><Relationship Id="rId48" Type="http://schemas.openxmlformats.org/officeDocument/2006/relationships/hyperlink" Target="https://doi.org/10.1002/ecy.3344" TargetMode="External"/><Relationship Id="rId8" Type="http://schemas.openxmlformats.org/officeDocument/2006/relationships/hyperlink" Target="https://doi.org/10.1002/ecy.3344" TargetMode="External"/><Relationship Id="rId51" Type="http://schemas.openxmlformats.org/officeDocument/2006/relationships/hyperlink" Target="https://doi.org/10.1002/ecy.3344" TargetMode="External"/><Relationship Id="rId3" Type="http://schemas.openxmlformats.org/officeDocument/2006/relationships/hyperlink" Target="https://doi.org/10.1002/ecy.3344" TargetMode="External"/><Relationship Id="rId12" Type="http://schemas.openxmlformats.org/officeDocument/2006/relationships/hyperlink" Target="https://doi.org/10.1002/ecy.3344" TargetMode="External"/><Relationship Id="rId17" Type="http://schemas.openxmlformats.org/officeDocument/2006/relationships/hyperlink" Target="https://doi.org/10.1002/ecy.3344" TargetMode="External"/><Relationship Id="rId25" Type="http://schemas.openxmlformats.org/officeDocument/2006/relationships/hyperlink" Target="https://doi.org/10.1002/ecy.3344" TargetMode="External"/><Relationship Id="rId33" Type="http://schemas.openxmlformats.org/officeDocument/2006/relationships/hyperlink" Target="https://doi.org/10.1002/ecy.3344" TargetMode="External"/><Relationship Id="rId38" Type="http://schemas.openxmlformats.org/officeDocument/2006/relationships/hyperlink" Target="https://doi.org/10.1002/ecy.3344" TargetMode="External"/><Relationship Id="rId46" Type="http://schemas.openxmlformats.org/officeDocument/2006/relationships/hyperlink" Target="https://doi.org/10.1002/ecy.3344" TargetMode="External"/><Relationship Id="rId20" Type="http://schemas.openxmlformats.org/officeDocument/2006/relationships/hyperlink" Target="https://doi.org/10.1002/ecy.3344" TargetMode="External"/><Relationship Id="rId41" Type="http://schemas.openxmlformats.org/officeDocument/2006/relationships/hyperlink" Target="https://doi.org/10.1002/ecy.3344" TargetMode="External"/><Relationship Id="rId54" Type="http://schemas.openxmlformats.org/officeDocument/2006/relationships/hyperlink" Target="https://doi.org/10.1002/ecy.3344" TargetMode="External"/><Relationship Id="rId1" Type="http://schemas.openxmlformats.org/officeDocument/2006/relationships/hyperlink" Target="https://doi.org/10.1002/ecy.3344" TargetMode="External"/><Relationship Id="rId6" Type="http://schemas.openxmlformats.org/officeDocument/2006/relationships/hyperlink" Target="https://doi.org/10.1002/ecy.3344" TargetMode="External"/><Relationship Id="rId15" Type="http://schemas.openxmlformats.org/officeDocument/2006/relationships/hyperlink" Target="https://doi.org/10.1002/ecy.3344" TargetMode="External"/><Relationship Id="rId23" Type="http://schemas.openxmlformats.org/officeDocument/2006/relationships/hyperlink" Target="https://doi.org/10.1002/ecy.3344" TargetMode="External"/><Relationship Id="rId28" Type="http://schemas.openxmlformats.org/officeDocument/2006/relationships/hyperlink" Target="https://doi.org/10.1002/ecy.3344" TargetMode="External"/><Relationship Id="rId36" Type="http://schemas.openxmlformats.org/officeDocument/2006/relationships/hyperlink" Target="https://doi.org/10.1002/ecy.3344" TargetMode="External"/><Relationship Id="rId49" Type="http://schemas.openxmlformats.org/officeDocument/2006/relationships/hyperlink" Target="https://doi.org/10.1002/ecy.3344" TargetMode="External"/></Relationships>
</file>

<file path=xl/worksheets/_rels/sheet15.xml.rels><?xml version="1.0" encoding="UTF-8" standalone="yes"?>
<Relationships xmlns="http://schemas.openxmlformats.org/package/2006/relationships"><Relationship Id="rId26" Type="http://schemas.openxmlformats.org/officeDocument/2006/relationships/hyperlink" Target="https://doi.org/10.1038/s41597-023-02157-4" TargetMode="External"/><Relationship Id="rId117" Type="http://schemas.openxmlformats.org/officeDocument/2006/relationships/hyperlink" Target="https://doi.org/10.1038/s41597-023-02157-4" TargetMode="External"/><Relationship Id="rId21" Type="http://schemas.openxmlformats.org/officeDocument/2006/relationships/hyperlink" Target="https://doi.org/10.1038/s41597-023-02157-4" TargetMode="External"/><Relationship Id="rId42" Type="http://schemas.openxmlformats.org/officeDocument/2006/relationships/hyperlink" Target="https://doi.org/10.1038/s41597-023-02157-4" TargetMode="External"/><Relationship Id="rId47" Type="http://schemas.openxmlformats.org/officeDocument/2006/relationships/hyperlink" Target="https://doi.org/10.1038/s41597-023-02157-4" TargetMode="External"/><Relationship Id="rId63" Type="http://schemas.openxmlformats.org/officeDocument/2006/relationships/hyperlink" Target="https://doi.org/10.1038/s41597-023-02157-4" TargetMode="External"/><Relationship Id="rId68" Type="http://schemas.openxmlformats.org/officeDocument/2006/relationships/hyperlink" Target="https://doi.org/10.1038/s41597-023-02157-4" TargetMode="External"/><Relationship Id="rId84" Type="http://schemas.openxmlformats.org/officeDocument/2006/relationships/hyperlink" Target="https://doi.org/10.1038/s41597-023-02157-4" TargetMode="External"/><Relationship Id="rId89" Type="http://schemas.openxmlformats.org/officeDocument/2006/relationships/hyperlink" Target="https://doi.org/10.1038/s41597-023-02157-4" TargetMode="External"/><Relationship Id="rId112" Type="http://schemas.openxmlformats.org/officeDocument/2006/relationships/hyperlink" Target="https://doi.org/10.1038/s41597-023-02157-4" TargetMode="External"/><Relationship Id="rId16" Type="http://schemas.openxmlformats.org/officeDocument/2006/relationships/hyperlink" Target="https://doi.org/10.1038/s41597-023-02157-4" TargetMode="External"/><Relationship Id="rId107" Type="http://schemas.openxmlformats.org/officeDocument/2006/relationships/hyperlink" Target="https://doi.org/10.1038/s41597-023-02157-4" TargetMode="External"/><Relationship Id="rId11" Type="http://schemas.openxmlformats.org/officeDocument/2006/relationships/hyperlink" Target="https://doi.org/10.1038/s41597-023-02157-4" TargetMode="External"/><Relationship Id="rId32" Type="http://schemas.openxmlformats.org/officeDocument/2006/relationships/hyperlink" Target="https://doi.org/10.1038/s41597-023-02157-4" TargetMode="External"/><Relationship Id="rId37" Type="http://schemas.openxmlformats.org/officeDocument/2006/relationships/hyperlink" Target="https://doi.org/10.1038/s41597-023-02157-4" TargetMode="External"/><Relationship Id="rId53" Type="http://schemas.openxmlformats.org/officeDocument/2006/relationships/hyperlink" Target="https://doi.org/10.1038/s41597-023-02157-4" TargetMode="External"/><Relationship Id="rId58" Type="http://schemas.openxmlformats.org/officeDocument/2006/relationships/hyperlink" Target="https://doi.org/10.1038/s41597-023-02157-4" TargetMode="External"/><Relationship Id="rId74" Type="http://schemas.openxmlformats.org/officeDocument/2006/relationships/hyperlink" Target="https://doi.org/10.1038/s41597-023-02157-4" TargetMode="External"/><Relationship Id="rId79" Type="http://schemas.openxmlformats.org/officeDocument/2006/relationships/hyperlink" Target="https://doi.org/10.1038/s41597-023-02157-4" TargetMode="External"/><Relationship Id="rId102" Type="http://schemas.openxmlformats.org/officeDocument/2006/relationships/hyperlink" Target="https://doi.org/10.1038/s41597-023-02157-4" TargetMode="External"/><Relationship Id="rId5" Type="http://schemas.openxmlformats.org/officeDocument/2006/relationships/hyperlink" Target="https://doi.org/10.1038/s41597-023-02157-4" TargetMode="External"/><Relationship Id="rId90" Type="http://schemas.openxmlformats.org/officeDocument/2006/relationships/hyperlink" Target="https://doi.org/10.1038/s41597-023-02157-4" TargetMode="External"/><Relationship Id="rId95" Type="http://schemas.openxmlformats.org/officeDocument/2006/relationships/hyperlink" Target="https://doi.org/10.1038/s41597-023-02157-4" TargetMode="External"/><Relationship Id="rId22" Type="http://schemas.openxmlformats.org/officeDocument/2006/relationships/hyperlink" Target="https://doi.org/10.1038/s41597-023-02157-4" TargetMode="External"/><Relationship Id="rId27" Type="http://schemas.openxmlformats.org/officeDocument/2006/relationships/hyperlink" Target="https://doi.org/10.1038/s41597-023-02157-4" TargetMode="External"/><Relationship Id="rId43" Type="http://schemas.openxmlformats.org/officeDocument/2006/relationships/hyperlink" Target="https://doi.org/10.1038/s41597-023-02157-4" TargetMode="External"/><Relationship Id="rId48" Type="http://schemas.openxmlformats.org/officeDocument/2006/relationships/hyperlink" Target="https://doi.org/10.1038/s41597-023-02157-4" TargetMode="External"/><Relationship Id="rId64" Type="http://schemas.openxmlformats.org/officeDocument/2006/relationships/hyperlink" Target="https://doi.org/10.1038/s41597-023-02157-4" TargetMode="External"/><Relationship Id="rId69" Type="http://schemas.openxmlformats.org/officeDocument/2006/relationships/hyperlink" Target="https://doi.org/10.1038/s41597-023-02157-4" TargetMode="External"/><Relationship Id="rId113" Type="http://schemas.openxmlformats.org/officeDocument/2006/relationships/hyperlink" Target="https://doi.org/10.1038/s41597-023-02157-4" TargetMode="External"/><Relationship Id="rId118" Type="http://schemas.openxmlformats.org/officeDocument/2006/relationships/hyperlink" Target="https://doi.org/10.1038/s41597-023-02157-4" TargetMode="External"/><Relationship Id="rId80" Type="http://schemas.openxmlformats.org/officeDocument/2006/relationships/hyperlink" Target="https://doi.org/10.1038/s41597-023-02157-4" TargetMode="External"/><Relationship Id="rId85" Type="http://schemas.openxmlformats.org/officeDocument/2006/relationships/hyperlink" Target="https://doi.org/10.1038/s41597-023-02157-4" TargetMode="External"/><Relationship Id="rId12" Type="http://schemas.openxmlformats.org/officeDocument/2006/relationships/hyperlink" Target="https://doi.org/10.1038/s41597-023-02157-4" TargetMode="External"/><Relationship Id="rId17" Type="http://schemas.openxmlformats.org/officeDocument/2006/relationships/hyperlink" Target="https://doi.org/10.1038/s41597-023-02157-4" TargetMode="External"/><Relationship Id="rId33" Type="http://schemas.openxmlformats.org/officeDocument/2006/relationships/hyperlink" Target="https://doi.org/10.1038/s41597-023-02157-4" TargetMode="External"/><Relationship Id="rId38" Type="http://schemas.openxmlformats.org/officeDocument/2006/relationships/hyperlink" Target="https://doi.org/10.1038/s41597-023-02157-4" TargetMode="External"/><Relationship Id="rId59" Type="http://schemas.openxmlformats.org/officeDocument/2006/relationships/hyperlink" Target="https://doi.org/10.1038/s41597-023-02157-4" TargetMode="External"/><Relationship Id="rId103" Type="http://schemas.openxmlformats.org/officeDocument/2006/relationships/hyperlink" Target="https://doi.org/10.1038/s41597-023-02157-4" TargetMode="External"/><Relationship Id="rId108" Type="http://schemas.openxmlformats.org/officeDocument/2006/relationships/hyperlink" Target="https://doi.org/10.1038/s41597-023-02157-4" TargetMode="External"/><Relationship Id="rId54" Type="http://schemas.openxmlformats.org/officeDocument/2006/relationships/hyperlink" Target="https://doi.org/10.1038/s41597-023-02157-4" TargetMode="External"/><Relationship Id="rId70" Type="http://schemas.openxmlformats.org/officeDocument/2006/relationships/hyperlink" Target="https://doi.org/10.1038/s41597-023-02157-4" TargetMode="External"/><Relationship Id="rId75" Type="http://schemas.openxmlformats.org/officeDocument/2006/relationships/hyperlink" Target="https://doi.org/10.1038/s41597-023-02157-4" TargetMode="External"/><Relationship Id="rId91" Type="http://schemas.openxmlformats.org/officeDocument/2006/relationships/hyperlink" Target="https://doi.org/10.1038/s41597-023-02157-4" TargetMode="External"/><Relationship Id="rId96" Type="http://schemas.openxmlformats.org/officeDocument/2006/relationships/hyperlink" Target="https://doi.org/10.1038/s41597-023-02157-4" TargetMode="External"/><Relationship Id="rId1" Type="http://schemas.openxmlformats.org/officeDocument/2006/relationships/hyperlink" Target="https://doi.org/10.1038/s41597-023-02157-4" TargetMode="External"/><Relationship Id="rId6" Type="http://schemas.openxmlformats.org/officeDocument/2006/relationships/hyperlink" Target="https://doi.org/10.1038/s41597-023-02157-4" TargetMode="External"/><Relationship Id="rId23" Type="http://schemas.openxmlformats.org/officeDocument/2006/relationships/hyperlink" Target="https://doi.org/10.1038/s41597-023-02157-4" TargetMode="External"/><Relationship Id="rId28" Type="http://schemas.openxmlformats.org/officeDocument/2006/relationships/hyperlink" Target="https://doi.org/10.1038/s41597-023-02157-4" TargetMode="External"/><Relationship Id="rId49" Type="http://schemas.openxmlformats.org/officeDocument/2006/relationships/hyperlink" Target="https://doi.org/10.1038/s41597-023-02157-4" TargetMode="External"/><Relationship Id="rId114" Type="http://schemas.openxmlformats.org/officeDocument/2006/relationships/hyperlink" Target="https://doi.org/10.1038/s41597-023-02157-4" TargetMode="External"/><Relationship Id="rId10" Type="http://schemas.openxmlformats.org/officeDocument/2006/relationships/hyperlink" Target="https://doi.org/10.1038/s41597-023-02157-4" TargetMode="External"/><Relationship Id="rId31" Type="http://schemas.openxmlformats.org/officeDocument/2006/relationships/hyperlink" Target="https://doi.org/10.1038/s41597-023-02157-4" TargetMode="External"/><Relationship Id="rId44" Type="http://schemas.openxmlformats.org/officeDocument/2006/relationships/hyperlink" Target="https://doi.org/10.1038/s41597-023-02157-4" TargetMode="External"/><Relationship Id="rId52" Type="http://schemas.openxmlformats.org/officeDocument/2006/relationships/hyperlink" Target="https://doi.org/10.1038/s41597-023-02157-4" TargetMode="External"/><Relationship Id="rId60" Type="http://schemas.openxmlformats.org/officeDocument/2006/relationships/hyperlink" Target="https://doi.org/10.1038/s41597-023-02157-4" TargetMode="External"/><Relationship Id="rId65" Type="http://schemas.openxmlformats.org/officeDocument/2006/relationships/hyperlink" Target="https://doi.org/10.1038/s41597-023-02157-4" TargetMode="External"/><Relationship Id="rId73" Type="http://schemas.openxmlformats.org/officeDocument/2006/relationships/hyperlink" Target="https://doi.org/10.1038/s41597-023-02157-4" TargetMode="External"/><Relationship Id="rId78" Type="http://schemas.openxmlformats.org/officeDocument/2006/relationships/hyperlink" Target="https://doi.org/10.1038/s41597-023-02157-4" TargetMode="External"/><Relationship Id="rId81" Type="http://schemas.openxmlformats.org/officeDocument/2006/relationships/hyperlink" Target="https://doi.org/10.1038/s41597-023-02157-4" TargetMode="External"/><Relationship Id="rId86" Type="http://schemas.openxmlformats.org/officeDocument/2006/relationships/hyperlink" Target="https://doi.org/10.1038/s41597-023-02157-4" TargetMode="External"/><Relationship Id="rId94" Type="http://schemas.openxmlformats.org/officeDocument/2006/relationships/hyperlink" Target="https://doi.org/10.1038/s41597-023-02157-4" TargetMode="External"/><Relationship Id="rId99" Type="http://schemas.openxmlformats.org/officeDocument/2006/relationships/hyperlink" Target="https://doi.org/10.1038/s41597-023-02157-4" TargetMode="External"/><Relationship Id="rId101" Type="http://schemas.openxmlformats.org/officeDocument/2006/relationships/hyperlink" Target="https://doi.org/10.1038/s41597-023-02157-4" TargetMode="External"/><Relationship Id="rId4" Type="http://schemas.openxmlformats.org/officeDocument/2006/relationships/hyperlink" Target="https://doi.org/10.1038/s41597-023-02157-4" TargetMode="External"/><Relationship Id="rId9" Type="http://schemas.openxmlformats.org/officeDocument/2006/relationships/hyperlink" Target="https://doi.org/10.1038/s41597-023-02157-4" TargetMode="External"/><Relationship Id="rId13" Type="http://schemas.openxmlformats.org/officeDocument/2006/relationships/hyperlink" Target="https://doi.org/10.1038/s41597-023-02157-4" TargetMode="External"/><Relationship Id="rId18" Type="http://schemas.openxmlformats.org/officeDocument/2006/relationships/hyperlink" Target="https://doi.org/10.1038/s41597-023-02157-4" TargetMode="External"/><Relationship Id="rId39" Type="http://schemas.openxmlformats.org/officeDocument/2006/relationships/hyperlink" Target="https://doi.org/10.1038/s41597-023-02157-4" TargetMode="External"/><Relationship Id="rId109" Type="http://schemas.openxmlformats.org/officeDocument/2006/relationships/hyperlink" Target="https://doi.org/10.1038/s41597-023-02157-4" TargetMode="External"/><Relationship Id="rId34" Type="http://schemas.openxmlformats.org/officeDocument/2006/relationships/hyperlink" Target="https://doi.org/10.1038/s41597-023-02157-4" TargetMode="External"/><Relationship Id="rId50" Type="http://schemas.openxmlformats.org/officeDocument/2006/relationships/hyperlink" Target="https://doi.org/10.1038/s41597-023-02157-4" TargetMode="External"/><Relationship Id="rId55" Type="http://schemas.openxmlformats.org/officeDocument/2006/relationships/hyperlink" Target="https://doi.org/10.1038/s41597-023-02157-4" TargetMode="External"/><Relationship Id="rId76" Type="http://schemas.openxmlformats.org/officeDocument/2006/relationships/hyperlink" Target="https://doi.org/10.1038/s41597-023-02157-4" TargetMode="External"/><Relationship Id="rId97" Type="http://schemas.openxmlformats.org/officeDocument/2006/relationships/hyperlink" Target="https://doi.org/10.1038/s41597-023-02157-4" TargetMode="External"/><Relationship Id="rId104" Type="http://schemas.openxmlformats.org/officeDocument/2006/relationships/hyperlink" Target="https://doi.org/10.1038/s41597-023-02157-4" TargetMode="External"/><Relationship Id="rId7" Type="http://schemas.openxmlformats.org/officeDocument/2006/relationships/hyperlink" Target="https://doi.org/10.1038/s41597-023-02157-4" TargetMode="External"/><Relationship Id="rId71" Type="http://schemas.openxmlformats.org/officeDocument/2006/relationships/hyperlink" Target="https://doi.org/10.1038/s41597-023-02157-4" TargetMode="External"/><Relationship Id="rId92" Type="http://schemas.openxmlformats.org/officeDocument/2006/relationships/hyperlink" Target="https://doi.org/10.1038/s41597-023-02157-4" TargetMode="External"/><Relationship Id="rId2" Type="http://schemas.openxmlformats.org/officeDocument/2006/relationships/hyperlink" Target="https://doi.org/10.1038/s41597-023-02157-4" TargetMode="External"/><Relationship Id="rId29" Type="http://schemas.openxmlformats.org/officeDocument/2006/relationships/hyperlink" Target="https://doi.org/10.1038/s41597-023-02157-4" TargetMode="External"/><Relationship Id="rId24" Type="http://schemas.openxmlformats.org/officeDocument/2006/relationships/hyperlink" Target="https://doi.org/10.1038/s41597-023-02157-4" TargetMode="External"/><Relationship Id="rId40" Type="http://schemas.openxmlformats.org/officeDocument/2006/relationships/hyperlink" Target="https://doi.org/10.1038/s41597-023-02157-4" TargetMode="External"/><Relationship Id="rId45" Type="http://schemas.openxmlformats.org/officeDocument/2006/relationships/hyperlink" Target="https://doi.org/10.1038/s41597-023-02157-4" TargetMode="External"/><Relationship Id="rId66" Type="http://schemas.openxmlformats.org/officeDocument/2006/relationships/hyperlink" Target="https://doi.org/10.1038/s41597-023-02157-4" TargetMode="External"/><Relationship Id="rId87" Type="http://schemas.openxmlformats.org/officeDocument/2006/relationships/hyperlink" Target="https://doi.org/10.1038/s41597-023-02157-4" TargetMode="External"/><Relationship Id="rId110" Type="http://schemas.openxmlformats.org/officeDocument/2006/relationships/hyperlink" Target="https://doi.org/10.1038/s41597-023-02157-4" TargetMode="External"/><Relationship Id="rId115" Type="http://schemas.openxmlformats.org/officeDocument/2006/relationships/hyperlink" Target="https://doi.org/10.1038/s41597-023-02157-4" TargetMode="External"/><Relationship Id="rId61" Type="http://schemas.openxmlformats.org/officeDocument/2006/relationships/hyperlink" Target="https://doi.org/10.1038/s41597-023-02157-4" TargetMode="External"/><Relationship Id="rId82" Type="http://schemas.openxmlformats.org/officeDocument/2006/relationships/hyperlink" Target="https://doi.org/10.1038/s41597-023-02157-4" TargetMode="External"/><Relationship Id="rId19" Type="http://schemas.openxmlformats.org/officeDocument/2006/relationships/hyperlink" Target="https://doi.org/10.1038/s41597-023-02157-4" TargetMode="External"/><Relationship Id="rId14" Type="http://schemas.openxmlformats.org/officeDocument/2006/relationships/hyperlink" Target="https://doi.org/10.1038/s41597-023-02157-4" TargetMode="External"/><Relationship Id="rId30" Type="http://schemas.openxmlformats.org/officeDocument/2006/relationships/hyperlink" Target="https://doi.org/10.1038/s41597-023-02157-4" TargetMode="External"/><Relationship Id="rId35" Type="http://schemas.openxmlformats.org/officeDocument/2006/relationships/hyperlink" Target="https://doi.org/10.1038/s41597-023-02157-4" TargetMode="External"/><Relationship Id="rId56" Type="http://schemas.openxmlformats.org/officeDocument/2006/relationships/hyperlink" Target="https://doi.org/10.1038/s41597-023-02157-4" TargetMode="External"/><Relationship Id="rId77" Type="http://schemas.openxmlformats.org/officeDocument/2006/relationships/hyperlink" Target="https://doi.org/10.1038/s41597-023-02157-4" TargetMode="External"/><Relationship Id="rId100" Type="http://schemas.openxmlformats.org/officeDocument/2006/relationships/hyperlink" Target="https://doi.org/10.1038/s41597-023-02157-4" TargetMode="External"/><Relationship Id="rId105" Type="http://schemas.openxmlformats.org/officeDocument/2006/relationships/hyperlink" Target="https://doi.org/10.1038/s41597-023-02157-4" TargetMode="External"/><Relationship Id="rId8" Type="http://schemas.openxmlformats.org/officeDocument/2006/relationships/hyperlink" Target="https://doi.org/10.1038/s41597-023-02157-4" TargetMode="External"/><Relationship Id="rId51" Type="http://schemas.openxmlformats.org/officeDocument/2006/relationships/hyperlink" Target="https://doi.org/10.1038/s41597-023-02157-4" TargetMode="External"/><Relationship Id="rId72" Type="http://schemas.openxmlformats.org/officeDocument/2006/relationships/hyperlink" Target="https://doi.org/10.1038/s41597-023-02157-4" TargetMode="External"/><Relationship Id="rId93" Type="http://schemas.openxmlformats.org/officeDocument/2006/relationships/hyperlink" Target="https://doi.org/10.1038/s41597-023-02157-4" TargetMode="External"/><Relationship Id="rId98" Type="http://schemas.openxmlformats.org/officeDocument/2006/relationships/hyperlink" Target="https://doi.org/10.1038/s41597-023-02157-4" TargetMode="External"/><Relationship Id="rId3" Type="http://schemas.openxmlformats.org/officeDocument/2006/relationships/hyperlink" Target="https://doi.org/10.1038/s41597-023-02157-4" TargetMode="External"/><Relationship Id="rId25" Type="http://schemas.openxmlformats.org/officeDocument/2006/relationships/hyperlink" Target="https://doi.org/10.1038/s41597-023-02157-4" TargetMode="External"/><Relationship Id="rId46" Type="http://schemas.openxmlformats.org/officeDocument/2006/relationships/hyperlink" Target="https://doi.org/10.1038/s41597-023-02157-4" TargetMode="External"/><Relationship Id="rId67" Type="http://schemas.openxmlformats.org/officeDocument/2006/relationships/hyperlink" Target="https://doi.org/10.1038/s41597-023-02157-4" TargetMode="External"/><Relationship Id="rId116" Type="http://schemas.openxmlformats.org/officeDocument/2006/relationships/hyperlink" Target="https://doi.org/10.1038/s41597-023-02157-4" TargetMode="External"/><Relationship Id="rId20" Type="http://schemas.openxmlformats.org/officeDocument/2006/relationships/hyperlink" Target="https://doi.org/10.1038/s41597-023-02157-4" TargetMode="External"/><Relationship Id="rId41" Type="http://schemas.openxmlformats.org/officeDocument/2006/relationships/hyperlink" Target="https://doi.org/10.1038/s41597-023-02157-4" TargetMode="External"/><Relationship Id="rId62" Type="http://schemas.openxmlformats.org/officeDocument/2006/relationships/hyperlink" Target="https://doi.org/10.1038/s41597-023-02157-4" TargetMode="External"/><Relationship Id="rId83" Type="http://schemas.openxmlformats.org/officeDocument/2006/relationships/hyperlink" Target="https://doi.org/10.1038/s41597-023-02157-4" TargetMode="External"/><Relationship Id="rId88" Type="http://schemas.openxmlformats.org/officeDocument/2006/relationships/hyperlink" Target="https://doi.org/10.1038/s41597-023-02157-4" TargetMode="External"/><Relationship Id="rId111" Type="http://schemas.openxmlformats.org/officeDocument/2006/relationships/hyperlink" Target="https://doi.org/10.1038/s41597-023-02157-4" TargetMode="External"/><Relationship Id="rId15" Type="http://schemas.openxmlformats.org/officeDocument/2006/relationships/hyperlink" Target="https://doi.org/10.1038/s41597-023-02157-4" TargetMode="External"/><Relationship Id="rId36" Type="http://schemas.openxmlformats.org/officeDocument/2006/relationships/hyperlink" Target="https://doi.org/10.1038/s41597-023-02157-4" TargetMode="External"/><Relationship Id="rId57" Type="http://schemas.openxmlformats.org/officeDocument/2006/relationships/hyperlink" Target="https://doi.org/10.1038/s41597-023-02157-4" TargetMode="External"/><Relationship Id="rId106" Type="http://schemas.openxmlformats.org/officeDocument/2006/relationships/hyperlink" Target="https://doi.org/10.1038/s41597-023-02157-4" TargetMode="External"/></Relationships>
</file>

<file path=xl/worksheets/_rels/sheet16.xml.rels><?xml version="1.0" encoding="UTF-8" standalone="yes"?>
<Relationships xmlns="http://schemas.openxmlformats.org/package/2006/relationships"><Relationship Id="rId13" Type="http://schemas.openxmlformats.org/officeDocument/2006/relationships/hyperlink" Target="https://doi.org/10.11606/1807-0205/2021.61.24" TargetMode="External"/><Relationship Id="rId18" Type="http://schemas.openxmlformats.org/officeDocument/2006/relationships/hyperlink" Target="https://doi.org/10.11606/1807-0205/2021.61.24" TargetMode="External"/><Relationship Id="rId26" Type="http://schemas.openxmlformats.org/officeDocument/2006/relationships/hyperlink" Target="https://doi.org/10.11606/1807-0205/2021.61.24" TargetMode="External"/><Relationship Id="rId39" Type="http://schemas.openxmlformats.org/officeDocument/2006/relationships/hyperlink" Target="https://doi.org/10.11606/1807-0205/2021.61.24" TargetMode="External"/><Relationship Id="rId21" Type="http://schemas.openxmlformats.org/officeDocument/2006/relationships/hyperlink" Target="https://doi.org/10.11606/1807-0205/2021.61.24" TargetMode="External"/><Relationship Id="rId34" Type="http://schemas.openxmlformats.org/officeDocument/2006/relationships/hyperlink" Target="https://doi.org/10.11606/1807-0205/2021.61.24" TargetMode="External"/><Relationship Id="rId42" Type="http://schemas.openxmlformats.org/officeDocument/2006/relationships/hyperlink" Target="https://doi.org/10.11606/1807-0205/2021.61.24" TargetMode="External"/><Relationship Id="rId47" Type="http://schemas.openxmlformats.org/officeDocument/2006/relationships/hyperlink" Target="https://doi.org/10.11606/1807-0205/2021.61.24" TargetMode="External"/><Relationship Id="rId50" Type="http://schemas.openxmlformats.org/officeDocument/2006/relationships/hyperlink" Target="https://doi.org/10.11606/1807-0205/2021.61.24" TargetMode="External"/><Relationship Id="rId7" Type="http://schemas.openxmlformats.org/officeDocument/2006/relationships/hyperlink" Target="https://doi.org/10.11606/1807-0205/2021.61.24" TargetMode="External"/><Relationship Id="rId2" Type="http://schemas.openxmlformats.org/officeDocument/2006/relationships/hyperlink" Target="https://doi.org/10.11606/1807-0205/2021.61.24" TargetMode="External"/><Relationship Id="rId16" Type="http://schemas.openxmlformats.org/officeDocument/2006/relationships/hyperlink" Target="https://doi.org/10.11606/1807-0205/2021.61.24" TargetMode="External"/><Relationship Id="rId29" Type="http://schemas.openxmlformats.org/officeDocument/2006/relationships/hyperlink" Target="https://doi.org/10.11606/1807-0205/2021.61.24" TargetMode="External"/><Relationship Id="rId11" Type="http://schemas.openxmlformats.org/officeDocument/2006/relationships/hyperlink" Target="https://doi.org/10.11606/1807-0205/2021.61.24" TargetMode="External"/><Relationship Id="rId24" Type="http://schemas.openxmlformats.org/officeDocument/2006/relationships/hyperlink" Target="https://doi.org/10.11606/1807-0205/2021.61.24" TargetMode="External"/><Relationship Id="rId32" Type="http://schemas.openxmlformats.org/officeDocument/2006/relationships/hyperlink" Target="https://doi.org/10.11606/1807-0205/2021.61.24" TargetMode="External"/><Relationship Id="rId37" Type="http://schemas.openxmlformats.org/officeDocument/2006/relationships/hyperlink" Target="https://doi.org/10.11606/1807-0205/2021.61.24" TargetMode="External"/><Relationship Id="rId40" Type="http://schemas.openxmlformats.org/officeDocument/2006/relationships/hyperlink" Target="https://doi.org/10.11606/1807-0205/2021.61.24" TargetMode="External"/><Relationship Id="rId45" Type="http://schemas.openxmlformats.org/officeDocument/2006/relationships/hyperlink" Target="https://doi.org/10.11606/1807-0205/2021.61.24" TargetMode="External"/><Relationship Id="rId5" Type="http://schemas.openxmlformats.org/officeDocument/2006/relationships/hyperlink" Target="https://doi.org/10.11606/1807-0205/2021.61.24" TargetMode="External"/><Relationship Id="rId15" Type="http://schemas.openxmlformats.org/officeDocument/2006/relationships/hyperlink" Target="https://doi.org/10.11606/1807-0205/2021.61.24" TargetMode="External"/><Relationship Id="rId23" Type="http://schemas.openxmlformats.org/officeDocument/2006/relationships/hyperlink" Target="https://doi.org/10.11606/1807-0205/2021.61.24" TargetMode="External"/><Relationship Id="rId28" Type="http://schemas.openxmlformats.org/officeDocument/2006/relationships/hyperlink" Target="https://doi.org/10.11606/1807-0205/2021.61.24" TargetMode="External"/><Relationship Id="rId36" Type="http://schemas.openxmlformats.org/officeDocument/2006/relationships/hyperlink" Target="https://doi.org/10.11606/1807-0205/2021.61.24" TargetMode="External"/><Relationship Id="rId49" Type="http://schemas.openxmlformats.org/officeDocument/2006/relationships/hyperlink" Target="https://doi.org/10.11606/1807-0205/2021.61.24" TargetMode="External"/><Relationship Id="rId10" Type="http://schemas.openxmlformats.org/officeDocument/2006/relationships/hyperlink" Target="https://doi.org/10.11606/1807-0205/2021.61.24" TargetMode="External"/><Relationship Id="rId19" Type="http://schemas.openxmlformats.org/officeDocument/2006/relationships/hyperlink" Target="https://doi.org/10.11606/1807-0205/2021.61.24" TargetMode="External"/><Relationship Id="rId31" Type="http://schemas.openxmlformats.org/officeDocument/2006/relationships/hyperlink" Target="https://doi.org/10.11606/1807-0205/2021.61.24" TargetMode="External"/><Relationship Id="rId44" Type="http://schemas.openxmlformats.org/officeDocument/2006/relationships/hyperlink" Target="https://doi.org/10.11606/1807-0205/2021.61.24" TargetMode="External"/><Relationship Id="rId4" Type="http://schemas.openxmlformats.org/officeDocument/2006/relationships/hyperlink" Target="https://doi.org/10.11606/1807-0205/2021.61.24" TargetMode="External"/><Relationship Id="rId9" Type="http://schemas.openxmlformats.org/officeDocument/2006/relationships/hyperlink" Target="https://doi.org/10.11606/1807-0205/2021.61.24" TargetMode="External"/><Relationship Id="rId14" Type="http://schemas.openxmlformats.org/officeDocument/2006/relationships/hyperlink" Target="https://doi.org/10.11606/1807-0205/2021.61.24" TargetMode="External"/><Relationship Id="rId22" Type="http://schemas.openxmlformats.org/officeDocument/2006/relationships/hyperlink" Target="https://doi.org/10.11606/1807-0205/2021.61.24" TargetMode="External"/><Relationship Id="rId27" Type="http://schemas.openxmlformats.org/officeDocument/2006/relationships/hyperlink" Target="https://doi.org/10.11606/1807-0205/2021.61.24" TargetMode="External"/><Relationship Id="rId30" Type="http://schemas.openxmlformats.org/officeDocument/2006/relationships/hyperlink" Target="https://doi.org/10.11606/1807-0205/2021.61.24" TargetMode="External"/><Relationship Id="rId35" Type="http://schemas.openxmlformats.org/officeDocument/2006/relationships/hyperlink" Target="https://doi.org/10.11606/1807-0205/2021.61.24" TargetMode="External"/><Relationship Id="rId43" Type="http://schemas.openxmlformats.org/officeDocument/2006/relationships/hyperlink" Target="https://doi.org/10.11606/1807-0205/2021.61.24" TargetMode="External"/><Relationship Id="rId48" Type="http://schemas.openxmlformats.org/officeDocument/2006/relationships/hyperlink" Target="https://doi.org/10.11606/1807-0205/2021.61.24" TargetMode="External"/><Relationship Id="rId8" Type="http://schemas.openxmlformats.org/officeDocument/2006/relationships/hyperlink" Target="https://doi.org/10.11606/1807-0205/2021.61.24" TargetMode="External"/><Relationship Id="rId3" Type="http://schemas.openxmlformats.org/officeDocument/2006/relationships/hyperlink" Target="https://doi.org/10.11606/1807-0205/2021.61.24" TargetMode="External"/><Relationship Id="rId12" Type="http://schemas.openxmlformats.org/officeDocument/2006/relationships/hyperlink" Target="https://doi.org/10.11606/1807-0205/2021.61.24" TargetMode="External"/><Relationship Id="rId17" Type="http://schemas.openxmlformats.org/officeDocument/2006/relationships/hyperlink" Target="https://doi.org/10.11606/1807-0205/2021.61.24" TargetMode="External"/><Relationship Id="rId25" Type="http://schemas.openxmlformats.org/officeDocument/2006/relationships/hyperlink" Target="https://doi.org/10.11606/1807-0205/2021.61.24" TargetMode="External"/><Relationship Id="rId33" Type="http://schemas.openxmlformats.org/officeDocument/2006/relationships/hyperlink" Target="https://doi.org/10.11606/1807-0205/2021.61.24" TargetMode="External"/><Relationship Id="rId38" Type="http://schemas.openxmlformats.org/officeDocument/2006/relationships/hyperlink" Target="https://doi.org/10.11606/1807-0205/2021.61.24" TargetMode="External"/><Relationship Id="rId46" Type="http://schemas.openxmlformats.org/officeDocument/2006/relationships/hyperlink" Target="https://doi.org/10.11606/1807-0205/2021.61.24" TargetMode="External"/><Relationship Id="rId20" Type="http://schemas.openxmlformats.org/officeDocument/2006/relationships/hyperlink" Target="https://doi.org/10.11606/1807-0205/2021.61.24" TargetMode="External"/><Relationship Id="rId41" Type="http://schemas.openxmlformats.org/officeDocument/2006/relationships/hyperlink" Target="https://doi.org/10.11606/1807-0205/2021.61.24" TargetMode="External"/><Relationship Id="rId1" Type="http://schemas.openxmlformats.org/officeDocument/2006/relationships/hyperlink" Target="https://doi.org/10.11606/1807-0205/2021.61.24" TargetMode="External"/><Relationship Id="rId6" Type="http://schemas.openxmlformats.org/officeDocument/2006/relationships/hyperlink" Target="https://doi.org/10.11606/1807-0205/2021.61.24" TargetMode="External"/></Relationships>
</file>

<file path=xl/worksheets/_rels/sheet17.xml.rels><?xml version="1.0" encoding="UTF-8" standalone="yes"?>
<Relationships xmlns="http://schemas.openxmlformats.org/package/2006/relationships"><Relationship Id="rId26" Type="http://schemas.openxmlformats.org/officeDocument/2006/relationships/hyperlink" Target="https://doi.org/10.1038/s41597-023-02472-w" TargetMode="External"/><Relationship Id="rId21" Type="http://schemas.openxmlformats.org/officeDocument/2006/relationships/hyperlink" Target="https://doi.org/10.1038/s41597-023-02472-w" TargetMode="External"/><Relationship Id="rId42" Type="http://schemas.openxmlformats.org/officeDocument/2006/relationships/hyperlink" Target="https://doi.org/10.1038/s41597-023-02472-w" TargetMode="External"/><Relationship Id="rId47" Type="http://schemas.openxmlformats.org/officeDocument/2006/relationships/hyperlink" Target="https://doi.org/10.1038/s41597-023-02472-w" TargetMode="External"/><Relationship Id="rId63" Type="http://schemas.openxmlformats.org/officeDocument/2006/relationships/hyperlink" Target="https://doi.org/10.1038/s41597-023-02472-w" TargetMode="External"/><Relationship Id="rId68" Type="http://schemas.openxmlformats.org/officeDocument/2006/relationships/hyperlink" Target="https://doi.org/10.1038/s41597-023-02472-w" TargetMode="External"/><Relationship Id="rId84" Type="http://schemas.openxmlformats.org/officeDocument/2006/relationships/hyperlink" Target="https://doi.org/10.1038/s41597-023-02472-w" TargetMode="External"/><Relationship Id="rId89" Type="http://schemas.openxmlformats.org/officeDocument/2006/relationships/hyperlink" Target="https://doi.org/10.1038/s41597-023-02472-w" TargetMode="External"/><Relationship Id="rId16" Type="http://schemas.openxmlformats.org/officeDocument/2006/relationships/hyperlink" Target="https://doi.org/10.1038/s41597-023-02472-w" TargetMode="External"/><Relationship Id="rId11" Type="http://schemas.openxmlformats.org/officeDocument/2006/relationships/hyperlink" Target="https://doi.org/10.1038/s41597-023-02472-w" TargetMode="External"/><Relationship Id="rId32" Type="http://schemas.openxmlformats.org/officeDocument/2006/relationships/hyperlink" Target="https://doi.org/10.1038/s41597-023-02472-w" TargetMode="External"/><Relationship Id="rId37" Type="http://schemas.openxmlformats.org/officeDocument/2006/relationships/hyperlink" Target="https://doi.org/10.1038/s41597-023-02472-w" TargetMode="External"/><Relationship Id="rId53" Type="http://schemas.openxmlformats.org/officeDocument/2006/relationships/hyperlink" Target="https://doi.org/10.1038/s41597-023-02472-w" TargetMode="External"/><Relationship Id="rId58" Type="http://schemas.openxmlformats.org/officeDocument/2006/relationships/hyperlink" Target="https://doi.org/10.1038/s41597-023-02472-w" TargetMode="External"/><Relationship Id="rId74" Type="http://schemas.openxmlformats.org/officeDocument/2006/relationships/hyperlink" Target="https://doi.org/10.1038/s41597-023-02472-w" TargetMode="External"/><Relationship Id="rId79" Type="http://schemas.openxmlformats.org/officeDocument/2006/relationships/hyperlink" Target="https://doi.org/10.1038/s41597-023-02472-w" TargetMode="External"/><Relationship Id="rId102" Type="http://schemas.openxmlformats.org/officeDocument/2006/relationships/hyperlink" Target="https://doi.org/10.1038/s41597-023-02472-w" TargetMode="External"/><Relationship Id="rId5" Type="http://schemas.openxmlformats.org/officeDocument/2006/relationships/hyperlink" Target="https://doi.org/10.1038/s41597-023-02472-w" TargetMode="External"/><Relationship Id="rId90" Type="http://schemas.openxmlformats.org/officeDocument/2006/relationships/hyperlink" Target="https://doi.org/10.1038/s41597-023-02472-w" TargetMode="External"/><Relationship Id="rId95" Type="http://schemas.openxmlformats.org/officeDocument/2006/relationships/hyperlink" Target="https://doi.org/10.1038/s41597-023-02472-w" TargetMode="External"/><Relationship Id="rId22" Type="http://schemas.openxmlformats.org/officeDocument/2006/relationships/hyperlink" Target="https://doi.org/10.1038/s41597-023-02472-w" TargetMode="External"/><Relationship Id="rId27" Type="http://schemas.openxmlformats.org/officeDocument/2006/relationships/hyperlink" Target="https://doi.org/10.1038/s41597-023-02472-w" TargetMode="External"/><Relationship Id="rId43" Type="http://schemas.openxmlformats.org/officeDocument/2006/relationships/hyperlink" Target="https://doi.org/10.1038/s41597-023-02472-w" TargetMode="External"/><Relationship Id="rId48" Type="http://schemas.openxmlformats.org/officeDocument/2006/relationships/hyperlink" Target="https://doi.org/10.1038/s41597-023-02472-w" TargetMode="External"/><Relationship Id="rId64" Type="http://schemas.openxmlformats.org/officeDocument/2006/relationships/hyperlink" Target="https://doi.org/10.1038/s41597-023-02472-w" TargetMode="External"/><Relationship Id="rId69" Type="http://schemas.openxmlformats.org/officeDocument/2006/relationships/hyperlink" Target="https://doi.org/10.1038/s41597-023-02472-w" TargetMode="External"/><Relationship Id="rId80" Type="http://schemas.openxmlformats.org/officeDocument/2006/relationships/hyperlink" Target="https://doi.org/10.1038/s41597-023-02472-w" TargetMode="External"/><Relationship Id="rId85" Type="http://schemas.openxmlformats.org/officeDocument/2006/relationships/hyperlink" Target="https://doi.org/10.1038/s41597-023-02472-w" TargetMode="External"/><Relationship Id="rId12" Type="http://schemas.openxmlformats.org/officeDocument/2006/relationships/hyperlink" Target="https://doi.org/10.1038/s41597-023-02472-w" TargetMode="External"/><Relationship Id="rId17" Type="http://schemas.openxmlformats.org/officeDocument/2006/relationships/hyperlink" Target="https://doi.org/10.1038/s41597-023-02472-w" TargetMode="External"/><Relationship Id="rId33" Type="http://schemas.openxmlformats.org/officeDocument/2006/relationships/hyperlink" Target="https://doi.org/10.1038/s41597-023-02472-w" TargetMode="External"/><Relationship Id="rId38" Type="http://schemas.openxmlformats.org/officeDocument/2006/relationships/hyperlink" Target="https://doi.org/10.1038/s41597-023-02472-w" TargetMode="External"/><Relationship Id="rId59" Type="http://schemas.openxmlformats.org/officeDocument/2006/relationships/hyperlink" Target="https://doi.org/10.1038/s41597-023-02472-w" TargetMode="External"/><Relationship Id="rId103" Type="http://schemas.openxmlformats.org/officeDocument/2006/relationships/hyperlink" Target="https://doi.org/10.1038/s41597-023-02472-w" TargetMode="External"/><Relationship Id="rId20" Type="http://schemas.openxmlformats.org/officeDocument/2006/relationships/hyperlink" Target="https://doi.org/10.1038/s41597-023-02472-w" TargetMode="External"/><Relationship Id="rId41" Type="http://schemas.openxmlformats.org/officeDocument/2006/relationships/hyperlink" Target="https://doi.org/10.1038/s41597-023-02472-w" TargetMode="External"/><Relationship Id="rId54" Type="http://schemas.openxmlformats.org/officeDocument/2006/relationships/hyperlink" Target="https://doi.org/10.1038/s41597-023-02472-w" TargetMode="External"/><Relationship Id="rId62" Type="http://schemas.openxmlformats.org/officeDocument/2006/relationships/hyperlink" Target="https://doi.org/10.1038/s41597-023-02472-w" TargetMode="External"/><Relationship Id="rId70" Type="http://schemas.openxmlformats.org/officeDocument/2006/relationships/hyperlink" Target="https://doi.org/10.1038/s41597-023-02472-w" TargetMode="External"/><Relationship Id="rId75" Type="http://schemas.openxmlformats.org/officeDocument/2006/relationships/hyperlink" Target="https://doi.org/10.1038/s41597-023-02472-w" TargetMode="External"/><Relationship Id="rId83" Type="http://schemas.openxmlformats.org/officeDocument/2006/relationships/hyperlink" Target="https://doi.org/10.1038/s41597-023-02472-w" TargetMode="External"/><Relationship Id="rId88" Type="http://schemas.openxmlformats.org/officeDocument/2006/relationships/hyperlink" Target="https://doi.org/10.1038/s41597-023-02472-w" TargetMode="External"/><Relationship Id="rId91" Type="http://schemas.openxmlformats.org/officeDocument/2006/relationships/hyperlink" Target="https://doi.org/10.1038/s41597-023-02472-w" TargetMode="External"/><Relationship Id="rId96" Type="http://schemas.openxmlformats.org/officeDocument/2006/relationships/hyperlink" Target="https://doi.org/10.1038/s41597-023-02472-w" TargetMode="External"/><Relationship Id="rId1" Type="http://schemas.openxmlformats.org/officeDocument/2006/relationships/hyperlink" Target="https://doi.org/10.1038/s41597-023-02472-w" TargetMode="External"/><Relationship Id="rId6" Type="http://schemas.openxmlformats.org/officeDocument/2006/relationships/hyperlink" Target="https://doi.org/10.1038/s41597-023-02472-w" TargetMode="External"/><Relationship Id="rId15" Type="http://schemas.openxmlformats.org/officeDocument/2006/relationships/hyperlink" Target="https://doi.org/10.1038/s41597-023-02472-w" TargetMode="External"/><Relationship Id="rId23" Type="http://schemas.openxmlformats.org/officeDocument/2006/relationships/hyperlink" Target="https://doi.org/10.1038/s41597-023-02472-w" TargetMode="External"/><Relationship Id="rId28" Type="http://schemas.openxmlformats.org/officeDocument/2006/relationships/hyperlink" Target="https://doi.org/10.1038/s41597-023-02472-w" TargetMode="External"/><Relationship Id="rId36" Type="http://schemas.openxmlformats.org/officeDocument/2006/relationships/hyperlink" Target="https://doi.org/10.1038/s41597-023-02472-w" TargetMode="External"/><Relationship Id="rId49" Type="http://schemas.openxmlformats.org/officeDocument/2006/relationships/hyperlink" Target="https://doi.org/10.1038/s41597-023-02472-w" TargetMode="External"/><Relationship Id="rId57" Type="http://schemas.openxmlformats.org/officeDocument/2006/relationships/hyperlink" Target="https://doi.org/10.1038/s41597-023-02472-w" TargetMode="External"/><Relationship Id="rId10" Type="http://schemas.openxmlformats.org/officeDocument/2006/relationships/hyperlink" Target="https://doi.org/10.1038/s41597-023-02472-w" TargetMode="External"/><Relationship Id="rId31" Type="http://schemas.openxmlformats.org/officeDocument/2006/relationships/hyperlink" Target="https://doi.org/10.1038/s41597-023-02472-w" TargetMode="External"/><Relationship Id="rId44" Type="http://schemas.openxmlformats.org/officeDocument/2006/relationships/hyperlink" Target="https://doi.org/10.1038/s41597-023-02472-w" TargetMode="External"/><Relationship Id="rId52" Type="http://schemas.openxmlformats.org/officeDocument/2006/relationships/hyperlink" Target="https://doi.org/10.1038/s41597-023-02472-w" TargetMode="External"/><Relationship Id="rId60" Type="http://schemas.openxmlformats.org/officeDocument/2006/relationships/hyperlink" Target="https://doi.org/10.1038/s41597-023-02472-w" TargetMode="External"/><Relationship Id="rId65" Type="http://schemas.openxmlformats.org/officeDocument/2006/relationships/hyperlink" Target="https://doi.org/10.1038/s41597-023-02472-w" TargetMode="External"/><Relationship Id="rId73" Type="http://schemas.openxmlformats.org/officeDocument/2006/relationships/hyperlink" Target="https://doi.org/10.1038/s41597-023-02472-w" TargetMode="External"/><Relationship Id="rId78" Type="http://schemas.openxmlformats.org/officeDocument/2006/relationships/hyperlink" Target="https://doi.org/10.1038/s41597-023-02472-w" TargetMode="External"/><Relationship Id="rId81" Type="http://schemas.openxmlformats.org/officeDocument/2006/relationships/hyperlink" Target="https://doi.org/10.1038/s41597-023-02472-w" TargetMode="External"/><Relationship Id="rId86" Type="http://schemas.openxmlformats.org/officeDocument/2006/relationships/hyperlink" Target="https://doi.org/10.1038/s41597-023-02472-w" TargetMode="External"/><Relationship Id="rId94" Type="http://schemas.openxmlformats.org/officeDocument/2006/relationships/hyperlink" Target="https://doi.org/10.1038/s41597-023-02472-w" TargetMode="External"/><Relationship Id="rId99" Type="http://schemas.openxmlformats.org/officeDocument/2006/relationships/hyperlink" Target="https://doi.org/10.1038/s41597-023-02472-w" TargetMode="External"/><Relationship Id="rId101" Type="http://schemas.openxmlformats.org/officeDocument/2006/relationships/hyperlink" Target="https://doi.org/10.1038/s41597-023-02472-w" TargetMode="External"/><Relationship Id="rId4" Type="http://schemas.openxmlformats.org/officeDocument/2006/relationships/hyperlink" Target="https://doi.org/10.1038/s41597-023-02472-w" TargetMode="External"/><Relationship Id="rId9" Type="http://schemas.openxmlformats.org/officeDocument/2006/relationships/hyperlink" Target="https://doi.org/10.1038/s41597-023-02472-w" TargetMode="External"/><Relationship Id="rId13" Type="http://schemas.openxmlformats.org/officeDocument/2006/relationships/hyperlink" Target="https://doi.org/10.1038/s41597-023-02472-w" TargetMode="External"/><Relationship Id="rId18" Type="http://schemas.openxmlformats.org/officeDocument/2006/relationships/hyperlink" Target="https://doi.org/10.1038/s41597-023-02472-w" TargetMode="External"/><Relationship Id="rId39" Type="http://schemas.openxmlformats.org/officeDocument/2006/relationships/hyperlink" Target="https://doi.org/10.1038/s41597-023-02472-w" TargetMode="External"/><Relationship Id="rId34" Type="http://schemas.openxmlformats.org/officeDocument/2006/relationships/hyperlink" Target="https://doi.org/10.1038/s41597-023-02472-w" TargetMode="External"/><Relationship Id="rId50" Type="http://schemas.openxmlformats.org/officeDocument/2006/relationships/hyperlink" Target="https://doi.org/10.1038/s41597-023-02472-w" TargetMode="External"/><Relationship Id="rId55" Type="http://schemas.openxmlformats.org/officeDocument/2006/relationships/hyperlink" Target="https://doi.org/10.1038/s41597-023-02472-w" TargetMode="External"/><Relationship Id="rId76" Type="http://schemas.openxmlformats.org/officeDocument/2006/relationships/hyperlink" Target="https://doi.org/10.1038/s41597-023-02472-w" TargetMode="External"/><Relationship Id="rId97" Type="http://schemas.openxmlformats.org/officeDocument/2006/relationships/hyperlink" Target="https://doi.org/10.1038/s41597-023-02472-w" TargetMode="External"/><Relationship Id="rId104" Type="http://schemas.openxmlformats.org/officeDocument/2006/relationships/hyperlink" Target="https://doi.org/10.1038/s41597-023-02472-w" TargetMode="External"/><Relationship Id="rId7" Type="http://schemas.openxmlformats.org/officeDocument/2006/relationships/hyperlink" Target="https://doi.org/10.1038/s41597-023-02472-w" TargetMode="External"/><Relationship Id="rId71" Type="http://schemas.openxmlformats.org/officeDocument/2006/relationships/hyperlink" Target="https://doi.org/10.1038/s41597-023-02472-w" TargetMode="External"/><Relationship Id="rId92" Type="http://schemas.openxmlformats.org/officeDocument/2006/relationships/hyperlink" Target="https://doi.org/10.1038/s41597-023-02472-w" TargetMode="External"/><Relationship Id="rId2" Type="http://schemas.openxmlformats.org/officeDocument/2006/relationships/hyperlink" Target="https://doi.org/10.1038/s41597-023-02472-w" TargetMode="External"/><Relationship Id="rId29" Type="http://schemas.openxmlformats.org/officeDocument/2006/relationships/hyperlink" Target="https://doi.org/10.1038/s41597-023-02472-w" TargetMode="External"/><Relationship Id="rId24" Type="http://schemas.openxmlformats.org/officeDocument/2006/relationships/hyperlink" Target="https://doi.org/10.1038/s41597-023-02472-w" TargetMode="External"/><Relationship Id="rId40" Type="http://schemas.openxmlformats.org/officeDocument/2006/relationships/hyperlink" Target="https://doi.org/10.1038/s41597-023-02472-w" TargetMode="External"/><Relationship Id="rId45" Type="http://schemas.openxmlformats.org/officeDocument/2006/relationships/hyperlink" Target="https://doi.org/10.1038/s41597-023-02472-w" TargetMode="External"/><Relationship Id="rId66" Type="http://schemas.openxmlformats.org/officeDocument/2006/relationships/hyperlink" Target="https://doi.org/10.1038/s41597-023-02472-w" TargetMode="External"/><Relationship Id="rId87" Type="http://schemas.openxmlformats.org/officeDocument/2006/relationships/hyperlink" Target="https://doi.org/10.1038/s41597-023-02472-w" TargetMode="External"/><Relationship Id="rId61" Type="http://schemas.openxmlformats.org/officeDocument/2006/relationships/hyperlink" Target="https://doi.org/10.1038/s41597-023-02472-w" TargetMode="External"/><Relationship Id="rId82" Type="http://schemas.openxmlformats.org/officeDocument/2006/relationships/hyperlink" Target="https://doi.org/10.1038/s41597-023-02472-w" TargetMode="External"/><Relationship Id="rId19" Type="http://schemas.openxmlformats.org/officeDocument/2006/relationships/hyperlink" Target="https://doi.org/10.1038/s41597-023-02472-w" TargetMode="External"/><Relationship Id="rId14" Type="http://schemas.openxmlformats.org/officeDocument/2006/relationships/hyperlink" Target="https://doi.org/10.1038/s41597-023-02472-w" TargetMode="External"/><Relationship Id="rId30" Type="http://schemas.openxmlformats.org/officeDocument/2006/relationships/hyperlink" Target="https://doi.org/10.1038/s41597-023-02472-w" TargetMode="External"/><Relationship Id="rId35" Type="http://schemas.openxmlformats.org/officeDocument/2006/relationships/hyperlink" Target="https://doi.org/10.1038/s41597-023-02472-w" TargetMode="External"/><Relationship Id="rId56" Type="http://schemas.openxmlformats.org/officeDocument/2006/relationships/hyperlink" Target="https://doi.org/10.1038/s41597-023-02472-w" TargetMode="External"/><Relationship Id="rId77" Type="http://schemas.openxmlformats.org/officeDocument/2006/relationships/hyperlink" Target="https://doi.org/10.1038/s41597-023-02472-w" TargetMode="External"/><Relationship Id="rId100" Type="http://schemas.openxmlformats.org/officeDocument/2006/relationships/hyperlink" Target="https://doi.org/10.1038/s41597-023-02472-w" TargetMode="External"/><Relationship Id="rId105" Type="http://schemas.openxmlformats.org/officeDocument/2006/relationships/hyperlink" Target="https://doi.org/10.1038/s41597-023-02472-w" TargetMode="External"/><Relationship Id="rId8" Type="http://schemas.openxmlformats.org/officeDocument/2006/relationships/hyperlink" Target="https://doi.org/10.1038/s41597-023-02472-w" TargetMode="External"/><Relationship Id="rId51" Type="http://schemas.openxmlformats.org/officeDocument/2006/relationships/hyperlink" Target="https://doi.org/10.1038/s41597-023-02472-w" TargetMode="External"/><Relationship Id="rId72" Type="http://schemas.openxmlformats.org/officeDocument/2006/relationships/hyperlink" Target="https://doi.org/10.1038/s41597-023-02472-w" TargetMode="External"/><Relationship Id="rId93" Type="http://schemas.openxmlformats.org/officeDocument/2006/relationships/hyperlink" Target="https://doi.org/10.1038/s41597-023-02472-w" TargetMode="External"/><Relationship Id="rId98" Type="http://schemas.openxmlformats.org/officeDocument/2006/relationships/hyperlink" Target="https://doi.org/10.1038/s41597-023-02472-w" TargetMode="External"/><Relationship Id="rId3" Type="http://schemas.openxmlformats.org/officeDocument/2006/relationships/hyperlink" Target="https://doi.org/10.1038/s41597-023-02472-w" TargetMode="External"/><Relationship Id="rId25" Type="http://schemas.openxmlformats.org/officeDocument/2006/relationships/hyperlink" Target="https://doi.org/10.1038/s41597-023-02472-w" TargetMode="External"/><Relationship Id="rId46" Type="http://schemas.openxmlformats.org/officeDocument/2006/relationships/hyperlink" Target="https://doi.org/10.1038/s41597-023-02472-w" TargetMode="External"/><Relationship Id="rId67" Type="http://schemas.openxmlformats.org/officeDocument/2006/relationships/hyperlink" Target="https://doi.org/10.1038/s41597-023-02472-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Z13"/>
  <sheetViews>
    <sheetView workbookViewId="0"/>
  </sheetViews>
  <sheetFormatPr baseColWidth="10" defaultColWidth="12.6640625" defaultRowHeight="15.75" customHeight="1"/>
  <sheetData>
    <row r="1" spans="1:104">
      <c r="A1" s="1" t="s">
        <v>0</v>
      </c>
      <c r="B1" s="1" t="s">
        <v>1</v>
      </c>
      <c r="C1" s="1" t="s">
        <v>1</v>
      </c>
      <c r="D1" s="1" t="s">
        <v>1</v>
      </c>
      <c r="E1" s="1" t="s">
        <v>1</v>
      </c>
      <c r="F1" s="1" t="s">
        <v>1</v>
      </c>
      <c r="G1" s="1" t="s">
        <v>1</v>
      </c>
      <c r="H1" s="1" t="s">
        <v>1</v>
      </c>
      <c r="I1" s="1" t="s">
        <v>1</v>
      </c>
      <c r="J1" s="1" t="s">
        <v>1</v>
      </c>
      <c r="K1" s="1" t="s">
        <v>1</v>
      </c>
      <c r="L1" s="1" t="s">
        <v>1</v>
      </c>
      <c r="M1" s="1" t="s">
        <v>1</v>
      </c>
      <c r="N1" s="1" t="s">
        <v>1</v>
      </c>
      <c r="O1" s="1" t="s">
        <v>2</v>
      </c>
      <c r="P1" s="1" t="s">
        <v>2</v>
      </c>
      <c r="Q1" s="1" t="s">
        <v>2</v>
      </c>
      <c r="R1" s="1" t="s">
        <v>2</v>
      </c>
      <c r="S1" s="1" t="s">
        <v>2</v>
      </c>
      <c r="T1" s="1" t="s">
        <v>2</v>
      </c>
      <c r="U1" s="1" t="s">
        <v>2</v>
      </c>
      <c r="V1" s="1" t="s">
        <v>3</v>
      </c>
      <c r="W1" s="1" t="s">
        <v>3</v>
      </c>
      <c r="X1" s="1" t="s">
        <v>3</v>
      </c>
      <c r="Y1" s="1" t="s">
        <v>3</v>
      </c>
      <c r="Z1" s="1" t="s">
        <v>3</v>
      </c>
      <c r="AA1" s="1" t="s">
        <v>3</v>
      </c>
      <c r="AB1" s="1" t="s">
        <v>3</v>
      </c>
      <c r="AC1" s="1" t="s">
        <v>3</v>
      </c>
      <c r="AD1" s="1" t="s">
        <v>3</v>
      </c>
      <c r="AE1" s="1" t="s">
        <v>3</v>
      </c>
      <c r="AF1" s="1" t="s">
        <v>3</v>
      </c>
      <c r="AG1" s="1" t="s">
        <v>3</v>
      </c>
      <c r="AH1" s="1" t="s">
        <v>3</v>
      </c>
      <c r="AI1" s="1" t="s">
        <v>3</v>
      </c>
      <c r="AJ1" s="1" t="s">
        <v>3</v>
      </c>
      <c r="AK1" s="1" t="s">
        <v>4</v>
      </c>
      <c r="AL1" s="1" t="s">
        <v>4</v>
      </c>
      <c r="AM1" s="1" t="s">
        <v>4</v>
      </c>
      <c r="AN1" s="1" t="s">
        <v>4</v>
      </c>
      <c r="AO1" s="1" t="s">
        <v>4</v>
      </c>
      <c r="AP1" s="1" t="s">
        <v>4</v>
      </c>
      <c r="AQ1" s="1" t="s">
        <v>4</v>
      </c>
      <c r="AR1" s="1" t="s">
        <v>4</v>
      </c>
      <c r="AS1" s="1" t="s">
        <v>4</v>
      </c>
      <c r="AT1" s="1" t="s">
        <v>4</v>
      </c>
      <c r="AU1" s="1" t="s">
        <v>4</v>
      </c>
      <c r="AV1" s="1" t="s">
        <v>4</v>
      </c>
      <c r="AW1" s="1" t="s">
        <v>4</v>
      </c>
      <c r="AX1" s="1" t="s">
        <v>4</v>
      </c>
      <c r="AY1" s="1" t="s">
        <v>4</v>
      </c>
      <c r="AZ1" s="1" t="s">
        <v>4</v>
      </c>
      <c r="BA1" s="1" t="s">
        <v>4</v>
      </c>
      <c r="BB1" s="1" t="s">
        <v>4</v>
      </c>
      <c r="BC1" s="1" t="s">
        <v>4</v>
      </c>
      <c r="BD1" s="1" t="s">
        <v>4</v>
      </c>
      <c r="BE1" s="1" t="s">
        <v>4</v>
      </c>
      <c r="BF1" s="1" t="s">
        <v>5</v>
      </c>
      <c r="BG1" s="1" t="s">
        <v>5</v>
      </c>
      <c r="BH1" s="1" t="s">
        <v>5</v>
      </c>
      <c r="BI1" s="1" t="s">
        <v>5</v>
      </c>
      <c r="BJ1" s="1" t="s">
        <v>5</v>
      </c>
      <c r="BK1" s="1" t="s">
        <v>5</v>
      </c>
      <c r="BL1" s="1" t="s">
        <v>5</v>
      </c>
      <c r="BM1" s="1" t="s">
        <v>5</v>
      </c>
      <c r="BN1" s="1" t="s">
        <v>5</v>
      </c>
      <c r="BO1" s="1" t="s">
        <v>5</v>
      </c>
      <c r="BP1" s="1" t="s">
        <v>5</v>
      </c>
      <c r="BQ1" s="1" t="s">
        <v>6</v>
      </c>
      <c r="BR1" s="1" t="s">
        <v>6</v>
      </c>
      <c r="BS1" s="1" t="s">
        <v>6</v>
      </c>
      <c r="BT1" s="1" t="s">
        <v>6</v>
      </c>
      <c r="BU1" s="1" t="s">
        <v>7</v>
      </c>
      <c r="BV1" s="1" t="s">
        <v>7</v>
      </c>
      <c r="BW1" s="1" t="s">
        <v>7</v>
      </c>
      <c r="BX1" s="1" t="s">
        <v>7</v>
      </c>
      <c r="BY1" s="1" t="s">
        <v>7</v>
      </c>
      <c r="BZ1" s="1" t="s">
        <v>7</v>
      </c>
      <c r="CA1" s="1" t="s">
        <v>7</v>
      </c>
      <c r="CB1" s="1" t="s">
        <v>7</v>
      </c>
      <c r="CC1" s="1" t="s">
        <v>7</v>
      </c>
      <c r="CD1" s="1" t="s">
        <v>7</v>
      </c>
      <c r="CE1" s="1" t="s">
        <v>7</v>
      </c>
      <c r="CF1" s="1" t="s">
        <v>7</v>
      </c>
      <c r="CG1" s="1" t="s">
        <v>7</v>
      </c>
      <c r="CH1" s="1" t="s">
        <v>1</v>
      </c>
      <c r="CI1" s="1" t="s">
        <v>1</v>
      </c>
      <c r="CJ1" s="1" t="s">
        <v>1</v>
      </c>
      <c r="CK1" s="1" t="s">
        <v>1</v>
      </c>
      <c r="CL1" s="1" t="s">
        <v>1</v>
      </c>
      <c r="CM1" s="1" t="s">
        <v>1</v>
      </c>
      <c r="CN1" s="1" t="s">
        <v>1</v>
      </c>
      <c r="CO1" s="1" t="s">
        <v>1</v>
      </c>
      <c r="CP1" s="1" t="s">
        <v>1</v>
      </c>
      <c r="CQ1" s="1" t="s">
        <v>1</v>
      </c>
      <c r="CR1" s="1" t="s">
        <v>1</v>
      </c>
      <c r="CS1" s="1" t="s">
        <v>3</v>
      </c>
      <c r="CT1" s="1" t="s">
        <v>3</v>
      </c>
      <c r="CU1" s="1" t="s">
        <v>7</v>
      </c>
      <c r="CV1" s="1" t="s">
        <v>7</v>
      </c>
      <c r="CW1" s="1" t="s">
        <v>1</v>
      </c>
      <c r="CX1" s="1" t="s">
        <v>1</v>
      </c>
      <c r="CY1" s="1" t="s">
        <v>1</v>
      </c>
      <c r="CZ1" s="1" t="s">
        <v>1</v>
      </c>
    </row>
    <row r="2" spans="1:104">
      <c r="A2" s="1" t="s">
        <v>8</v>
      </c>
      <c r="B2" s="1" t="s">
        <v>9</v>
      </c>
      <c r="C2" s="1" t="s">
        <v>10</v>
      </c>
      <c r="D2" s="1" t="s">
        <v>11</v>
      </c>
      <c r="E2" s="1" t="s">
        <v>12</v>
      </c>
      <c r="F2" s="1" t="s">
        <v>13</v>
      </c>
      <c r="G2" s="1" t="s">
        <v>14</v>
      </c>
      <c r="H2" s="1" t="s">
        <v>15</v>
      </c>
      <c r="I2" s="1" t="s">
        <v>16</v>
      </c>
      <c r="J2" s="1" t="s">
        <v>17</v>
      </c>
      <c r="K2" s="1" t="s">
        <v>18</v>
      </c>
      <c r="L2" s="1" t="s">
        <v>19</v>
      </c>
      <c r="M2" s="1" t="s">
        <v>20</v>
      </c>
      <c r="N2" s="1" t="s">
        <v>21</v>
      </c>
      <c r="O2" s="1" t="s">
        <v>22</v>
      </c>
      <c r="P2" s="1" t="s">
        <v>23</v>
      </c>
      <c r="Q2" s="1" t="s">
        <v>24</v>
      </c>
      <c r="R2" s="1" t="s">
        <v>25</v>
      </c>
      <c r="S2" s="1" t="s">
        <v>26</v>
      </c>
      <c r="T2" s="1" t="s">
        <v>27</v>
      </c>
      <c r="U2" s="1" t="s">
        <v>28</v>
      </c>
      <c r="V2" s="1" t="s">
        <v>29</v>
      </c>
      <c r="W2" s="1" t="s">
        <v>30</v>
      </c>
      <c r="X2" s="1" t="s">
        <v>31</v>
      </c>
      <c r="Y2" s="1" t="s">
        <v>32</v>
      </c>
      <c r="Z2" s="1" t="s">
        <v>33</v>
      </c>
      <c r="AA2" s="1" t="s">
        <v>34</v>
      </c>
      <c r="AB2" s="1" t="s">
        <v>35</v>
      </c>
      <c r="AC2" s="1" t="s">
        <v>36</v>
      </c>
      <c r="AD2" s="1" t="s">
        <v>37</v>
      </c>
      <c r="AE2" s="1" t="s">
        <v>38</v>
      </c>
      <c r="AF2" s="1" t="s">
        <v>39</v>
      </c>
      <c r="AG2" s="1" t="s">
        <v>40</v>
      </c>
      <c r="AH2" s="1" t="s">
        <v>41</v>
      </c>
      <c r="AI2" s="1" t="s">
        <v>42</v>
      </c>
      <c r="AJ2" s="1" t="s">
        <v>43</v>
      </c>
      <c r="AK2" s="1" t="s">
        <v>44</v>
      </c>
      <c r="AL2" s="1" t="s">
        <v>45</v>
      </c>
      <c r="AM2" s="1" t="s">
        <v>46</v>
      </c>
      <c r="AN2" s="1" t="s">
        <v>47</v>
      </c>
      <c r="AO2" s="1" t="s">
        <v>48</v>
      </c>
      <c r="AP2" s="1" t="s">
        <v>49</v>
      </c>
      <c r="AQ2" s="1" t="s">
        <v>50</v>
      </c>
      <c r="AR2" s="1" t="s">
        <v>51</v>
      </c>
      <c r="AS2" s="1" t="s">
        <v>52</v>
      </c>
      <c r="AT2" s="1" t="s">
        <v>53</v>
      </c>
      <c r="AU2" s="1" t="s">
        <v>54</v>
      </c>
      <c r="AV2" s="1" t="s">
        <v>55</v>
      </c>
      <c r="AW2" s="1" t="s">
        <v>56</v>
      </c>
      <c r="AX2" s="1" t="s">
        <v>57</v>
      </c>
      <c r="AY2" s="1" t="s">
        <v>58</v>
      </c>
      <c r="AZ2" s="1" t="s">
        <v>59</v>
      </c>
      <c r="BA2" s="1" t="s">
        <v>60</v>
      </c>
      <c r="BB2" s="1" t="s">
        <v>61</v>
      </c>
      <c r="BC2" s="1" t="s">
        <v>62</v>
      </c>
      <c r="BD2" s="1" t="s">
        <v>63</v>
      </c>
      <c r="BE2" s="1" t="s">
        <v>64</v>
      </c>
      <c r="BF2" s="1" t="s">
        <v>65</v>
      </c>
      <c r="BG2" s="1" t="s">
        <v>66</v>
      </c>
      <c r="BH2" s="1" t="s">
        <v>67</v>
      </c>
      <c r="BI2" s="1" t="s">
        <v>68</v>
      </c>
      <c r="BJ2" s="1" t="s">
        <v>69</v>
      </c>
      <c r="BK2" s="1" t="s">
        <v>70</v>
      </c>
      <c r="BL2" s="1" t="s">
        <v>71</v>
      </c>
      <c r="BM2" s="1" t="s">
        <v>72</v>
      </c>
      <c r="BN2" s="1" t="s">
        <v>73</v>
      </c>
      <c r="BO2" s="1" t="s">
        <v>74</v>
      </c>
      <c r="BP2" s="1" t="s">
        <v>75</v>
      </c>
      <c r="BQ2" s="1" t="s">
        <v>76</v>
      </c>
      <c r="BR2" s="1" t="s">
        <v>77</v>
      </c>
      <c r="BS2" s="1" t="s">
        <v>78</v>
      </c>
      <c r="BT2" s="1" t="s">
        <v>79</v>
      </c>
      <c r="BU2" s="1" t="s">
        <v>80</v>
      </c>
      <c r="BV2" s="1" t="s">
        <v>81</v>
      </c>
      <c r="BW2" s="1" t="s">
        <v>82</v>
      </c>
      <c r="BX2" s="1" t="s">
        <v>83</v>
      </c>
      <c r="BY2" s="1" t="s">
        <v>84</v>
      </c>
      <c r="BZ2" s="1" t="s">
        <v>85</v>
      </c>
      <c r="CA2" s="1" t="s">
        <v>86</v>
      </c>
      <c r="CB2" s="1" t="s">
        <v>87</v>
      </c>
      <c r="CC2" s="1" t="s">
        <v>88</v>
      </c>
      <c r="CD2" s="1" t="s">
        <v>89</v>
      </c>
      <c r="CE2" s="1" t="s">
        <v>90</v>
      </c>
      <c r="CF2" s="1" t="s">
        <v>91</v>
      </c>
      <c r="CG2" s="1" t="s">
        <v>92</v>
      </c>
      <c r="CH2" s="1" t="s">
        <v>10</v>
      </c>
      <c r="CI2" s="1" t="s">
        <v>11</v>
      </c>
      <c r="CJ2" s="1" t="s">
        <v>9</v>
      </c>
      <c r="CK2" s="1" t="s">
        <v>12</v>
      </c>
      <c r="CL2" s="1" t="s">
        <v>13</v>
      </c>
      <c r="CM2" s="1" t="s">
        <v>93</v>
      </c>
      <c r="CN2" s="1" t="s">
        <v>94</v>
      </c>
      <c r="CO2" s="1" t="s">
        <v>95</v>
      </c>
      <c r="CP2" s="1" t="s">
        <v>96</v>
      </c>
      <c r="CQ2" s="1" t="s">
        <v>19</v>
      </c>
      <c r="CR2" s="1" t="s">
        <v>20</v>
      </c>
      <c r="CS2" s="1" t="s">
        <v>29</v>
      </c>
      <c r="CT2" s="1" t="s">
        <v>30</v>
      </c>
      <c r="CU2" s="1" t="s">
        <v>80</v>
      </c>
      <c r="CV2" s="1" t="s">
        <v>91</v>
      </c>
      <c r="CW2" s="1" t="s">
        <v>93</v>
      </c>
      <c r="CX2" s="1" t="s">
        <v>94</v>
      </c>
      <c r="CY2" s="1" t="s">
        <v>95</v>
      </c>
      <c r="CZ2" s="1" t="s">
        <v>96</v>
      </c>
    </row>
    <row r="3" spans="1:104">
      <c r="A3" s="1" t="s">
        <v>85</v>
      </c>
      <c r="B3" s="1" t="s">
        <v>97</v>
      </c>
      <c r="C3" s="1" t="s">
        <v>98</v>
      </c>
      <c r="D3" s="1" t="s">
        <v>98</v>
      </c>
      <c r="E3" s="1" t="s">
        <v>98</v>
      </c>
      <c r="F3" s="1" t="s">
        <v>98</v>
      </c>
      <c r="G3" s="1" t="s">
        <v>98</v>
      </c>
      <c r="H3" s="1" t="s">
        <v>98</v>
      </c>
      <c r="I3" s="1" t="s">
        <v>98</v>
      </c>
      <c r="J3" s="1" t="s">
        <v>98</v>
      </c>
      <c r="K3" s="1" t="s">
        <v>97</v>
      </c>
      <c r="L3" s="1" t="s">
        <v>98</v>
      </c>
      <c r="M3" s="1" t="s">
        <v>98</v>
      </c>
      <c r="N3" s="1" t="s">
        <v>98</v>
      </c>
      <c r="O3" s="1" t="s">
        <v>97</v>
      </c>
      <c r="P3" s="1" t="s">
        <v>97</v>
      </c>
      <c r="Q3" s="1" t="s">
        <v>98</v>
      </c>
      <c r="R3" s="1" t="s">
        <v>98</v>
      </c>
      <c r="S3" s="1" t="s">
        <v>97</v>
      </c>
      <c r="T3" s="1" t="s">
        <v>98</v>
      </c>
      <c r="U3" s="1" t="s">
        <v>98</v>
      </c>
      <c r="V3" s="1" t="s">
        <v>97</v>
      </c>
      <c r="W3" s="1" t="s">
        <v>98</v>
      </c>
      <c r="X3" s="1" t="s">
        <v>98</v>
      </c>
      <c r="Y3" s="1" t="s">
        <v>98</v>
      </c>
      <c r="Z3" s="1" t="s">
        <v>98</v>
      </c>
      <c r="AA3" s="1" t="s">
        <v>98</v>
      </c>
      <c r="AB3" s="1" t="s">
        <v>99</v>
      </c>
      <c r="AC3" s="1" t="s">
        <v>98</v>
      </c>
      <c r="AD3" s="1" t="s">
        <v>100</v>
      </c>
      <c r="AE3" s="1" t="s">
        <v>101</v>
      </c>
      <c r="AF3" s="1" t="s">
        <v>102</v>
      </c>
      <c r="AG3" s="1" t="s">
        <v>102</v>
      </c>
      <c r="AH3" s="1" t="s">
        <v>102</v>
      </c>
      <c r="AI3" s="1" t="s">
        <v>98</v>
      </c>
      <c r="AJ3" s="1" t="s">
        <v>98</v>
      </c>
      <c r="AK3" s="1" t="s">
        <v>97</v>
      </c>
      <c r="AL3" s="1" t="s">
        <v>98</v>
      </c>
      <c r="AM3" s="1" t="s">
        <v>102</v>
      </c>
      <c r="AN3" s="1" t="s">
        <v>98</v>
      </c>
      <c r="AO3" s="1" t="s">
        <v>98</v>
      </c>
      <c r="AP3" s="1" t="s">
        <v>98</v>
      </c>
      <c r="AQ3" s="1" t="s">
        <v>98</v>
      </c>
      <c r="AR3" s="1" t="s">
        <v>101</v>
      </c>
      <c r="AS3" s="1" t="s">
        <v>101</v>
      </c>
      <c r="AT3" s="1" t="s">
        <v>101</v>
      </c>
      <c r="AU3" s="1" t="s">
        <v>99</v>
      </c>
      <c r="AV3" s="1" t="s">
        <v>97</v>
      </c>
      <c r="AW3" s="1" t="s">
        <v>97</v>
      </c>
      <c r="AX3" s="1" t="s">
        <v>102</v>
      </c>
      <c r="AY3" s="1" t="s">
        <v>102</v>
      </c>
      <c r="AZ3" s="1" t="s">
        <v>102</v>
      </c>
      <c r="BA3" s="1" t="s">
        <v>97</v>
      </c>
      <c r="BB3" s="1" t="s">
        <v>98</v>
      </c>
      <c r="BC3" s="1" t="s">
        <v>98</v>
      </c>
      <c r="BD3" s="1" t="s">
        <v>97</v>
      </c>
      <c r="BE3" s="1" t="s">
        <v>98</v>
      </c>
      <c r="BF3" s="1" t="s">
        <v>98</v>
      </c>
      <c r="BG3" s="1" t="s">
        <v>98</v>
      </c>
      <c r="BH3" s="1" t="s">
        <v>98</v>
      </c>
      <c r="BI3" s="1" t="s">
        <v>98</v>
      </c>
      <c r="BJ3" s="1" t="s">
        <v>98</v>
      </c>
      <c r="BK3" s="1" t="s">
        <v>98</v>
      </c>
      <c r="BL3" s="1" t="s">
        <v>98</v>
      </c>
      <c r="BM3" s="1" t="s">
        <v>98</v>
      </c>
      <c r="BN3" s="1" t="s">
        <v>98</v>
      </c>
      <c r="BO3" s="1" t="s">
        <v>98</v>
      </c>
      <c r="BP3" s="1" t="s">
        <v>98</v>
      </c>
      <c r="BQ3" s="1" t="s">
        <v>100</v>
      </c>
      <c r="BR3" s="1" t="s">
        <v>97</v>
      </c>
      <c r="BS3" s="1" t="s">
        <v>97</v>
      </c>
      <c r="BT3" s="1" t="s">
        <v>97</v>
      </c>
      <c r="BU3" s="1" t="s">
        <v>98</v>
      </c>
      <c r="BV3" s="1" t="s">
        <v>98</v>
      </c>
      <c r="BW3" s="1" t="s">
        <v>98</v>
      </c>
      <c r="BX3" s="1" t="s">
        <v>98</v>
      </c>
      <c r="BY3" s="1" t="s">
        <v>98</v>
      </c>
      <c r="BZ3" s="1" t="s">
        <v>98</v>
      </c>
      <c r="CA3" s="1" t="s">
        <v>98</v>
      </c>
      <c r="CB3" s="1" t="s">
        <v>98</v>
      </c>
      <c r="CC3" s="1" t="s">
        <v>98</v>
      </c>
      <c r="CD3" s="1" t="s">
        <v>98</v>
      </c>
      <c r="CE3" s="1" t="s">
        <v>98</v>
      </c>
      <c r="CF3" s="1" t="s">
        <v>98</v>
      </c>
      <c r="CG3" s="1" t="s">
        <v>98</v>
      </c>
      <c r="CH3" s="1" t="s">
        <v>98</v>
      </c>
      <c r="CI3" s="1" t="s">
        <v>98</v>
      </c>
      <c r="CJ3" s="1" t="s">
        <v>97</v>
      </c>
      <c r="CK3" s="1" t="s">
        <v>98</v>
      </c>
      <c r="CL3" s="1" t="s">
        <v>98</v>
      </c>
      <c r="CM3" s="1" t="s">
        <v>98</v>
      </c>
      <c r="CN3" s="1" t="s">
        <v>97</v>
      </c>
      <c r="CO3" s="1" t="s">
        <v>98</v>
      </c>
      <c r="CP3" s="1" t="s">
        <v>98</v>
      </c>
      <c r="CQ3" s="1" t="s">
        <v>98</v>
      </c>
      <c r="CR3" s="1" t="s">
        <v>98</v>
      </c>
      <c r="CS3" s="1" t="s">
        <v>97</v>
      </c>
      <c r="CT3" s="1" t="s">
        <v>98</v>
      </c>
      <c r="CU3" s="1" t="s">
        <v>98</v>
      </c>
      <c r="CV3" s="1" t="s">
        <v>98</v>
      </c>
      <c r="CW3" s="1" t="s">
        <v>98</v>
      </c>
      <c r="CX3" s="1" t="s">
        <v>97</v>
      </c>
      <c r="CY3" s="1" t="s">
        <v>98</v>
      </c>
      <c r="CZ3" s="1" t="s">
        <v>98</v>
      </c>
    </row>
    <row r="4" spans="1:104">
      <c r="A4" s="1" t="s">
        <v>103</v>
      </c>
      <c r="B4" s="1" t="s">
        <v>104</v>
      </c>
      <c r="C4" s="1" t="s">
        <v>105</v>
      </c>
      <c r="D4" s="1" t="s">
        <v>106</v>
      </c>
      <c r="E4" s="1" t="s">
        <v>107</v>
      </c>
      <c r="F4" s="1" t="s">
        <v>108</v>
      </c>
      <c r="G4" s="1" t="s">
        <v>109</v>
      </c>
      <c r="H4" s="1" t="s">
        <v>110</v>
      </c>
      <c r="I4" s="1" t="s">
        <v>111</v>
      </c>
      <c r="J4" s="1" t="s">
        <v>112</v>
      </c>
      <c r="K4" s="1" t="s">
        <v>113</v>
      </c>
      <c r="L4" s="1" t="s">
        <v>114</v>
      </c>
      <c r="M4" s="1" t="s">
        <v>115</v>
      </c>
      <c r="N4" s="1" t="s">
        <v>116</v>
      </c>
      <c r="O4" s="1" t="s">
        <v>117</v>
      </c>
      <c r="P4" s="1" t="s">
        <v>118</v>
      </c>
      <c r="Q4" s="1" t="s">
        <v>119</v>
      </c>
      <c r="R4" s="1" t="s">
        <v>120</v>
      </c>
      <c r="S4" s="1" t="s">
        <v>121</v>
      </c>
      <c r="T4" s="1" t="s">
        <v>122</v>
      </c>
      <c r="U4" s="1" t="s">
        <v>123</v>
      </c>
      <c r="V4" s="1" t="s">
        <v>124</v>
      </c>
      <c r="W4" s="1" t="s">
        <v>125</v>
      </c>
      <c r="X4" s="1" t="s">
        <v>126</v>
      </c>
      <c r="Y4" s="1" t="s">
        <v>127</v>
      </c>
      <c r="Z4" s="1" t="s">
        <v>128</v>
      </c>
      <c r="AA4" s="1" t="s">
        <v>129</v>
      </c>
      <c r="AB4" s="1" t="s">
        <v>130</v>
      </c>
      <c r="AC4" s="1" t="s">
        <v>131</v>
      </c>
      <c r="AD4" s="1" t="s">
        <v>132</v>
      </c>
      <c r="AE4" s="1" t="s">
        <v>133</v>
      </c>
      <c r="AF4" s="1" t="s">
        <v>134</v>
      </c>
      <c r="AG4" s="1" t="s">
        <v>135</v>
      </c>
      <c r="AH4" s="1" t="s">
        <v>136</v>
      </c>
      <c r="AI4" s="1" t="s">
        <v>137</v>
      </c>
      <c r="AJ4" s="1" t="s">
        <v>138</v>
      </c>
      <c r="AK4" s="1" t="s">
        <v>139</v>
      </c>
      <c r="AL4" s="1" t="s">
        <v>140</v>
      </c>
      <c r="AM4" s="1" t="s">
        <v>141</v>
      </c>
      <c r="AN4" s="1" t="s">
        <v>142</v>
      </c>
      <c r="AO4" s="1" t="s">
        <v>143</v>
      </c>
      <c r="AP4" s="1" t="s">
        <v>144</v>
      </c>
      <c r="AQ4" s="1" t="s">
        <v>145</v>
      </c>
      <c r="AR4" s="1" t="s">
        <v>146</v>
      </c>
      <c r="AS4" s="1" t="s">
        <v>147</v>
      </c>
      <c r="AT4" s="1" t="s">
        <v>148</v>
      </c>
      <c r="AU4" s="1" t="s">
        <v>149</v>
      </c>
      <c r="AV4" s="1" t="s">
        <v>150</v>
      </c>
      <c r="AW4" s="1" t="s">
        <v>151</v>
      </c>
      <c r="AX4" s="1" t="s">
        <v>152</v>
      </c>
      <c r="AY4" s="1" t="s">
        <v>153</v>
      </c>
      <c r="AZ4" s="1" t="s">
        <v>154</v>
      </c>
      <c r="BA4" s="1" t="s">
        <v>155</v>
      </c>
      <c r="BB4" s="1" t="s">
        <v>156</v>
      </c>
      <c r="BC4" s="1" t="s">
        <v>157</v>
      </c>
      <c r="BD4" s="1" t="s">
        <v>158</v>
      </c>
      <c r="BE4" s="1" t="s">
        <v>159</v>
      </c>
      <c r="BF4" s="1" t="s">
        <v>160</v>
      </c>
      <c r="BG4" s="1" t="s">
        <v>161</v>
      </c>
      <c r="BH4" s="1" t="s">
        <v>162</v>
      </c>
      <c r="BI4" s="1" t="s">
        <v>163</v>
      </c>
      <c r="BJ4" s="1" t="s">
        <v>164</v>
      </c>
      <c r="BK4" s="1" t="s">
        <v>165</v>
      </c>
      <c r="BL4" s="1" t="s">
        <v>166</v>
      </c>
      <c r="BM4" s="1" t="s">
        <v>167</v>
      </c>
      <c r="BN4" s="1" t="s">
        <v>168</v>
      </c>
      <c r="BO4" s="1" t="s">
        <v>169</v>
      </c>
      <c r="BP4" s="1" t="s">
        <v>170</v>
      </c>
      <c r="BQ4" s="1" t="s">
        <v>171</v>
      </c>
      <c r="BR4" s="1" t="s">
        <v>172</v>
      </c>
      <c r="BS4" s="1" t="s">
        <v>173</v>
      </c>
      <c r="BT4" s="1" t="s">
        <v>174</v>
      </c>
      <c r="BU4" s="1" t="s">
        <v>175</v>
      </c>
      <c r="BV4" s="1" t="s">
        <v>176</v>
      </c>
      <c r="BW4" s="1" t="s">
        <v>177</v>
      </c>
      <c r="BX4" s="1" t="s">
        <v>178</v>
      </c>
      <c r="BY4" s="1" t="s">
        <v>179</v>
      </c>
      <c r="BZ4" s="1" t="s">
        <v>180</v>
      </c>
      <c r="CA4" s="1" t="s">
        <v>181</v>
      </c>
      <c r="CB4" s="1" t="s">
        <v>182</v>
      </c>
      <c r="CC4" s="1" t="s">
        <v>183</v>
      </c>
      <c r="CD4" s="1" t="s">
        <v>184</v>
      </c>
      <c r="CE4" s="1" t="s">
        <v>185</v>
      </c>
      <c r="CF4" s="1" t="s">
        <v>186</v>
      </c>
      <c r="CG4" s="1" t="s">
        <v>187</v>
      </c>
      <c r="CH4" s="1" t="s">
        <v>188</v>
      </c>
      <c r="CI4" s="1" t="s">
        <v>189</v>
      </c>
      <c r="CJ4" s="1" t="s">
        <v>190</v>
      </c>
      <c r="CK4" s="1" t="s">
        <v>191</v>
      </c>
      <c r="CL4" s="1" t="s">
        <v>192</v>
      </c>
      <c r="CM4" s="1" t="s">
        <v>193</v>
      </c>
      <c r="CN4" s="1" t="s">
        <v>194</v>
      </c>
      <c r="CO4" s="1" t="s">
        <v>195</v>
      </c>
      <c r="CP4" s="1" t="s">
        <v>196</v>
      </c>
      <c r="CQ4" s="1" t="s">
        <v>197</v>
      </c>
      <c r="CR4" s="1" t="s">
        <v>198</v>
      </c>
      <c r="CS4" s="1" t="s">
        <v>199</v>
      </c>
      <c r="CT4" s="1" t="s">
        <v>200</v>
      </c>
      <c r="CU4" s="1" t="s">
        <v>201</v>
      </c>
      <c r="CV4" s="1" t="s">
        <v>202</v>
      </c>
      <c r="CW4" s="1" t="s">
        <v>203</v>
      </c>
      <c r="CX4" s="1" t="s">
        <v>204</v>
      </c>
      <c r="CY4" s="1" t="s">
        <v>205</v>
      </c>
      <c r="CZ4" s="1" t="s">
        <v>206</v>
      </c>
    </row>
    <row r="5" spans="1:104">
      <c r="A5" s="1" t="s">
        <v>207</v>
      </c>
      <c r="C5" s="1" t="s">
        <v>208</v>
      </c>
      <c r="D5" s="1" t="s">
        <v>209</v>
      </c>
      <c r="E5" s="1" t="s">
        <v>210</v>
      </c>
      <c r="F5" s="1" t="s">
        <v>211</v>
      </c>
      <c r="G5" s="1" t="s">
        <v>208</v>
      </c>
      <c r="H5" s="1" t="s">
        <v>209</v>
      </c>
      <c r="I5" s="1" t="s">
        <v>210</v>
      </c>
      <c r="J5" s="1" t="s">
        <v>211</v>
      </c>
      <c r="L5" s="1" t="s">
        <v>212</v>
      </c>
      <c r="M5" s="1" t="s">
        <v>213</v>
      </c>
      <c r="V5" s="1" t="s">
        <v>214</v>
      </c>
      <c r="X5" s="1" t="s">
        <v>215</v>
      </c>
      <c r="Z5" s="1" t="s">
        <v>216</v>
      </c>
      <c r="AC5" s="1" t="s">
        <v>217</v>
      </c>
      <c r="AE5" s="1" t="s">
        <v>218</v>
      </c>
      <c r="AI5" s="1" t="s">
        <v>219</v>
      </c>
      <c r="AK5" s="1" t="s">
        <v>220</v>
      </c>
      <c r="AL5" s="1" t="s">
        <v>221</v>
      </c>
      <c r="AO5" s="1" t="s">
        <v>222</v>
      </c>
      <c r="AU5" s="1" t="s">
        <v>223</v>
      </c>
      <c r="AW5" s="1" t="s">
        <v>224</v>
      </c>
      <c r="AZ5" s="1" t="s">
        <v>225</v>
      </c>
      <c r="BH5" s="1" t="s">
        <v>226</v>
      </c>
      <c r="BI5" s="1" t="s">
        <v>227</v>
      </c>
      <c r="BJ5" s="1" t="s">
        <v>228</v>
      </c>
      <c r="BL5" s="1" t="s">
        <v>229</v>
      </c>
      <c r="BM5" s="1" t="s">
        <v>230</v>
      </c>
      <c r="BN5" s="1" t="s">
        <v>231</v>
      </c>
      <c r="BO5" s="1" t="s">
        <v>232</v>
      </c>
      <c r="BP5" s="1" t="s">
        <v>233</v>
      </c>
      <c r="BU5" s="1" t="s">
        <v>234</v>
      </c>
      <c r="BV5" s="1" t="s">
        <v>235</v>
      </c>
      <c r="CE5" s="1" t="s">
        <v>226</v>
      </c>
      <c r="CH5" s="1" t="s">
        <v>208</v>
      </c>
      <c r="CI5" s="1" t="s">
        <v>209</v>
      </c>
      <c r="CK5" s="1" t="s">
        <v>210</v>
      </c>
      <c r="CL5" s="1" t="s">
        <v>211</v>
      </c>
      <c r="CM5" s="1" t="s">
        <v>208</v>
      </c>
      <c r="CN5" s="1" t="s">
        <v>209</v>
      </c>
      <c r="CO5" s="1" t="s">
        <v>210</v>
      </c>
      <c r="CP5" s="1" t="s">
        <v>211</v>
      </c>
      <c r="CQ5" s="1" t="s">
        <v>212</v>
      </c>
      <c r="CR5" s="1" t="s">
        <v>213</v>
      </c>
      <c r="CS5" s="1" t="s">
        <v>214</v>
      </c>
      <c r="CU5" s="1" t="s">
        <v>234</v>
      </c>
    </row>
    <row r="6" spans="1:104">
      <c r="A6" s="1" t="s">
        <v>236</v>
      </c>
      <c r="B6" s="1" t="s">
        <v>190</v>
      </c>
      <c r="C6" s="1" t="s">
        <v>203</v>
      </c>
      <c r="D6" s="1" t="s">
        <v>204</v>
      </c>
      <c r="E6" s="1" t="s">
        <v>205</v>
      </c>
      <c r="F6" s="1" t="s">
        <v>206</v>
      </c>
      <c r="L6" s="1" t="s">
        <v>197</v>
      </c>
      <c r="M6" s="1" t="s">
        <v>198</v>
      </c>
      <c r="V6" s="1" t="s">
        <v>199</v>
      </c>
      <c r="W6" s="1" t="s">
        <v>200</v>
      </c>
      <c r="BU6" s="1" t="s">
        <v>201</v>
      </c>
      <c r="CF6" s="1" t="s">
        <v>202</v>
      </c>
    </row>
    <row r="7" spans="1:104">
      <c r="A7" s="1" t="s">
        <v>237</v>
      </c>
      <c r="CH7" s="1" t="b">
        <v>1</v>
      </c>
      <c r="CI7" s="1" t="b">
        <v>1</v>
      </c>
      <c r="CJ7" s="1" t="b">
        <v>1</v>
      </c>
      <c r="CK7" s="1" t="b">
        <v>1</v>
      </c>
      <c r="CL7" s="1" t="b">
        <v>1</v>
      </c>
      <c r="CM7" s="1" t="b">
        <v>1</v>
      </c>
      <c r="CN7" s="1" t="b">
        <v>1</v>
      </c>
      <c r="CO7" s="1" t="b">
        <v>1</v>
      </c>
      <c r="CP7" s="1" t="b">
        <v>1</v>
      </c>
      <c r="CQ7" s="1" t="b">
        <v>1</v>
      </c>
      <c r="CR7" s="1" t="b">
        <v>1</v>
      </c>
      <c r="CS7" s="1" t="b">
        <v>1</v>
      </c>
      <c r="CT7" s="1" t="b">
        <v>1</v>
      </c>
      <c r="CU7" s="1" t="b">
        <v>1</v>
      </c>
      <c r="CV7" s="1" t="b">
        <v>1</v>
      </c>
      <c r="CW7" s="1" t="b">
        <v>1</v>
      </c>
      <c r="CX7" s="1" t="b">
        <v>1</v>
      </c>
      <c r="CY7" s="1" t="b">
        <v>1</v>
      </c>
      <c r="CZ7" s="1" t="b">
        <v>1</v>
      </c>
    </row>
    <row r="8" spans="1:104">
      <c r="A8" s="1" t="s">
        <v>238</v>
      </c>
      <c r="CH8" s="1" t="s">
        <v>105</v>
      </c>
      <c r="CI8" s="1" t="s">
        <v>106</v>
      </c>
      <c r="CJ8" s="1" t="s">
        <v>104</v>
      </c>
      <c r="CK8" s="1" t="s">
        <v>107</v>
      </c>
      <c r="CL8" s="1" t="s">
        <v>108</v>
      </c>
      <c r="CM8" s="1" t="s">
        <v>203</v>
      </c>
      <c r="CN8" s="1" t="s">
        <v>204</v>
      </c>
      <c r="CO8" s="1" t="s">
        <v>205</v>
      </c>
      <c r="CP8" s="1" t="s">
        <v>206</v>
      </c>
      <c r="CQ8" s="1" t="s">
        <v>114</v>
      </c>
      <c r="CR8" s="1" t="s">
        <v>115</v>
      </c>
      <c r="CS8" s="1" t="s">
        <v>124</v>
      </c>
      <c r="CT8" s="1" t="s">
        <v>125</v>
      </c>
      <c r="CU8" s="1" t="s">
        <v>175</v>
      </c>
      <c r="CV8" s="1" t="s">
        <v>186</v>
      </c>
      <c r="CW8" s="1" t="s">
        <v>105</v>
      </c>
      <c r="CX8" s="1" t="s">
        <v>106</v>
      </c>
      <c r="CY8" s="1" t="s">
        <v>107</v>
      </c>
      <c r="CZ8" s="1" t="s">
        <v>108</v>
      </c>
    </row>
    <row r="9" spans="1:104">
      <c r="A9" s="1" t="s">
        <v>239</v>
      </c>
      <c r="B9" s="1" t="s">
        <v>240</v>
      </c>
      <c r="C9" s="1" t="s">
        <v>240</v>
      </c>
      <c r="D9" s="1" t="s">
        <v>240</v>
      </c>
      <c r="E9" s="1" t="s">
        <v>240</v>
      </c>
      <c r="F9" s="1" t="s">
        <v>240</v>
      </c>
      <c r="G9" s="1" t="s">
        <v>241</v>
      </c>
      <c r="H9" s="1" t="s">
        <v>241</v>
      </c>
      <c r="I9" s="1" t="s">
        <v>241</v>
      </c>
      <c r="J9" s="1" t="s">
        <v>241</v>
      </c>
      <c r="K9" s="1" t="s">
        <v>242</v>
      </c>
      <c r="L9" s="1" t="s">
        <v>240</v>
      </c>
      <c r="M9" s="1" t="s">
        <v>240</v>
      </c>
      <c r="N9" s="1" t="s">
        <v>242</v>
      </c>
      <c r="O9" s="1" t="s">
        <v>242</v>
      </c>
      <c r="P9" s="1" t="s">
        <v>242</v>
      </c>
      <c r="Q9" s="1" t="s">
        <v>242</v>
      </c>
      <c r="R9" s="1" t="s">
        <v>242</v>
      </c>
      <c r="S9" s="1" t="s">
        <v>242</v>
      </c>
      <c r="T9" s="1" t="s">
        <v>242</v>
      </c>
      <c r="U9" s="1" t="s">
        <v>242</v>
      </c>
      <c r="V9" s="1" t="s">
        <v>240</v>
      </c>
      <c r="W9" s="1" t="s">
        <v>240</v>
      </c>
      <c r="X9" s="1" t="s">
        <v>242</v>
      </c>
      <c r="Y9" s="1" t="s">
        <v>242</v>
      </c>
      <c r="Z9" s="1" t="s">
        <v>242</v>
      </c>
      <c r="AA9" s="1" t="s">
        <v>242</v>
      </c>
      <c r="AB9" s="1" t="s">
        <v>242</v>
      </c>
      <c r="AC9" s="1" t="s">
        <v>242</v>
      </c>
      <c r="AD9" s="1" t="s">
        <v>242</v>
      </c>
      <c r="AE9" s="1" t="s">
        <v>242</v>
      </c>
      <c r="AF9" s="1" t="s">
        <v>242</v>
      </c>
      <c r="AG9" s="1" t="s">
        <v>242</v>
      </c>
      <c r="AH9" s="1" t="s">
        <v>242</v>
      </c>
      <c r="AI9" s="1" t="s">
        <v>242</v>
      </c>
      <c r="AJ9" s="1" t="s">
        <v>242</v>
      </c>
      <c r="AK9" s="1" t="s">
        <v>242</v>
      </c>
      <c r="AL9" s="1" t="s">
        <v>242</v>
      </c>
      <c r="AM9" s="1" t="s">
        <v>242</v>
      </c>
      <c r="AN9" s="1" t="s">
        <v>242</v>
      </c>
      <c r="AO9" s="1" t="s">
        <v>242</v>
      </c>
      <c r="AP9" s="1" t="s">
        <v>242</v>
      </c>
      <c r="AQ9" s="1" t="s">
        <v>242</v>
      </c>
      <c r="AR9" s="1" t="s">
        <v>242</v>
      </c>
      <c r="AS9" s="1" t="s">
        <v>242</v>
      </c>
      <c r="AT9" s="1" t="s">
        <v>242</v>
      </c>
      <c r="AU9" s="1" t="s">
        <v>242</v>
      </c>
      <c r="AV9" s="1" t="s">
        <v>242</v>
      </c>
      <c r="AW9" s="1" t="s">
        <v>242</v>
      </c>
      <c r="AX9" s="1" t="s">
        <v>242</v>
      </c>
      <c r="AY9" s="1" t="s">
        <v>242</v>
      </c>
      <c r="AZ9" s="1" t="s">
        <v>242</v>
      </c>
      <c r="BA9" s="1" t="s">
        <v>242</v>
      </c>
      <c r="BB9" s="1" t="s">
        <v>242</v>
      </c>
      <c r="BC9" s="1" t="s">
        <v>242</v>
      </c>
      <c r="BD9" s="1" t="s">
        <v>242</v>
      </c>
      <c r="BE9" s="1" t="s">
        <v>242</v>
      </c>
      <c r="BF9" s="1" t="s">
        <v>242</v>
      </c>
      <c r="BG9" s="1" t="s">
        <v>242</v>
      </c>
      <c r="BH9" s="1" t="s">
        <v>241</v>
      </c>
      <c r="BI9" s="1" t="s">
        <v>242</v>
      </c>
      <c r="BJ9" s="1" t="s">
        <v>241</v>
      </c>
      <c r="BK9" s="1" t="s">
        <v>242</v>
      </c>
      <c r="BL9" s="1" t="s">
        <v>242</v>
      </c>
      <c r="BM9" s="1" t="s">
        <v>241</v>
      </c>
      <c r="BN9" s="1" t="s">
        <v>242</v>
      </c>
      <c r="BO9" s="1" t="s">
        <v>241</v>
      </c>
      <c r="BP9" s="1" t="s">
        <v>242</v>
      </c>
      <c r="BQ9" s="1" t="s">
        <v>242</v>
      </c>
      <c r="BR9" s="1" t="s">
        <v>242</v>
      </c>
      <c r="BS9" s="1" t="s">
        <v>242</v>
      </c>
      <c r="BT9" s="1" t="s">
        <v>242</v>
      </c>
      <c r="BU9" s="1" t="s">
        <v>240</v>
      </c>
      <c r="BV9" s="1" t="s">
        <v>242</v>
      </c>
      <c r="BW9" s="1" t="s">
        <v>242</v>
      </c>
      <c r="BX9" s="1" t="s">
        <v>242</v>
      </c>
      <c r="BY9" s="1" t="s">
        <v>243</v>
      </c>
      <c r="BZ9" s="1" t="s">
        <v>242</v>
      </c>
      <c r="CA9" s="1" t="s">
        <v>242</v>
      </c>
      <c r="CB9" s="1" t="s">
        <v>242</v>
      </c>
      <c r="CC9" s="1" t="s">
        <v>242</v>
      </c>
      <c r="CD9" s="1" t="s">
        <v>242</v>
      </c>
      <c r="CE9" s="1" t="s">
        <v>242</v>
      </c>
      <c r="CF9" s="1" t="s">
        <v>240</v>
      </c>
      <c r="CG9" s="1" t="s">
        <v>243</v>
      </c>
      <c r="CH9" s="1" t="s">
        <v>242</v>
      </c>
      <c r="CI9" s="1" t="s">
        <v>242</v>
      </c>
      <c r="CJ9" s="1" t="s">
        <v>242</v>
      </c>
      <c r="CK9" s="1" t="s">
        <v>242</v>
      </c>
      <c r="CL9" s="1" t="s">
        <v>242</v>
      </c>
      <c r="CM9" s="1" t="s">
        <v>242</v>
      </c>
      <c r="CN9" s="1" t="s">
        <v>242</v>
      </c>
      <c r="CO9" s="1" t="s">
        <v>242</v>
      </c>
      <c r="CP9" s="1" t="s">
        <v>242</v>
      </c>
      <c r="CQ9" s="1" t="s">
        <v>242</v>
      </c>
      <c r="CR9" s="1" t="s">
        <v>242</v>
      </c>
      <c r="CS9" s="1" t="s">
        <v>242</v>
      </c>
      <c r="CT9" s="1" t="s">
        <v>242</v>
      </c>
      <c r="CU9" s="1" t="s">
        <v>242</v>
      </c>
      <c r="CV9" s="1" t="s">
        <v>242</v>
      </c>
      <c r="CW9" s="1" t="s">
        <v>240</v>
      </c>
      <c r="CX9" s="1" t="s">
        <v>240</v>
      </c>
      <c r="CY9" s="1" t="s">
        <v>240</v>
      </c>
      <c r="CZ9" s="1" t="s">
        <v>240</v>
      </c>
    </row>
    <row r="10" spans="1:104">
      <c r="A10" s="1" t="s">
        <v>244</v>
      </c>
      <c r="B10" s="2">
        <v>43405</v>
      </c>
      <c r="C10" s="2">
        <v>43405</v>
      </c>
      <c r="D10" s="2">
        <v>43405</v>
      </c>
      <c r="E10" s="2">
        <v>43405</v>
      </c>
      <c r="F10" s="2">
        <v>43405</v>
      </c>
      <c r="G10" s="2">
        <v>43549</v>
      </c>
      <c r="H10" s="2">
        <v>43549</v>
      </c>
      <c r="I10" s="2">
        <v>43549</v>
      </c>
      <c r="J10" s="2">
        <v>43549</v>
      </c>
      <c r="K10" s="2">
        <v>42923</v>
      </c>
      <c r="L10" s="2">
        <v>43405</v>
      </c>
      <c r="M10" s="2">
        <v>43405</v>
      </c>
      <c r="N10" s="2">
        <v>42923</v>
      </c>
      <c r="O10" s="2">
        <v>42923</v>
      </c>
      <c r="P10" s="2">
        <v>42923</v>
      </c>
      <c r="Q10" s="2">
        <v>43180</v>
      </c>
      <c r="R10" s="2">
        <v>43180</v>
      </c>
      <c r="S10" s="2">
        <v>42923</v>
      </c>
      <c r="T10" s="2">
        <v>43180</v>
      </c>
      <c r="U10" s="2">
        <v>43180</v>
      </c>
      <c r="V10" s="2">
        <v>43405</v>
      </c>
      <c r="W10" s="2">
        <v>43405</v>
      </c>
      <c r="X10" s="2">
        <v>42971</v>
      </c>
      <c r="Y10" s="2">
        <v>42923</v>
      </c>
      <c r="Z10" s="2">
        <v>42923</v>
      </c>
      <c r="AA10" s="2">
        <v>42923</v>
      </c>
      <c r="AB10" s="2">
        <v>42923</v>
      </c>
      <c r="AC10" s="2">
        <v>42923</v>
      </c>
      <c r="AD10" s="2">
        <v>42923</v>
      </c>
      <c r="AE10" s="2">
        <v>42923</v>
      </c>
      <c r="AF10" s="2">
        <v>42923</v>
      </c>
      <c r="AG10" s="2">
        <v>42923</v>
      </c>
      <c r="AH10" s="2">
        <v>42923</v>
      </c>
      <c r="AI10" s="2">
        <v>42923</v>
      </c>
      <c r="AJ10" s="2">
        <v>42923</v>
      </c>
      <c r="AK10" s="2">
        <v>42923</v>
      </c>
      <c r="AL10" s="2">
        <v>42923</v>
      </c>
      <c r="AM10" s="2">
        <v>42923</v>
      </c>
      <c r="AN10" s="2">
        <v>42923</v>
      </c>
      <c r="AO10" s="2">
        <v>42923</v>
      </c>
      <c r="AP10" s="2">
        <v>42923</v>
      </c>
      <c r="AQ10" s="2">
        <v>42923</v>
      </c>
      <c r="AR10" s="2">
        <v>42923</v>
      </c>
      <c r="AS10" s="2">
        <v>42923</v>
      </c>
      <c r="AT10" s="2">
        <v>42923</v>
      </c>
      <c r="AU10" s="2">
        <v>42923</v>
      </c>
      <c r="AV10" s="2">
        <v>42923</v>
      </c>
      <c r="AW10" s="2">
        <v>42923</v>
      </c>
      <c r="AX10" s="2">
        <v>42923</v>
      </c>
      <c r="AY10" s="2">
        <v>42923</v>
      </c>
      <c r="AZ10" s="2">
        <v>42923</v>
      </c>
      <c r="BA10" s="2">
        <v>42923</v>
      </c>
      <c r="BB10" s="2">
        <v>42923</v>
      </c>
      <c r="BC10" s="2">
        <v>42923</v>
      </c>
      <c r="BD10" s="2">
        <v>42923</v>
      </c>
      <c r="BE10" s="2">
        <v>42923</v>
      </c>
      <c r="BF10" s="2">
        <v>42923</v>
      </c>
      <c r="BG10" s="2">
        <v>42923</v>
      </c>
      <c r="BH10" s="2">
        <v>43549</v>
      </c>
      <c r="BI10" s="2">
        <v>42983</v>
      </c>
      <c r="BJ10" s="2">
        <v>43549</v>
      </c>
      <c r="BK10" s="2">
        <v>42983</v>
      </c>
      <c r="BL10" s="2">
        <v>42923</v>
      </c>
      <c r="BM10" s="2">
        <v>43549</v>
      </c>
      <c r="BN10" s="2">
        <v>42923</v>
      </c>
      <c r="BO10" s="2">
        <v>43549</v>
      </c>
      <c r="BP10" s="2">
        <v>42923</v>
      </c>
      <c r="BQ10" s="2">
        <v>42923</v>
      </c>
      <c r="BR10" s="2">
        <v>42923</v>
      </c>
      <c r="BS10" s="2">
        <v>42923</v>
      </c>
      <c r="BT10" s="2">
        <v>42923</v>
      </c>
      <c r="BU10" s="2">
        <v>43405</v>
      </c>
      <c r="BV10" s="2">
        <v>43032</v>
      </c>
      <c r="BW10" s="2">
        <v>42971</v>
      </c>
      <c r="BX10" s="2">
        <v>42971</v>
      </c>
      <c r="BY10" s="2">
        <v>43361</v>
      </c>
      <c r="BZ10" s="2">
        <v>43005</v>
      </c>
      <c r="CA10" s="2">
        <v>43032</v>
      </c>
      <c r="CB10" s="2">
        <v>43005</v>
      </c>
      <c r="CC10" s="2">
        <v>43005</v>
      </c>
      <c r="CD10" s="2">
        <v>43005</v>
      </c>
      <c r="CE10" s="2">
        <v>43005</v>
      </c>
      <c r="CF10" s="2">
        <v>43405</v>
      </c>
      <c r="CG10" s="2">
        <v>43361</v>
      </c>
      <c r="CH10" s="2">
        <v>42923</v>
      </c>
      <c r="CI10" s="2">
        <v>42923</v>
      </c>
      <c r="CJ10" s="2">
        <v>42923</v>
      </c>
      <c r="CK10" s="2">
        <v>42923</v>
      </c>
      <c r="CL10" s="2">
        <v>42923</v>
      </c>
      <c r="CM10" s="2">
        <v>42923</v>
      </c>
      <c r="CN10" s="2">
        <v>42923</v>
      </c>
      <c r="CO10" s="2">
        <v>42923</v>
      </c>
      <c r="CP10" s="2">
        <v>42923</v>
      </c>
      <c r="CQ10" s="2">
        <v>42923</v>
      </c>
      <c r="CR10" s="2">
        <v>42923</v>
      </c>
      <c r="CS10" s="2">
        <v>42923</v>
      </c>
      <c r="CT10" s="2">
        <v>42923</v>
      </c>
      <c r="CU10" s="2">
        <v>43032</v>
      </c>
      <c r="CV10" s="2">
        <v>42923</v>
      </c>
      <c r="CW10" s="2">
        <v>43405</v>
      </c>
      <c r="CX10" s="2">
        <v>43405</v>
      </c>
      <c r="CY10" s="2">
        <v>43405</v>
      </c>
      <c r="CZ10" s="2">
        <v>43405</v>
      </c>
    </row>
    <row r="11" spans="1:104">
      <c r="A11" s="1" t="s">
        <v>245</v>
      </c>
      <c r="C11" s="2">
        <v>43549</v>
      </c>
      <c r="D11" s="2">
        <v>43549</v>
      </c>
      <c r="E11" s="2">
        <v>43549</v>
      </c>
      <c r="F11" s="2">
        <v>43549</v>
      </c>
      <c r="N11" s="2">
        <v>43249</v>
      </c>
      <c r="O11" s="2">
        <v>43180</v>
      </c>
      <c r="P11" s="2">
        <v>43180</v>
      </c>
      <c r="S11" s="2">
        <v>43180</v>
      </c>
      <c r="BE11" s="2">
        <v>43405</v>
      </c>
      <c r="BF11" s="2">
        <v>43249</v>
      </c>
      <c r="BG11" s="2">
        <v>43549</v>
      </c>
      <c r="BI11" s="2">
        <v>43249</v>
      </c>
      <c r="BK11" s="2">
        <v>43249</v>
      </c>
      <c r="BR11" s="2">
        <v>43180</v>
      </c>
      <c r="BS11" s="2">
        <v>43040</v>
      </c>
      <c r="BT11" s="2">
        <v>43249</v>
      </c>
      <c r="BW11" s="2">
        <v>43054</v>
      </c>
      <c r="BX11" s="2">
        <v>43054</v>
      </c>
      <c r="BZ11" s="2">
        <v>43054</v>
      </c>
      <c r="CA11" s="2">
        <v>43054</v>
      </c>
      <c r="CB11" s="2">
        <v>43054</v>
      </c>
      <c r="CE11" s="2">
        <v>43249</v>
      </c>
      <c r="CH11" s="2">
        <v>43249</v>
      </c>
      <c r="CJ11" s="2">
        <v>43249</v>
      </c>
      <c r="CM11" s="2">
        <v>43040</v>
      </c>
      <c r="CU11" s="2">
        <v>43249</v>
      </c>
      <c r="CV11" s="2">
        <v>43054</v>
      </c>
      <c r="CW11" s="2">
        <v>43549</v>
      </c>
      <c r="CX11" s="2">
        <v>43549</v>
      </c>
      <c r="CY11" s="2">
        <v>43549</v>
      </c>
      <c r="CZ11" s="2">
        <v>43549</v>
      </c>
    </row>
    <row r="12" spans="1:104">
      <c r="A12" s="1" t="s">
        <v>246</v>
      </c>
      <c r="B12" s="1" t="s">
        <v>247</v>
      </c>
      <c r="C12" s="1" t="s">
        <v>248</v>
      </c>
      <c r="D12" s="1" t="s">
        <v>249</v>
      </c>
      <c r="E12" s="1" t="s">
        <v>250</v>
      </c>
      <c r="F12" s="1" t="s">
        <v>251</v>
      </c>
      <c r="G12" s="1" t="s">
        <v>252</v>
      </c>
      <c r="H12" s="1" t="s">
        <v>253</v>
      </c>
      <c r="I12" s="1" t="s">
        <v>254</v>
      </c>
      <c r="J12" s="1" t="s">
        <v>255</v>
      </c>
      <c r="K12" s="1" t="s">
        <v>256</v>
      </c>
      <c r="L12" s="1" t="s">
        <v>257</v>
      </c>
      <c r="M12" s="1" t="s">
        <v>258</v>
      </c>
      <c r="N12" s="1" t="s">
        <v>259</v>
      </c>
      <c r="O12" s="1" t="s">
        <v>260</v>
      </c>
      <c r="P12" s="1" t="s">
        <v>261</v>
      </c>
      <c r="Q12" s="1" t="s">
        <v>262</v>
      </c>
      <c r="R12" s="1" t="s">
        <v>263</v>
      </c>
      <c r="S12" s="1" t="s">
        <v>264</v>
      </c>
      <c r="T12" s="1" t="s">
        <v>265</v>
      </c>
      <c r="U12" s="1" t="s">
        <v>266</v>
      </c>
      <c r="V12" s="1" t="s">
        <v>267</v>
      </c>
      <c r="W12" s="1" t="s">
        <v>268</v>
      </c>
      <c r="X12" s="1" t="s">
        <v>269</v>
      </c>
      <c r="Y12" s="1" t="s">
        <v>270</v>
      </c>
      <c r="Z12" s="1" t="s">
        <v>271</v>
      </c>
      <c r="AA12" s="1" t="s">
        <v>272</v>
      </c>
      <c r="AB12" s="1" t="s">
        <v>273</v>
      </c>
      <c r="AC12" s="1" t="s">
        <v>274</v>
      </c>
      <c r="AD12" s="1" t="s">
        <v>275</v>
      </c>
      <c r="AE12" s="1" t="s">
        <v>276</v>
      </c>
      <c r="AF12" s="1" t="s">
        <v>277</v>
      </c>
      <c r="AG12" s="1" t="s">
        <v>278</v>
      </c>
      <c r="AH12" s="1" t="s">
        <v>279</v>
      </c>
      <c r="AI12" s="1" t="s">
        <v>280</v>
      </c>
      <c r="AJ12" s="1" t="s">
        <v>281</v>
      </c>
      <c r="AK12" s="1" t="s">
        <v>282</v>
      </c>
      <c r="AL12" s="1" t="s">
        <v>283</v>
      </c>
      <c r="AM12" s="1" t="s">
        <v>284</v>
      </c>
      <c r="AN12" s="1" t="s">
        <v>285</v>
      </c>
      <c r="AO12" s="1" t="s">
        <v>286</v>
      </c>
      <c r="AP12" s="1" t="s">
        <v>287</v>
      </c>
      <c r="AQ12" s="1" t="s">
        <v>288</v>
      </c>
      <c r="AR12" s="1" t="s">
        <v>289</v>
      </c>
      <c r="AS12" s="1" t="s">
        <v>290</v>
      </c>
      <c r="AT12" s="1" t="s">
        <v>291</v>
      </c>
      <c r="AU12" s="1" t="s">
        <v>292</v>
      </c>
      <c r="AV12" s="1" t="s">
        <v>293</v>
      </c>
      <c r="AW12" s="1" t="s">
        <v>294</v>
      </c>
      <c r="AX12" s="1" t="s">
        <v>295</v>
      </c>
      <c r="AY12" s="1" t="s">
        <v>296</v>
      </c>
      <c r="AZ12" s="1" t="s">
        <v>297</v>
      </c>
      <c r="BA12" s="1" t="s">
        <v>298</v>
      </c>
      <c r="BB12" s="1" t="s">
        <v>299</v>
      </c>
      <c r="BC12" s="1" t="s">
        <v>300</v>
      </c>
      <c r="BD12" s="1" t="s">
        <v>301</v>
      </c>
      <c r="BE12" s="1" t="s">
        <v>302</v>
      </c>
      <c r="BF12" s="1" t="s">
        <v>303</v>
      </c>
      <c r="BG12" s="1" t="s">
        <v>304</v>
      </c>
      <c r="BH12" s="1" t="s">
        <v>305</v>
      </c>
      <c r="BI12" s="1" t="s">
        <v>306</v>
      </c>
      <c r="BJ12" s="1" t="s">
        <v>307</v>
      </c>
      <c r="BK12" s="1" t="s">
        <v>308</v>
      </c>
      <c r="BL12" s="1" t="s">
        <v>309</v>
      </c>
      <c r="BM12" s="1" t="s">
        <v>310</v>
      </c>
      <c r="BN12" s="1" t="s">
        <v>311</v>
      </c>
      <c r="BO12" s="1" t="s">
        <v>312</v>
      </c>
      <c r="BP12" s="1" t="s">
        <v>313</v>
      </c>
      <c r="BQ12" s="1" t="s">
        <v>314</v>
      </c>
      <c r="BR12" s="1" t="s">
        <v>315</v>
      </c>
      <c r="BS12" s="1" t="s">
        <v>316</v>
      </c>
      <c r="BT12" s="1" t="s">
        <v>317</v>
      </c>
      <c r="BU12" s="1" t="s">
        <v>318</v>
      </c>
      <c r="BV12" s="1" t="s">
        <v>319</v>
      </c>
      <c r="BW12" s="1" t="s">
        <v>320</v>
      </c>
      <c r="BX12" s="1" t="s">
        <v>321</v>
      </c>
      <c r="BY12" s="1" t="s">
        <v>322</v>
      </c>
      <c r="BZ12" s="1" t="s">
        <v>323</v>
      </c>
      <c r="CA12" s="1" t="s">
        <v>324</v>
      </c>
      <c r="CB12" s="1" t="s">
        <v>325</v>
      </c>
      <c r="CC12" s="1" t="s">
        <v>326</v>
      </c>
      <c r="CD12" s="1" t="s">
        <v>327</v>
      </c>
      <c r="CE12" s="1" t="s">
        <v>328</v>
      </c>
      <c r="CF12" s="1" t="s">
        <v>329</v>
      </c>
      <c r="CG12" s="1" t="s">
        <v>330</v>
      </c>
      <c r="CH12" s="1" t="s">
        <v>331</v>
      </c>
      <c r="CI12" s="1" t="s">
        <v>332</v>
      </c>
      <c r="CJ12" s="1" t="s">
        <v>247</v>
      </c>
      <c r="CK12" s="1" t="s">
        <v>333</v>
      </c>
      <c r="CL12" s="1" t="s">
        <v>334</v>
      </c>
      <c r="CM12" s="1" t="s">
        <v>248</v>
      </c>
      <c r="CN12" s="1" t="s">
        <v>249</v>
      </c>
      <c r="CO12" s="1" t="s">
        <v>250</v>
      </c>
      <c r="CP12" s="1" t="s">
        <v>251</v>
      </c>
      <c r="CQ12" s="1" t="s">
        <v>257</v>
      </c>
      <c r="CR12" s="1" t="s">
        <v>258</v>
      </c>
      <c r="CS12" s="1" t="s">
        <v>267</v>
      </c>
      <c r="CT12" s="1" t="s">
        <v>268</v>
      </c>
      <c r="CU12" s="1" t="s">
        <v>318</v>
      </c>
      <c r="CV12" s="1" t="s">
        <v>329</v>
      </c>
      <c r="CW12" s="1" t="s">
        <v>248</v>
      </c>
      <c r="CX12" s="1" t="s">
        <v>249</v>
      </c>
      <c r="CY12" s="1" t="s">
        <v>250</v>
      </c>
      <c r="CZ12" s="1" t="s">
        <v>251</v>
      </c>
    </row>
    <row r="13" spans="1:104">
      <c r="A13" s="1" t="s">
        <v>335</v>
      </c>
      <c r="B13" s="1" t="s">
        <v>336</v>
      </c>
      <c r="C13" s="1" t="s">
        <v>337</v>
      </c>
      <c r="D13" s="1" t="s">
        <v>338</v>
      </c>
      <c r="E13" s="1" t="s">
        <v>339</v>
      </c>
      <c r="F13" s="1" t="s">
        <v>340</v>
      </c>
      <c r="G13" s="1" t="s">
        <v>341</v>
      </c>
      <c r="H13" s="1" t="s">
        <v>342</v>
      </c>
      <c r="I13" s="1" t="s">
        <v>343</v>
      </c>
      <c r="J13" s="1" t="s">
        <v>344</v>
      </c>
      <c r="K13" s="1" t="s">
        <v>345</v>
      </c>
      <c r="L13" s="1" t="s">
        <v>346</v>
      </c>
      <c r="M13" s="1" t="s">
        <v>347</v>
      </c>
      <c r="N13" s="1" t="s">
        <v>348</v>
      </c>
      <c r="O13" s="1" t="s">
        <v>349</v>
      </c>
      <c r="P13" s="1" t="s">
        <v>350</v>
      </c>
      <c r="Q13" s="1" t="s">
        <v>351</v>
      </c>
      <c r="R13" s="1" t="s">
        <v>352</v>
      </c>
      <c r="S13" s="1" t="s">
        <v>353</v>
      </c>
      <c r="T13" s="1" t="s">
        <v>354</v>
      </c>
      <c r="U13" s="1" t="s">
        <v>355</v>
      </c>
      <c r="V13" s="1" t="s">
        <v>356</v>
      </c>
      <c r="W13" s="1" t="s">
        <v>357</v>
      </c>
      <c r="X13" s="1" t="s">
        <v>358</v>
      </c>
      <c r="Y13" s="1" t="s">
        <v>359</v>
      </c>
      <c r="Z13" s="1" t="s">
        <v>360</v>
      </c>
      <c r="AA13" s="1" t="s">
        <v>361</v>
      </c>
      <c r="AB13" s="1" t="s">
        <v>362</v>
      </c>
      <c r="AC13" s="1" t="s">
        <v>363</v>
      </c>
      <c r="AD13" s="1" t="s">
        <v>364</v>
      </c>
      <c r="AE13" s="1" t="s">
        <v>365</v>
      </c>
      <c r="AI13" s="1" t="s">
        <v>366</v>
      </c>
      <c r="AJ13" s="1" t="s">
        <v>367</v>
      </c>
      <c r="AK13" s="1" t="s">
        <v>368</v>
      </c>
      <c r="AL13" s="1" t="s">
        <v>369</v>
      </c>
      <c r="AM13" s="1" t="s">
        <v>370</v>
      </c>
      <c r="AN13" s="1" t="s">
        <v>371</v>
      </c>
      <c r="AO13" s="1" t="s">
        <v>372</v>
      </c>
      <c r="AP13" s="1" t="s">
        <v>373</v>
      </c>
      <c r="AQ13" s="1" t="s">
        <v>374</v>
      </c>
      <c r="AR13" s="1" t="s">
        <v>375</v>
      </c>
      <c r="AS13" s="1" t="s">
        <v>376</v>
      </c>
      <c r="AT13" s="1" t="s">
        <v>377</v>
      </c>
      <c r="AU13" s="1" t="s">
        <v>378</v>
      </c>
      <c r="AV13" s="1" t="s">
        <v>379</v>
      </c>
      <c r="AW13" s="1" t="s">
        <v>380</v>
      </c>
      <c r="AX13" s="1" t="s">
        <v>381</v>
      </c>
      <c r="AY13" s="1" t="s">
        <v>382</v>
      </c>
      <c r="AZ13" s="1" t="s">
        <v>383</v>
      </c>
      <c r="BA13" s="1" t="s">
        <v>384</v>
      </c>
      <c r="BB13" s="1" t="s">
        <v>385</v>
      </c>
      <c r="BC13" s="1" t="s">
        <v>386</v>
      </c>
      <c r="BD13" s="1" t="s">
        <v>387</v>
      </c>
      <c r="BE13" s="1" t="s">
        <v>388</v>
      </c>
      <c r="BF13" s="1" t="s">
        <v>389</v>
      </c>
      <c r="BG13" s="1" t="s">
        <v>390</v>
      </c>
      <c r="BH13" s="1" t="s">
        <v>391</v>
      </c>
      <c r="BI13" s="1" t="s">
        <v>392</v>
      </c>
      <c r="BK13" s="1" t="s">
        <v>393</v>
      </c>
      <c r="BL13" s="1" t="s">
        <v>394</v>
      </c>
      <c r="BM13" s="1" t="s">
        <v>395</v>
      </c>
      <c r="BN13" s="1" t="s">
        <v>396</v>
      </c>
      <c r="BO13" s="1" t="s">
        <v>397</v>
      </c>
      <c r="BP13" s="1" t="s">
        <v>398</v>
      </c>
      <c r="BQ13" s="1" t="s">
        <v>399</v>
      </c>
      <c r="BR13" s="1" t="s">
        <v>400</v>
      </c>
      <c r="BS13" s="1" t="s">
        <v>401</v>
      </c>
      <c r="BT13" s="1" t="s">
        <v>402</v>
      </c>
      <c r="BU13" s="1" t="s">
        <v>403</v>
      </c>
      <c r="BV13" s="1" t="s">
        <v>404</v>
      </c>
      <c r="BW13" s="1" t="s">
        <v>405</v>
      </c>
      <c r="BX13" s="1" t="s">
        <v>406</v>
      </c>
      <c r="BY13" s="1" t="s">
        <v>407</v>
      </c>
      <c r="BZ13" s="1" t="s">
        <v>408</v>
      </c>
      <c r="CA13" s="1" t="s">
        <v>409</v>
      </c>
      <c r="CB13" s="1" t="s">
        <v>410</v>
      </c>
      <c r="CC13" s="1" t="s">
        <v>411</v>
      </c>
      <c r="CD13" s="1" t="s">
        <v>412</v>
      </c>
      <c r="CE13" s="1" t="s">
        <v>413</v>
      </c>
      <c r="CF13" s="1" t="s">
        <v>414</v>
      </c>
      <c r="CG13" s="1" t="s">
        <v>415</v>
      </c>
      <c r="CH13" s="1" t="s">
        <v>416</v>
      </c>
      <c r="CI13" s="1" t="s">
        <v>417</v>
      </c>
      <c r="CJ13" s="1" t="s">
        <v>336</v>
      </c>
      <c r="CK13" s="1" t="s">
        <v>343</v>
      </c>
      <c r="CL13" s="1" t="s">
        <v>418</v>
      </c>
      <c r="CM13" s="1" t="s">
        <v>337</v>
      </c>
      <c r="CN13" s="1" t="s">
        <v>338</v>
      </c>
      <c r="CO13" s="1" t="s">
        <v>339</v>
      </c>
      <c r="CP13" s="1" t="s">
        <v>340</v>
      </c>
      <c r="CQ13" s="1" t="s">
        <v>346</v>
      </c>
      <c r="CR13" s="1" t="s">
        <v>347</v>
      </c>
      <c r="CS13" s="1" t="s">
        <v>356</v>
      </c>
      <c r="CT13" s="1" t="s">
        <v>357</v>
      </c>
      <c r="CU13" s="1" t="s">
        <v>403</v>
      </c>
      <c r="CV13" s="1" t="s">
        <v>414</v>
      </c>
      <c r="CW13" s="1" t="s">
        <v>337</v>
      </c>
      <c r="CX13" s="1" t="s">
        <v>338</v>
      </c>
      <c r="CY13" s="1" t="s">
        <v>339</v>
      </c>
      <c r="CZ13" s="1" t="s">
        <v>340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R1288"/>
  <sheetViews>
    <sheetView workbookViewId="0">
      <pane ySplit="1" topLeftCell="A2" activePane="bottomLeft" state="frozen"/>
      <selection pane="bottomLeft"/>
    </sheetView>
  </sheetViews>
  <sheetFormatPr baseColWidth="10" defaultColWidth="12.6640625" defaultRowHeight="15.75" customHeight="1"/>
  <cols>
    <col min="1" max="1" width="25.21875" customWidth="1"/>
    <col min="5" max="5" width="28.88671875" customWidth="1"/>
  </cols>
  <sheetData>
    <row r="1" spans="1:44" ht="15.75" customHeight="1">
      <c r="A1" s="1" t="s">
        <v>419</v>
      </c>
      <c r="B1" s="1" t="s">
        <v>420</v>
      </c>
      <c r="C1" s="1" t="s">
        <v>421</v>
      </c>
      <c r="D1" s="1" t="s">
        <v>422</v>
      </c>
      <c r="E1" s="1" t="s">
        <v>423</v>
      </c>
      <c r="F1" s="1" t="s">
        <v>424</v>
      </c>
      <c r="G1" s="1" t="s">
        <v>425</v>
      </c>
      <c r="H1" s="1" t="s">
        <v>426</v>
      </c>
      <c r="I1" s="1" t="s">
        <v>427</v>
      </c>
      <c r="J1" s="1" t="s">
        <v>428</v>
      </c>
      <c r="K1" s="1" t="s">
        <v>429</v>
      </c>
      <c r="L1" s="1" t="s">
        <v>430</v>
      </c>
      <c r="M1" s="1" t="s">
        <v>431</v>
      </c>
      <c r="N1" s="3" t="s">
        <v>432</v>
      </c>
      <c r="O1" s="3" t="s">
        <v>433</v>
      </c>
      <c r="P1" s="3" t="s">
        <v>434</v>
      </c>
      <c r="Q1" s="3" t="s">
        <v>435</v>
      </c>
      <c r="R1" s="3" t="s">
        <v>436</v>
      </c>
      <c r="S1" s="3" t="s">
        <v>437</v>
      </c>
      <c r="T1" s="3" t="s">
        <v>438</v>
      </c>
      <c r="U1" s="3" t="s">
        <v>439</v>
      </c>
      <c r="V1" s="3" t="s">
        <v>440</v>
      </c>
      <c r="W1" s="3" t="s">
        <v>441</v>
      </c>
      <c r="X1" s="3" t="s">
        <v>442</v>
      </c>
      <c r="Y1" s="3" t="s">
        <v>443</v>
      </c>
      <c r="Z1" s="3" t="s">
        <v>444</v>
      </c>
      <c r="AA1" s="3" t="s">
        <v>445</v>
      </c>
      <c r="AB1" s="3" t="s">
        <v>446</v>
      </c>
      <c r="AC1" s="3" t="s">
        <v>447</v>
      </c>
      <c r="AD1" s="3" t="s">
        <v>448</v>
      </c>
      <c r="AE1" s="3" t="s">
        <v>449</v>
      </c>
      <c r="AF1" s="3" t="s">
        <v>450</v>
      </c>
      <c r="AG1" s="3" t="s">
        <v>451</v>
      </c>
      <c r="AH1" s="3" t="s">
        <v>452</v>
      </c>
      <c r="AI1" s="3" t="s">
        <v>453</v>
      </c>
      <c r="AJ1" s="3" t="s">
        <v>454</v>
      </c>
      <c r="AK1" s="3" t="s">
        <v>455</v>
      </c>
      <c r="AL1" s="3" t="s">
        <v>456</v>
      </c>
      <c r="AM1" s="3" t="s">
        <v>457</v>
      </c>
      <c r="AN1" s="3" t="s">
        <v>458</v>
      </c>
      <c r="AO1" s="1" t="s">
        <v>459</v>
      </c>
      <c r="AR1" s="3"/>
    </row>
    <row r="2" spans="1:44" ht="15.75" customHeight="1">
      <c r="A2" s="4" t="s">
        <v>460</v>
      </c>
      <c r="B2" s="4" t="s">
        <v>461</v>
      </c>
      <c r="C2" s="4" t="s">
        <v>462</v>
      </c>
      <c r="D2" s="5" t="s">
        <v>463</v>
      </c>
      <c r="E2" s="3" t="s">
        <v>464</v>
      </c>
      <c r="F2" s="4" t="s">
        <v>465</v>
      </c>
      <c r="H2" s="4" t="s">
        <v>466</v>
      </c>
      <c r="I2" s="1" t="s">
        <v>467</v>
      </c>
      <c r="K2" s="1" t="s">
        <v>468</v>
      </c>
      <c r="M2" s="3" t="s">
        <v>469</v>
      </c>
      <c r="N2" s="3" t="s">
        <v>469</v>
      </c>
      <c r="O2" s="1" t="s">
        <v>469</v>
      </c>
      <c r="S2" s="3" t="s">
        <v>469</v>
      </c>
      <c r="T2" s="1" t="s">
        <v>470</v>
      </c>
      <c r="U2" s="3" t="s">
        <v>469</v>
      </c>
      <c r="V2" s="1" t="s">
        <v>469</v>
      </c>
      <c r="X2" s="1" t="s">
        <v>470</v>
      </c>
      <c r="Y2" s="1" t="s">
        <v>471</v>
      </c>
      <c r="AA2" s="1" t="s">
        <v>472</v>
      </c>
      <c r="AB2" s="1" t="s">
        <v>469</v>
      </c>
      <c r="AC2" s="3" t="s">
        <v>469</v>
      </c>
      <c r="AD2" s="1" t="s">
        <v>473</v>
      </c>
      <c r="AH2" s="1" t="s">
        <v>469</v>
      </c>
      <c r="AM2" s="1" t="s">
        <v>469</v>
      </c>
      <c r="AN2" s="3" t="s">
        <v>474</v>
      </c>
      <c r="AO2" s="3" t="s">
        <v>474</v>
      </c>
      <c r="AP2" s="1"/>
    </row>
    <row r="3" spans="1:44" ht="15.75" customHeight="1">
      <c r="A3" s="4" t="s">
        <v>460</v>
      </c>
      <c r="B3" s="4" t="s">
        <v>461</v>
      </c>
      <c r="C3" s="4"/>
      <c r="D3" s="5"/>
      <c r="E3" s="3"/>
      <c r="F3" s="4"/>
      <c r="H3" s="4"/>
      <c r="M3" s="3"/>
      <c r="N3" s="3"/>
      <c r="O3" s="1"/>
      <c r="S3" s="3"/>
      <c r="T3" s="1"/>
      <c r="U3" s="3"/>
      <c r="V3" s="1"/>
      <c r="X3" s="1"/>
      <c r="Y3" s="1"/>
      <c r="AA3" s="1"/>
      <c r="AB3" s="1"/>
      <c r="AC3" s="3"/>
      <c r="AD3" s="1"/>
      <c r="AH3" s="1"/>
      <c r="AL3" s="1" t="s">
        <v>475</v>
      </c>
    </row>
    <row r="4" spans="1:44" ht="15.75" customHeight="1">
      <c r="A4" s="4" t="s">
        <v>460</v>
      </c>
      <c r="B4" s="4" t="s">
        <v>461</v>
      </c>
      <c r="C4" s="4"/>
      <c r="D4" s="5"/>
      <c r="E4" s="3"/>
      <c r="F4" s="4"/>
      <c r="H4" s="4" t="s">
        <v>476</v>
      </c>
      <c r="L4" s="1" t="s">
        <v>477</v>
      </c>
      <c r="N4" s="3"/>
      <c r="V4" s="3"/>
    </row>
    <row r="5" spans="1:44" ht="15.75" customHeight="1">
      <c r="A5" s="4" t="s">
        <v>460</v>
      </c>
      <c r="B5" s="4" t="s">
        <v>461</v>
      </c>
      <c r="C5" s="4"/>
      <c r="D5" s="5"/>
      <c r="E5" s="3"/>
      <c r="F5" s="4"/>
      <c r="H5" s="4" t="s">
        <v>478</v>
      </c>
      <c r="V5" s="3"/>
    </row>
    <row r="6" spans="1:44" ht="15.75" customHeight="1">
      <c r="A6" s="4" t="s">
        <v>460</v>
      </c>
      <c r="B6" s="4" t="s">
        <v>461</v>
      </c>
      <c r="C6" s="4"/>
      <c r="D6" s="5"/>
      <c r="E6" s="3"/>
      <c r="F6" s="4"/>
      <c r="H6" s="4" t="s">
        <v>479</v>
      </c>
      <c r="V6" s="3"/>
    </row>
    <row r="7" spans="1:44" ht="15.75" customHeight="1">
      <c r="A7" s="4" t="s">
        <v>460</v>
      </c>
      <c r="B7" s="4" t="s">
        <v>461</v>
      </c>
      <c r="C7" s="4"/>
      <c r="D7" s="5"/>
      <c r="E7" s="3"/>
      <c r="F7" s="4"/>
      <c r="H7" s="4"/>
      <c r="M7" s="3" t="s">
        <v>480</v>
      </c>
      <c r="V7" s="3"/>
    </row>
    <row r="8" spans="1:44" ht="15.75" customHeight="1">
      <c r="A8" s="4" t="s">
        <v>460</v>
      </c>
      <c r="B8" s="4" t="s">
        <v>461</v>
      </c>
      <c r="C8" s="4" t="s">
        <v>481</v>
      </c>
      <c r="D8" s="5" t="s">
        <v>482</v>
      </c>
      <c r="E8" s="3" t="s">
        <v>483</v>
      </c>
      <c r="H8" s="4" t="s">
        <v>484</v>
      </c>
      <c r="I8" s="1" t="s">
        <v>485</v>
      </c>
      <c r="W8" s="1" t="s">
        <v>486</v>
      </c>
      <c r="AL8" s="1" t="s">
        <v>487</v>
      </c>
    </row>
    <row r="9" spans="1:44" ht="15.75" customHeight="1">
      <c r="A9" s="4" t="s">
        <v>460</v>
      </c>
      <c r="B9" s="4" t="s">
        <v>461</v>
      </c>
      <c r="C9" s="4"/>
      <c r="D9" s="5"/>
      <c r="E9" s="3"/>
      <c r="H9" s="4" t="s">
        <v>488</v>
      </c>
    </row>
    <row r="10" spans="1:44" ht="15.75" customHeight="1">
      <c r="A10" s="4" t="s">
        <v>460</v>
      </c>
      <c r="B10" s="4" t="s">
        <v>461</v>
      </c>
      <c r="C10" s="4"/>
      <c r="D10" s="5"/>
      <c r="E10" s="3" t="s">
        <v>489</v>
      </c>
      <c r="AO10" s="3"/>
    </row>
    <row r="11" spans="1:44" ht="15.75" customHeight="1">
      <c r="A11" s="4" t="s">
        <v>460</v>
      </c>
      <c r="B11" s="4" t="s">
        <v>461</v>
      </c>
      <c r="C11" s="4"/>
      <c r="D11" s="5"/>
      <c r="E11" s="3"/>
      <c r="H11" s="4" t="s">
        <v>490</v>
      </c>
      <c r="I11" s="4"/>
    </row>
    <row r="12" spans="1:44" ht="15.75" customHeight="1">
      <c r="A12" s="4" t="s">
        <v>460</v>
      </c>
      <c r="B12" s="4" t="s">
        <v>461</v>
      </c>
      <c r="C12" s="4"/>
      <c r="D12" s="5"/>
      <c r="E12" s="3"/>
      <c r="H12" s="4" t="s">
        <v>491</v>
      </c>
      <c r="I12" s="4"/>
    </row>
    <row r="13" spans="1:44" ht="15.75" customHeight="1">
      <c r="A13" s="4" t="s">
        <v>460</v>
      </c>
      <c r="B13" s="4" t="s">
        <v>461</v>
      </c>
      <c r="C13" s="4" t="s">
        <v>492</v>
      </c>
      <c r="D13" s="5" t="s">
        <v>493</v>
      </c>
      <c r="E13" s="3" t="s">
        <v>494</v>
      </c>
      <c r="F13" s="4" t="s">
        <v>495</v>
      </c>
      <c r="I13" s="1" t="s">
        <v>496</v>
      </c>
      <c r="P13" s="3" t="s">
        <v>497</v>
      </c>
      <c r="U13" s="3" t="s">
        <v>498</v>
      </c>
      <c r="V13" s="1" t="s">
        <v>497</v>
      </c>
      <c r="W13" s="3" t="s">
        <v>499</v>
      </c>
      <c r="X13" s="1" t="s">
        <v>497</v>
      </c>
      <c r="Y13" s="3" t="s">
        <v>497</v>
      </c>
      <c r="Z13" s="1" t="s">
        <v>497</v>
      </c>
      <c r="AA13" s="3" t="s">
        <v>500</v>
      </c>
      <c r="AD13" s="1" t="s">
        <v>492</v>
      </c>
      <c r="AE13" s="1" t="s">
        <v>497</v>
      </c>
      <c r="AG13" s="6" t="s">
        <v>497</v>
      </c>
      <c r="AH13" s="3" t="s">
        <v>497</v>
      </c>
      <c r="AL13" s="1" t="s">
        <v>497</v>
      </c>
      <c r="AM13" s="1" t="s">
        <v>497</v>
      </c>
      <c r="AN13" s="1" t="s">
        <v>461</v>
      </c>
    </row>
    <row r="14" spans="1:44" ht="15.75" customHeight="1">
      <c r="A14" s="4" t="s">
        <v>460</v>
      </c>
      <c r="B14" s="4" t="s">
        <v>461</v>
      </c>
      <c r="C14" s="4"/>
      <c r="D14" s="5"/>
      <c r="E14" s="3" t="s">
        <v>501</v>
      </c>
    </row>
    <row r="15" spans="1:44" ht="15.75" customHeight="1">
      <c r="A15" s="4" t="s">
        <v>460</v>
      </c>
      <c r="B15" s="4" t="s">
        <v>502</v>
      </c>
      <c r="C15" s="4" t="s">
        <v>503</v>
      </c>
      <c r="D15" s="3"/>
      <c r="F15" s="4" t="s">
        <v>504</v>
      </c>
    </row>
    <row r="16" spans="1:44" ht="15.75" customHeight="1">
      <c r="A16" s="4" t="s">
        <v>460</v>
      </c>
      <c r="B16" s="4" t="s">
        <v>502</v>
      </c>
      <c r="C16" s="4" t="s">
        <v>505</v>
      </c>
      <c r="D16" s="3"/>
      <c r="F16" s="4" t="s">
        <v>506</v>
      </c>
    </row>
    <row r="17" spans="1:41" ht="15.75" customHeight="1">
      <c r="A17" s="4" t="s">
        <v>460</v>
      </c>
      <c r="B17" s="4" t="s">
        <v>502</v>
      </c>
      <c r="C17" s="4" t="s">
        <v>507</v>
      </c>
      <c r="D17" s="3"/>
      <c r="E17" s="3" t="s">
        <v>508</v>
      </c>
      <c r="F17" s="4" t="s">
        <v>509</v>
      </c>
      <c r="G17" s="1" t="s">
        <v>510</v>
      </c>
      <c r="T17" s="1" t="s">
        <v>511</v>
      </c>
      <c r="U17" s="3" t="s">
        <v>512</v>
      </c>
      <c r="V17" s="4" t="s">
        <v>511</v>
      </c>
      <c r="X17" s="3" t="s">
        <v>511</v>
      </c>
      <c r="AA17" s="1" t="s">
        <v>511</v>
      </c>
      <c r="AD17" s="1" t="s">
        <v>507</v>
      </c>
      <c r="AH17" s="3" t="s">
        <v>513</v>
      </c>
      <c r="AJ17" s="6" t="s">
        <v>511</v>
      </c>
      <c r="AM17" s="1" t="s">
        <v>511</v>
      </c>
      <c r="AN17" s="1" t="s">
        <v>511</v>
      </c>
    </row>
    <row r="18" spans="1:41" ht="15.75" customHeight="1">
      <c r="A18" s="4" t="s">
        <v>460</v>
      </c>
      <c r="B18" s="4" t="s">
        <v>502</v>
      </c>
      <c r="C18" s="4"/>
      <c r="D18" s="3"/>
      <c r="E18" s="3"/>
      <c r="F18" s="4"/>
      <c r="G18" s="1" t="s">
        <v>514</v>
      </c>
    </row>
    <row r="19" spans="1:41" ht="15.75" customHeight="1">
      <c r="A19" s="4" t="s">
        <v>460</v>
      </c>
      <c r="B19" s="4" t="s">
        <v>502</v>
      </c>
      <c r="C19" s="4"/>
      <c r="D19" s="3"/>
      <c r="E19" s="3"/>
      <c r="F19" s="4"/>
      <c r="G19" s="1" t="s">
        <v>515</v>
      </c>
      <c r="S19" s="1" t="s">
        <v>516</v>
      </c>
      <c r="Z19" s="1" t="s">
        <v>516</v>
      </c>
      <c r="AC19" s="1" t="s">
        <v>516</v>
      </c>
    </row>
    <row r="20" spans="1:41" ht="15.75" customHeight="1">
      <c r="A20" s="4" t="s">
        <v>460</v>
      </c>
      <c r="B20" s="4" t="s">
        <v>502</v>
      </c>
      <c r="C20" s="4"/>
      <c r="D20" s="3"/>
      <c r="E20" s="3"/>
      <c r="F20" s="4"/>
      <c r="G20" s="1" t="s">
        <v>517</v>
      </c>
    </row>
    <row r="21" spans="1:41" ht="15.75" customHeight="1">
      <c r="A21" s="4" t="s">
        <v>460</v>
      </c>
      <c r="B21" s="4" t="s">
        <v>502</v>
      </c>
      <c r="C21" s="4" t="s">
        <v>518</v>
      </c>
      <c r="D21" s="3"/>
      <c r="E21" s="3" t="s">
        <v>519</v>
      </c>
      <c r="F21" s="4" t="s">
        <v>520</v>
      </c>
      <c r="G21" s="1" t="s">
        <v>521</v>
      </c>
      <c r="N21" s="1" t="s">
        <v>522</v>
      </c>
      <c r="S21" s="1" t="s">
        <v>522</v>
      </c>
      <c r="T21" s="1" t="s">
        <v>522</v>
      </c>
      <c r="U21" s="3" t="s">
        <v>518</v>
      </c>
      <c r="V21" s="4" t="s">
        <v>523</v>
      </c>
      <c r="X21" s="3" t="s">
        <v>518</v>
      </c>
      <c r="Z21" s="1" t="s">
        <v>523</v>
      </c>
      <c r="AA21" s="1" t="s">
        <v>522</v>
      </c>
      <c r="AC21" s="1" t="s">
        <v>522</v>
      </c>
      <c r="AD21" s="1" t="s">
        <v>518</v>
      </c>
      <c r="AH21" s="1" t="s">
        <v>524</v>
      </c>
      <c r="AJ21" s="1" t="s">
        <v>522</v>
      </c>
      <c r="AM21" s="1" t="s">
        <v>523</v>
      </c>
      <c r="AN21" s="1" t="s">
        <v>522</v>
      </c>
      <c r="AO21" s="1" t="s">
        <v>525</v>
      </c>
    </row>
    <row r="22" spans="1:41" ht="15.75" customHeight="1">
      <c r="A22" s="4" t="s">
        <v>460</v>
      </c>
      <c r="B22" s="4" t="s">
        <v>502</v>
      </c>
      <c r="D22" s="3"/>
      <c r="G22" s="1" t="s">
        <v>526</v>
      </c>
    </row>
    <row r="23" spans="1:41" ht="15.75" customHeight="1">
      <c r="A23" s="4" t="s">
        <v>460</v>
      </c>
      <c r="B23" s="4" t="s">
        <v>502</v>
      </c>
      <c r="C23" s="4" t="s">
        <v>527</v>
      </c>
      <c r="D23" s="3"/>
      <c r="G23" s="1"/>
      <c r="AJ23" s="1" t="s">
        <v>528</v>
      </c>
    </row>
    <row r="24" spans="1:41" ht="15.75" customHeight="1">
      <c r="A24" s="4" t="s">
        <v>460</v>
      </c>
      <c r="B24" s="4" t="s">
        <v>502</v>
      </c>
      <c r="C24" s="4" t="s">
        <v>529</v>
      </c>
      <c r="D24" s="3"/>
      <c r="E24" s="3" t="s">
        <v>530</v>
      </c>
      <c r="G24" s="1" t="s">
        <v>531</v>
      </c>
      <c r="AA24" s="3" t="s">
        <v>531</v>
      </c>
    </row>
    <row r="25" spans="1:41" ht="15.75" customHeight="1">
      <c r="A25" s="4" t="s">
        <v>460</v>
      </c>
      <c r="B25" s="4" t="s">
        <v>502</v>
      </c>
      <c r="C25" s="4"/>
      <c r="D25" s="3"/>
      <c r="E25" s="3" t="s">
        <v>532</v>
      </c>
    </row>
    <row r="26" spans="1:41" ht="15.75" customHeight="1">
      <c r="A26" s="4" t="s">
        <v>460</v>
      </c>
      <c r="B26" s="4" t="s">
        <v>502</v>
      </c>
      <c r="C26" s="4"/>
      <c r="D26" s="3"/>
      <c r="E26" s="3" t="s">
        <v>533</v>
      </c>
      <c r="G26" s="1" t="s">
        <v>534</v>
      </c>
      <c r="AA26" s="3" t="s">
        <v>535</v>
      </c>
    </row>
    <row r="27" spans="1:41" ht="15.75" customHeight="1">
      <c r="A27" s="4" t="s">
        <v>460</v>
      </c>
      <c r="B27" s="4" t="s">
        <v>502</v>
      </c>
      <c r="C27" s="4"/>
      <c r="D27" s="3"/>
      <c r="E27" s="3"/>
      <c r="G27" s="1" t="s">
        <v>536</v>
      </c>
    </row>
    <row r="28" spans="1:41" ht="15.75" customHeight="1">
      <c r="A28" s="4" t="s">
        <v>460</v>
      </c>
      <c r="B28" s="4" t="s">
        <v>502</v>
      </c>
      <c r="C28" s="4"/>
      <c r="D28" s="3"/>
      <c r="E28" s="3"/>
      <c r="G28" s="1" t="s">
        <v>537</v>
      </c>
    </row>
    <row r="29" spans="1:41" ht="14.4">
      <c r="A29" s="4" t="s">
        <v>460</v>
      </c>
      <c r="B29" s="4" t="s">
        <v>538</v>
      </c>
      <c r="C29" s="4" t="s">
        <v>539</v>
      </c>
      <c r="D29" s="3"/>
    </row>
    <row r="30" spans="1:41" ht="14.4">
      <c r="A30" s="4" t="s">
        <v>460</v>
      </c>
      <c r="B30" s="4" t="s">
        <v>538</v>
      </c>
      <c r="C30" s="4" t="s">
        <v>540</v>
      </c>
      <c r="D30" s="3"/>
    </row>
    <row r="31" spans="1:41" ht="14.4">
      <c r="A31" s="4" t="s">
        <v>460</v>
      </c>
      <c r="B31" s="4" t="s">
        <v>541</v>
      </c>
      <c r="C31" s="4" t="s">
        <v>542</v>
      </c>
      <c r="D31" s="3"/>
    </row>
    <row r="32" spans="1:41" ht="14.4">
      <c r="A32" s="4" t="s">
        <v>460</v>
      </c>
      <c r="B32" s="4" t="s">
        <v>541</v>
      </c>
      <c r="C32" s="4" t="s">
        <v>543</v>
      </c>
      <c r="D32" s="3"/>
      <c r="E32" s="3" t="s">
        <v>544</v>
      </c>
      <c r="AL32" s="1" t="s">
        <v>545</v>
      </c>
    </row>
    <row r="33" spans="1:39" ht="14.4">
      <c r="A33" s="4" t="s">
        <v>460</v>
      </c>
      <c r="B33" s="4" t="s">
        <v>541</v>
      </c>
      <c r="C33" s="4" t="s">
        <v>546</v>
      </c>
      <c r="D33" s="3"/>
    </row>
    <row r="34" spans="1:39" ht="14.4">
      <c r="A34" s="4" t="s">
        <v>460</v>
      </c>
      <c r="B34" s="4" t="s">
        <v>541</v>
      </c>
      <c r="C34" s="4" t="s">
        <v>547</v>
      </c>
      <c r="D34" s="3"/>
    </row>
    <row r="35" spans="1:39" ht="14.4">
      <c r="A35" s="4" t="s">
        <v>460</v>
      </c>
      <c r="B35" s="4" t="s">
        <v>548</v>
      </c>
      <c r="C35" s="4" t="s">
        <v>549</v>
      </c>
      <c r="D35" s="3"/>
      <c r="W35" s="1" t="s">
        <v>550</v>
      </c>
      <c r="AL35" s="1" t="s">
        <v>551</v>
      </c>
    </row>
    <row r="36" spans="1:39" ht="14.4">
      <c r="A36" s="4" t="s">
        <v>460</v>
      </c>
      <c r="B36" s="4" t="s">
        <v>548</v>
      </c>
      <c r="C36" s="4" t="s">
        <v>552</v>
      </c>
      <c r="D36" s="3"/>
    </row>
    <row r="37" spans="1:39" ht="14.4">
      <c r="A37" s="4" t="s">
        <v>460</v>
      </c>
      <c r="B37" s="4" t="s">
        <v>548</v>
      </c>
      <c r="C37" s="4" t="s">
        <v>553</v>
      </c>
      <c r="D37" s="3"/>
    </row>
    <row r="38" spans="1:39" ht="14.4">
      <c r="A38" s="4" t="s">
        <v>460</v>
      </c>
      <c r="B38" s="4" t="s">
        <v>548</v>
      </c>
      <c r="C38" s="4" t="s">
        <v>554</v>
      </c>
      <c r="D38" s="3"/>
    </row>
    <row r="39" spans="1:39" ht="14.4">
      <c r="A39" s="4" t="s">
        <v>460</v>
      </c>
      <c r="B39" s="4" t="s">
        <v>548</v>
      </c>
      <c r="C39" s="4"/>
      <c r="D39" s="5" t="s">
        <v>555</v>
      </c>
      <c r="M39" s="3" t="s">
        <v>556</v>
      </c>
    </row>
    <row r="40" spans="1:39" ht="14.4">
      <c r="A40" s="4" t="s">
        <v>460</v>
      </c>
      <c r="B40" s="4" t="s">
        <v>548</v>
      </c>
      <c r="C40" s="4"/>
      <c r="D40" s="5"/>
      <c r="M40" s="3" t="s">
        <v>557</v>
      </c>
    </row>
    <row r="41" spans="1:39" ht="14.4">
      <c r="A41" s="4" t="s">
        <v>460</v>
      </c>
      <c r="B41" s="4" t="s">
        <v>548</v>
      </c>
      <c r="C41" s="4"/>
      <c r="D41" s="5"/>
      <c r="E41" s="3"/>
      <c r="H41" s="4"/>
      <c r="I41" s="4"/>
      <c r="N41" s="3"/>
      <c r="P41" s="1"/>
      <c r="Q41" s="1"/>
      <c r="V41" s="1"/>
      <c r="W41" s="1" t="s">
        <v>558</v>
      </c>
      <c r="X41" s="1"/>
    </row>
    <row r="42" spans="1:39" ht="14.4">
      <c r="A42" s="4" t="s">
        <v>460</v>
      </c>
      <c r="B42" s="4" t="s">
        <v>548</v>
      </c>
      <c r="C42" s="4"/>
      <c r="D42" s="5"/>
      <c r="E42" s="3"/>
      <c r="H42" s="4"/>
      <c r="I42" s="4"/>
      <c r="N42" s="3" t="s">
        <v>559</v>
      </c>
      <c r="P42" s="1" t="s">
        <v>560</v>
      </c>
      <c r="Q42" s="1" t="s">
        <v>561</v>
      </c>
      <c r="V42" s="1" t="s">
        <v>560</v>
      </c>
      <c r="W42" s="1" t="s">
        <v>562</v>
      </c>
      <c r="X42" s="1" t="s">
        <v>560</v>
      </c>
      <c r="AD42" s="1" t="s">
        <v>563</v>
      </c>
      <c r="AE42" s="1" t="s">
        <v>560</v>
      </c>
      <c r="AG42" s="1" t="s">
        <v>560</v>
      </c>
      <c r="AM42" s="1" t="s">
        <v>564</v>
      </c>
    </row>
    <row r="43" spans="1:39" ht="14.4">
      <c r="A43" s="4" t="s">
        <v>460</v>
      </c>
      <c r="B43" s="4" t="s">
        <v>548</v>
      </c>
      <c r="C43" s="4"/>
      <c r="D43" s="5"/>
      <c r="E43" s="3"/>
      <c r="H43" s="4"/>
      <c r="I43" s="4"/>
      <c r="N43" s="3" t="s">
        <v>565</v>
      </c>
      <c r="P43" s="1" t="s">
        <v>566</v>
      </c>
      <c r="V43" s="1" t="s">
        <v>566</v>
      </c>
      <c r="W43" s="1" t="s">
        <v>567</v>
      </c>
      <c r="X43" s="3" t="s">
        <v>566</v>
      </c>
      <c r="AD43" s="1" t="s">
        <v>568</v>
      </c>
      <c r="AE43" s="1" t="s">
        <v>566</v>
      </c>
      <c r="AG43" s="1" t="s">
        <v>566</v>
      </c>
      <c r="AM43" s="1" t="s">
        <v>566</v>
      </c>
    </row>
    <row r="44" spans="1:39" ht="14.4">
      <c r="A44" s="4" t="s">
        <v>460</v>
      </c>
      <c r="B44" s="4" t="s">
        <v>548</v>
      </c>
      <c r="C44" s="4"/>
      <c r="D44" s="5"/>
      <c r="E44" s="3"/>
      <c r="H44" s="4"/>
      <c r="I44" s="4"/>
      <c r="N44" s="3" t="s">
        <v>569</v>
      </c>
      <c r="Q44" s="1" t="s">
        <v>570</v>
      </c>
      <c r="W44" s="1" t="s">
        <v>571</v>
      </c>
    </row>
    <row r="45" spans="1:39" ht="14.4">
      <c r="A45" s="4" t="s">
        <v>460</v>
      </c>
      <c r="B45" s="4" t="s">
        <v>548</v>
      </c>
      <c r="C45" s="4"/>
      <c r="D45" s="5"/>
      <c r="E45" s="3"/>
      <c r="H45" s="4"/>
      <c r="I45" s="4"/>
      <c r="N45" s="3"/>
      <c r="Q45" s="1"/>
      <c r="W45" s="1" t="s">
        <v>572</v>
      </c>
      <c r="X45" s="1"/>
    </row>
    <row r="46" spans="1:39" ht="14.4">
      <c r="A46" s="4" t="s">
        <v>460</v>
      </c>
      <c r="B46" s="4" t="s">
        <v>548</v>
      </c>
      <c r="C46" s="4"/>
      <c r="D46" s="5"/>
      <c r="E46" s="3"/>
      <c r="H46" s="4"/>
      <c r="I46" s="4"/>
      <c r="N46" s="3"/>
      <c r="P46" s="1" t="s">
        <v>573</v>
      </c>
      <c r="V46" s="1" t="s">
        <v>573</v>
      </c>
      <c r="X46" s="1" t="s">
        <v>573</v>
      </c>
      <c r="AD46" s="1" t="s">
        <v>574</v>
      </c>
      <c r="AE46" s="1" t="s">
        <v>573</v>
      </c>
      <c r="AG46" s="1" t="s">
        <v>573</v>
      </c>
      <c r="AM46" s="1" t="s">
        <v>573</v>
      </c>
    </row>
    <row r="47" spans="1:39" ht="14.4">
      <c r="A47" s="4" t="s">
        <v>460</v>
      </c>
      <c r="B47" s="4" t="s">
        <v>548</v>
      </c>
      <c r="C47" s="4"/>
      <c r="D47" s="5"/>
      <c r="E47" s="3"/>
      <c r="H47" s="4"/>
      <c r="I47" s="4"/>
      <c r="N47" s="3"/>
      <c r="P47" s="1" t="s">
        <v>575</v>
      </c>
      <c r="Q47" s="1" t="s">
        <v>576</v>
      </c>
      <c r="S47" s="1"/>
      <c r="V47" s="1" t="s">
        <v>577</v>
      </c>
      <c r="W47" s="1" t="s">
        <v>578</v>
      </c>
      <c r="AD47" s="1" t="s">
        <v>579</v>
      </c>
      <c r="AE47" s="1" t="s">
        <v>575</v>
      </c>
      <c r="AG47" s="1" t="s">
        <v>575</v>
      </c>
      <c r="AM47" s="1" t="s">
        <v>580</v>
      </c>
    </row>
    <row r="48" spans="1:39" ht="14.4">
      <c r="A48" s="4" t="s">
        <v>460</v>
      </c>
      <c r="B48" s="4" t="s">
        <v>548</v>
      </c>
      <c r="C48" s="4"/>
      <c r="D48" s="5"/>
      <c r="E48" s="3"/>
      <c r="H48" s="4"/>
      <c r="I48" s="4"/>
      <c r="N48" s="3"/>
      <c r="P48" s="1" t="s">
        <v>581</v>
      </c>
      <c r="V48" s="1" t="s">
        <v>582</v>
      </c>
      <c r="X48" s="3" t="s">
        <v>582</v>
      </c>
      <c r="AD48" s="1" t="s">
        <v>583</v>
      </c>
      <c r="AE48" s="1" t="s">
        <v>581</v>
      </c>
      <c r="AG48" s="1" t="s">
        <v>581</v>
      </c>
      <c r="AM48" s="1" t="s">
        <v>582</v>
      </c>
    </row>
    <row r="49" spans="1:39" ht="14.4">
      <c r="A49" s="4" t="s">
        <v>460</v>
      </c>
      <c r="B49" s="4" t="s">
        <v>548</v>
      </c>
      <c r="C49" s="4"/>
      <c r="D49" s="5"/>
      <c r="E49" s="3"/>
      <c r="H49" s="4"/>
      <c r="I49" s="4"/>
      <c r="N49" s="3"/>
      <c r="P49" s="1" t="s">
        <v>584</v>
      </c>
      <c r="V49" s="1" t="s">
        <v>584</v>
      </c>
      <c r="X49" s="3" t="s">
        <v>585</v>
      </c>
      <c r="AD49" s="1" t="s">
        <v>586</v>
      </c>
      <c r="AE49" s="1" t="s">
        <v>584</v>
      </c>
      <c r="AG49" s="1" t="s">
        <v>584</v>
      </c>
      <c r="AM49" s="1" t="s">
        <v>585</v>
      </c>
    </row>
    <row r="50" spans="1:39" ht="14.4">
      <c r="A50" s="4" t="s">
        <v>460</v>
      </c>
      <c r="B50" s="4" t="s">
        <v>548</v>
      </c>
      <c r="C50" s="4"/>
      <c r="D50" s="5"/>
      <c r="E50" s="3"/>
      <c r="H50" s="4"/>
      <c r="I50" s="4"/>
      <c r="N50" s="3"/>
      <c r="P50" s="1"/>
      <c r="Q50" s="1" t="s">
        <v>587</v>
      </c>
      <c r="S50" s="1"/>
    </row>
    <row r="51" spans="1:39" ht="14.4">
      <c r="A51" s="4" t="s">
        <v>460</v>
      </c>
      <c r="B51" s="4" t="s">
        <v>548</v>
      </c>
      <c r="C51" s="4"/>
      <c r="D51" s="5"/>
      <c r="E51" s="3"/>
      <c r="H51" s="4"/>
      <c r="I51" s="4"/>
      <c r="N51" s="3"/>
      <c r="P51" s="1"/>
      <c r="Q51" s="1" t="s">
        <v>588</v>
      </c>
      <c r="S51" s="1"/>
    </row>
    <row r="52" spans="1:39" ht="14.4">
      <c r="A52" s="4" t="s">
        <v>460</v>
      </c>
      <c r="B52" s="4" t="s">
        <v>548</v>
      </c>
      <c r="C52" s="4"/>
      <c r="D52" s="5"/>
      <c r="E52" s="3"/>
      <c r="H52" s="4"/>
      <c r="I52" s="4"/>
      <c r="N52" s="3"/>
      <c r="P52" s="1"/>
      <c r="Q52" s="1" t="s">
        <v>589</v>
      </c>
      <c r="S52" s="1"/>
      <c r="W52" s="1" t="s">
        <v>590</v>
      </c>
    </row>
    <row r="53" spans="1:39" ht="14.4">
      <c r="A53" s="4" t="s">
        <v>460</v>
      </c>
      <c r="B53" s="4" t="s">
        <v>548</v>
      </c>
      <c r="C53" s="4"/>
      <c r="D53" s="5"/>
      <c r="E53" s="3"/>
      <c r="H53" s="4"/>
      <c r="I53" s="4"/>
      <c r="N53" s="3"/>
      <c r="P53" s="1"/>
      <c r="Q53" s="1" t="s">
        <v>591</v>
      </c>
      <c r="S53" s="1"/>
      <c r="W53" s="1" t="s">
        <v>592</v>
      </c>
    </row>
    <row r="54" spans="1:39" ht="14.4">
      <c r="A54" s="4" t="s">
        <v>460</v>
      </c>
      <c r="B54" s="4" t="s">
        <v>548</v>
      </c>
      <c r="C54" s="4"/>
      <c r="D54" s="5"/>
      <c r="E54" s="3"/>
      <c r="H54" s="4"/>
      <c r="I54" s="4"/>
      <c r="N54" s="3"/>
      <c r="P54" s="1"/>
      <c r="Q54" s="1" t="s">
        <v>593</v>
      </c>
      <c r="S54" s="1"/>
    </row>
    <row r="55" spans="1:39" ht="14.4">
      <c r="A55" s="4" t="s">
        <v>460</v>
      </c>
      <c r="B55" s="4" t="s">
        <v>548</v>
      </c>
      <c r="C55" s="4"/>
      <c r="D55" s="5"/>
      <c r="E55" s="3"/>
      <c r="H55" s="4"/>
      <c r="I55" s="4"/>
      <c r="N55" s="3"/>
      <c r="P55" s="1"/>
      <c r="Q55" s="1" t="s">
        <v>594</v>
      </c>
      <c r="S55" s="1"/>
    </row>
    <row r="56" spans="1:39" ht="14.4">
      <c r="A56" s="4" t="s">
        <v>460</v>
      </c>
      <c r="B56" s="4" t="s">
        <v>548</v>
      </c>
      <c r="C56" s="4"/>
      <c r="D56" s="5"/>
      <c r="E56" s="3"/>
      <c r="H56" s="4"/>
      <c r="I56" s="4"/>
      <c r="N56" s="3"/>
      <c r="P56" s="1"/>
      <c r="Q56" s="1" t="s">
        <v>595</v>
      </c>
      <c r="S56" s="1"/>
    </row>
    <row r="57" spans="1:39" ht="14.4">
      <c r="A57" s="4" t="s">
        <v>460</v>
      </c>
      <c r="B57" s="4" t="s">
        <v>548</v>
      </c>
      <c r="C57" s="4"/>
      <c r="D57" s="5"/>
      <c r="E57" s="3"/>
      <c r="H57" s="4"/>
      <c r="I57" s="4"/>
      <c r="N57" s="3"/>
      <c r="P57" s="1"/>
      <c r="Q57" s="1" t="s">
        <v>596</v>
      </c>
      <c r="S57" s="1"/>
    </row>
    <row r="58" spans="1:39" ht="14.4">
      <c r="A58" s="4" t="s">
        <v>460</v>
      </c>
      <c r="B58" s="4" t="s">
        <v>548</v>
      </c>
      <c r="C58" s="4"/>
      <c r="D58" s="5"/>
      <c r="E58" s="3"/>
      <c r="H58" s="4"/>
      <c r="I58" s="4"/>
      <c r="N58" s="3"/>
      <c r="P58" s="1"/>
      <c r="Q58" s="1" t="s">
        <v>597</v>
      </c>
      <c r="S58" s="1"/>
    </row>
    <row r="59" spans="1:39" ht="14.4">
      <c r="A59" s="4" t="s">
        <v>460</v>
      </c>
      <c r="B59" s="4" t="s">
        <v>548</v>
      </c>
      <c r="C59" s="4"/>
      <c r="D59" s="5"/>
      <c r="E59" s="3"/>
      <c r="H59" s="4"/>
      <c r="I59" s="4"/>
      <c r="N59" s="3"/>
      <c r="P59" s="1"/>
      <c r="Q59" s="1" t="s">
        <v>598</v>
      </c>
      <c r="S59" s="1"/>
    </row>
    <row r="60" spans="1:39" ht="14.4">
      <c r="A60" s="4" t="s">
        <v>460</v>
      </c>
      <c r="B60" s="4" t="s">
        <v>548</v>
      </c>
      <c r="C60" s="4"/>
      <c r="D60" s="5"/>
      <c r="E60" s="3"/>
      <c r="H60" s="4"/>
      <c r="I60" s="4"/>
      <c r="N60" s="3"/>
      <c r="P60" s="1"/>
      <c r="Q60" s="1"/>
      <c r="S60" s="1"/>
      <c r="W60" s="1" t="s">
        <v>599</v>
      </c>
    </row>
    <row r="61" spans="1:39" ht="14.4">
      <c r="A61" s="4" t="s">
        <v>460</v>
      </c>
      <c r="B61" s="4" t="s">
        <v>548</v>
      </c>
      <c r="C61" s="4"/>
      <c r="D61" s="5"/>
      <c r="E61" s="3"/>
      <c r="H61" s="4"/>
      <c r="I61" s="4"/>
      <c r="N61" s="3"/>
      <c r="P61" s="1"/>
      <c r="Q61" s="1" t="s">
        <v>600</v>
      </c>
      <c r="S61" s="1"/>
      <c r="W61" s="1" t="s">
        <v>601</v>
      </c>
    </row>
    <row r="62" spans="1:39" ht="14.4">
      <c r="A62" s="4" t="s">
        <v>460</v>
      </c>
      <c r="B62" s="4" t="s">
        <v>548</v>
      </c>
      <c r="C62" s="4"/>
      <c r="D62" s="5"/>
      <c r="E62" s="3"/>
      <c r="H62" s="4"/>
      <c r="I62" s="4"/>
      <c r="N62" s="3"/>
      <c r="P62" s="1"/>
      <c r="Q62" s="1" t="s">
        <v>602</v>
      </c>
      <c r="S62" s="1"/>
    </row>
    <row r="63" spans="1:39" ht="14.4">
      <c r="A63" s="4" t="s">
        <v>460</v>
      </c>
      <c r="B63" s="4" t="s">
        <v>548</v>
      </c>
      <c r="C63" s="4"/>
      <c r="D63" s="5"/>
      <c r="E63" s="3"/>
      <c r="F63" s="4" t="s">
        <v>603</v>
      </c>
      <c r="H63" s="4"/>
      <c r="I63" s="4"/>
      <c r="N63" s="3"/>
      <c r="P63" s="1"/>
      <c r="Q63" s="1" t="s">
        <v>604</v>
      </c>
      <c r="S63" s="1"/>
    </row>
    <row r="64" spans="1:39" ht="14.4">
      <c r="A64" s="4" t="s">
        <v>460</v>
      </c>
      <c r="B64" s="4" t="s">
        <v>548</v>
      </c>
      <c r="C64" s="4"/>
      <c r="D64" s="5"/>
      <c r="E64" s="3"/>
      <c r="H64" s="4"/>
      <c r="I64" s="4"/>
      <c r="N64" s="3"/>
      <c r="P64" s="1"/>
      <c r="Q64" s="1" t="s">
        <v>605</v>
      </c>
      <c r="S64" s="1"/>
    </row>
    <row r="65" spans="1:38" ht="14.4">
      <c r="A65" s="4" t="s">
        <v>460</v>
      </c>
      <c r="B65" s="4" t="s">
        <v>548</v>
      </c>
      <c r="C65" s="4"/>
      <c r="D65" s="5"/>
      <c r="E65" s="3"/>
      <c r="H65" s="4"/>
      <c r="I65" s="4"/>
      <c r="N65" s="3"/>
      <c r="P65" s="1"/>
      <c r="Q65" s="1" t="s">
        <v>606</v>
      </c>
      <c r="S65" s="1"/>
    </row>
    <row r="66" spans="1:38" ht="14.4">
      <c r="A66" s="4" t="s">
        <v>460</v>
      </c>
      <c r="B66" s="4" t="s">
        <v>548</v>
      </c>
      <c r="C66" s="4"/>
      <c r="D66" s="5"/>
      <c r="E66" s="3"/>
      <c r="H66" s="4"/>
      <c r="I66" s="4"/>
      <c r="N66" s="3"/>
      <c r="P66" s="1"/>
      <c r="Q66" s="1" t="s">
        <v>607</v>
      </c>
      <c r="S66" s="1"/>
    </row>
    <row r="67" spans="1:38" ht="14.4">
      <c r="A67" s="4" t="s">
        <v>460</v>
      </c>
      <c r="B67" s="4" t="s">
        <v>548</v>
      </c>
      <c r="C67" s="4"/>
      <c r="D67" s="5"/>
      <c r="E67" s="3"/>
      <c r="H67" s="4"/>
      <c r="I67" s="4"/>
      <c r="N67" s="3"/>
      <c r="P67" s="1"/>
      <c r="Q67" s="1" t="s">
        <v>608</v>
      </c>
      <c r="S67" s="1"/>
      <c r="W67" s="1" t="s">
        <v>609</v>
      </c>
      <c r="X67" s="3" t="s">
        <v>580</v>
      </c>
    </row>
    <row r="68" spans="1:38" ht="14.4">
      <c r="A68" s="4" t="s">
        <v>460</v>
      </c>
      <c r="B68" s="4" t="s">
        <v>548</v>
      </c>
      <c r="C68" s="4"/>
      <c r="D68" s="5"/>
      <c r="E68" s="3"/>
      <c r="H68" s="4"/>
      <c r="I68" s="4"/>
      <c r="N68" s="3"/>
      <c r="P68" s="1"/>
      <c r="Q68" s="1"/>
      <c r="S68" s="1"/>
      <c r="W68" s="1" t="s">
        <v>610</v>
      </c>
    </row>
    <row r="69" spans="1:38" ht="14.4">
      <c r="A69" s="4" t="s">
        <v>460</v>
      </c>
      <c r="B69" s="4" t="s">
        <v>548</v>
      </c>
      <c r="C69" s="4"/>
      <c r="D69" s="5"/>
      <c r="E69" s="3"/>
      <c r="F69" s="4" t="s">
        <v>611</v>
      </c>
    </row>
    <row r="70" spans="1:38" ht="14.4">
      <c r="A70" s="4" t="s">
        <v>460</v>
      </c>
      <c r="B70" s="4" t="s">
        <v>612</v>
      </c>
      <c r="C70" s="4" t="s">
        <v>613</v>
      </c>
      <c r="D70" s="3"/>
      <c r="E70" s="3" t="s">
        <v>614</v>
      </c>
      <c r="I70" s="1" t="s">
        <v>615</v>
      </c>
      <c r="W70" s="1" t="s">
        <v>616</v>
      </c>
      <c r="AL70" s="1" t="s">
        <v>617</v>
      </c>
    </row>
    <row r="71" spans="1:38" ht="14.4">
      <c r="A71" s="4" t="s">
        <v>460</v>
      </c>
      <c r="B71" s="4" t="s">
        <v>612</v>
      </c>
      <c r="C71" s="4" t="s">
        <v>618</v>
      </c>
      <c r="D71" s="3"/>
    </row>
    <row r="72" spans="1:38" ht="14.4">
      <c r="A72" s="4" t="s">
        <v>619</v>
      </c>
      <c r="B72" s="4" t="s">
        <v>620</v>
      </c>
      <c r="C72" s="4" t="s">
        <v>621</v>
      </c>
      <c r="D72" s="5" t="s">
        <v>622</v>
      </c>
      <c r="E72" s="3" t="s">
        <v>623</v>
      </c>
      <c r="H72" s="4" t="s">
        <v>624</v>
      </c>
      <c r="L72" s="1" t="s">
        <v>625</v>
      </c>
    </row>
    <row r="73" spans="1:38" ht="14.4">
      <c r="A73" s="4" t="s">
        <v>619</v>
      </c>
      <c r="B73" s="4" t="s">
        <v>620</v>
      </c>
      <c r="C73" s="4" t="s">
        <v>626</v>
      </c>
      <c r="D73" s="5" t="s">
        <v>627</v>
      </c>
      <c r="E73" s="3" t="s">
        <v>626</v>
      </c>
      <c r="F73" s="4" t="s">
        <v>628</v>
      </c>
      <c r="H73" s="4" t="s">
        <v>629</v>
      </c>
      <c r="O73" s="1" t="s">
        <v>630</v>
      </c>
      <c r="AB73" s="1" t="s">
        <v>631</v>
      </c>
    </row>
    <row r="74" spans="1:38" ht="14.4">
      <c r="A74" s="4" t="s">
        <v>619</v>
      </c>
      <c r="B74" s="4" t="s">
        <v>620</v>
      </c>
      <c r="C74" s="4" t="s">
        <v>632</v>
      </c>
      <c r="D74" s="5" t="s">
        <v>633</v>
      </c>
      <c r="E74" s="3" t="s">
        <v>634</v>
      </c>
      <c r="F74" s="4" t="s">
        <v>635</v>
      </c>
      <c r="H74" s="4" t="s">
        <v>636</v>
      </c>
    </row>
    <row r="75" spans="1:38" ht="14.4">
      <c r="A75" s="4" t="s">
        <v>619</v>
      </c>
      <c r="B75" s="4" t="s">
        <v>620</v>
      </c>
      <c r="C75" s="4"/>
      <c r="D75" s="5"/>
      <c r="E75" s="3" t="s">
        <v>637</v>
      </c>
    </row>
    <row r="76" spans="1:38" ht="14.4">
      <c r="A76" s="4" t="s">
        <v>619</v>
      </c>
      <c r="B76" s="4" t="s">
        <v>620</v>
      </c>
      <c r="C76" s="4" t="s">
        <v>638</v>
      </c>
      <c r="D76" s="3"/>
      <c r="E76" s="3" t="s">
        <v>639</v>
      </c>
    </row>
    <row r="77" spans="1:38" ht="13.2">
      <c r="A77" s="4" t="s">
        <v>619</v>
      </c>
      <c r="B77" s="4" t="s">
        <v>620</v>
      </c>
      <c r="C77" s="4"/>
      <c r="D77" s="5" t="s">
        <v>640</v>
      </c>
    </row>
    <row r="78" spans="1:38" ht="14.4">
      <c r="A78" s="4" t="s">
        <v>619</v>
      </c>
      <c r="B78" s="4" t="s">
        <v>620</v>
      </c>
      <c r="C78" s="4"/>
      <c r="D78" s="5" t="s">
        <v>641</v>
      </c>
      <c r="E78" s="3" t="s">
        <v>642</v>
      </c>
      <c r="H78" s="4" t="s">
        <v>643</v>
      </c>
    </row>
    <row r="79" spans="1:38" ht="14.4">
      <c r="A79" s="4" t="s">
        <v>619</v>
      </c>
      <c r="B79" s="4" t="s">
        <v>620</v>
      </c>
      <c r="C79" s="4"/>
      <c r="D79" s="5"/>
      <c r="E79" s="3" t="s">
        <v>644</v>
      </c>
      <c r="H79" s="4" t="s">
        <v>645</v>
      </c>
    </row>
    <row r="80" spans="1:38" ht="14.4">
      <c r="A80" s="4" t="s">
        <v>619</v>
      </c>
      <c r="B80" s="4" t="s">
        <v>620</v>
      </c>
      <c r="C80" s="4"/>
      <c r="D80" s="5" t="s">
        <v>646</v>
      </c>
      <c r="E80" s="3" t="s">
        <v>647</v>
      </c>
      <c r="F80" s="4" t="s">
        <v>648</v>
      </c>
      <c r="H80" s="4" t="s">
        <v>649</v>
      </c>
    </row>
    <row r="81" spans="1:28" ht="14.4">
      <c r="A81" s="4" t="s">
        <v>619</v>
      </c>
      <c r="B81" s="4" t="s">
        <v>620</v>
      </c>
      <c r="C81" s="4"/>
      <c r="D81" s="5" t="s">
        <v>650</v>
      </c>
      <c r="E81" s="3" t="s">
        <v>651</v>
      </c>
      <c r="H81" s="4" t="s">
        <v>652</v>
      </c>
    </row>
    <row r="82" spans="1:28" ht="14.4">
      <c r="A82" s="4" t="s">
        <v>619</v>
      </c>
      <c r="B82" s="4" t="s">
        <v>620</v>
      </c>
      <c r="C82" s="4"/>
      <c r="D82" s="5"/>
      <c r="E82" s="3" t="s">
        <v>653</v>
      </c>
    </row>
    <row r="83" spans="1:28" ht="13.2">
      <c r="A83" s="4" t="s">
        <v>619</v>
      </c>
      <c r="B83" s="4" t="s">
        <v>620</v>
      </c>
      <c r="C83" s="4"/>
      <c r="D83" s="5" t="s">
        <v>654</v>
      </c>
      <c r="K83" s="1" t="s">
        <v>655</v>
      </c>
    </row>
    <row r="84" spans="1:28" ht="14.4">
      <c r="A84" s="4" t="s">
        <v>619</v>
      </c>
      <c r="B84" s="4" t="s">
        <v>620</v>
      </c>
      <c r="C84" s="4" t="s">
        <v>656</v>
      </c>
      <c r="D84" s="3"/>
      <c r="I84" s="1" t="s">
        <v>657</v>
      </c>
    </row>
    <row r="85" spans="1:28" ht="14.4">
      <c r="A85" s="4" t="s">
        <v>619</v>
      </c>
      <c r="B85" s="4" t="s">
        <v>620</v>
      </c>
      <c r="C85" s="4"/>
      <c r="D85" s="3"/>
      <c r="I85" s="1" t="s">
        <v>44</v>
      </c>
      <c r="M85" s="3" t="s">
        <v>44</v>
      </c>
    </row>
    <row r="86" spans="1:28" ht="14.4">
      <c r="A86" s="4" t="s">
        <v>619</v>
      </c>
      <c r="B86" s="4" t="s">
        <v>620</v>
      </c>
      <c r="C86" s="4"/>
      <c r="D86" s="3"/>
      <c r="E86" s="3" t="s">
        <v>658</v>
      </c>
    </row>
    <row r="87" spans="1:28" ht="14.4">
      <c r="A87" s="4" t="s">
        <v>619</v>
      </c>
      <c r="B87" s="4" t="s">
        <v>620</v>
      </c>
      <c r="C87" s="4"/>
      <c r="D87" s="5" t="s">
        <v>659</v>
      </c>
      <c r="E87" s="3" t="s">
        <v>660</v>
      </c>
    </row>
    <row r="88" spans="1:28" ht="14.4">
      <c r="A88" s="4" t="s">
        <v>619</v>
      </c>
      <c r="B88" s="4" t="s">
        <v>620</v>
      </c>
      <c r="C88" s="4"/>
      <c r="D88" s="5" t="s">
        <v>661</v>
      </c>
      <c r="E88" s="3" t="s">
        <v>662</v>
      </c>
      <c r="H88" s="4" t="s">
        <v>663</v>
      </c>
    </row>
    <row r="89" spans="1:28" ht="14.4">
      <c r="A89" s="4" t="s">
        <v>619</v>
      </c>
      <c r="B89" s="4" t="s">
        <v>620</v>
      </c>
      <c r="C89" s="4"/>
      <c r="D89" s="5"/>
      <c r="E89" s="3"/>
      <c r="H89" s="4"/>
      <c r="O89" s="1" t="s">
        <v>664</v>
      </c>
      <c r="AB89" s="1" t="s">
        <v>665</v>
      </c>
    </row>
    <row r="90" spans="1:28" ht="14.4">
      <c r="A90" s="4" t="s">
        <v>619</v>
      </c>
      <c r="B90" s="4" t="s">
        <v>620</v>
      </c>
      <c r="C90" s="4"/>
      <c r="D90" s="5"/>
      <c r="E90" s="3" t="s">
        <v>666</v>
      </c>
    </row>
    <row r="91" spans="1:28" ht="14.4">
      <c r="A91" s="4" t="s">
        <v>619</v>
      </c>
      <c r="B91" s="4" t="s">
        <v>620</v>
      </c>
      <c r="C91" s="4"/>
      <c r="D91" s="5"/>
      <c r="E91" s="3" t="s">
        <v>667</v>
      </c>
    </row>
    <row r="92" spans="1:28" ht="14.4">
      <c r="A92" s="4" t="s">
        <v>619</v>
      </c>
      <c r="B92" s="4" t="s">
        <v>620</v>
      </c>
      <c r="C92" s="4"/>
      <c r="D92" s="5"/>
      <c r="E92" s="3" t="s">
        <v>668</v>
      </c>
    </row>
    <row r="93" spans="1:28" ht="13.2">
      <c r="A93" s="4" t="s">
        <v>619</v>
      </c>
      <c r="B93" s="4" t="s">
        <v>620</v>
      </c>
      <c r="C93" s="4"/>
      <c r="D93" s="5" t="s">
        <v>669</v>
      </c>
      <c r="F93" s="4" t="s">
        <v>670</v>
      </c>
      <c r="H93" s="4" t="s">
        <v>671</v>
      </c>
    </row>
    <row r="94" spans="1:28" ht="13.2">
      <c r="A94" s="4" t="s">
        <v>619</v>
      </c>
      <c r="B94" s="4" t="s">
        <v>620</v>
      </c>
      <c r="C94" s="4"/>
      <c r="D94" s="5"/>
      <c r="F94" s="4"/>
      <c r="H94" s="4" t="s">
        <v>672</v>
      </c>
      <c r="K94" s="4"/>
      <c r="L94" s="1" t="s">
        <v>673</v>
      </c>
    </row>
    <row r="95" spans="1:28" ht="14.4">
      <c r="A95" s="4" t="s">
        <v>619</v>
      </c>
      <c r="B95" s="4" t="s">
        <v>620</v>
      </c>
      <c r="C95" s="4"/>
      <c r="D95" s="5"/>
      <c r="E95" s="3" t="s">
        <v>674</v>
      </c>
      <c r="K95" s="3"/>
    </row>
    <row r="96" spans="1:28" ht="14.4">
      <c r="A96" s="4" t="s">
        <v>619</v>
      </c>
      <c r="B96" s="4" t="s">
        <v>620</v>
      </c>
      <c r="C96" s="4"/>
      <c r="D96" s="5"/>
      <c r="E96" s="3" t="s">
        <v>675</v>
      </c>
      <c r="K96" s="3"/>
    </row>
    <row r="97" spans="1:11" ht="14.4">
      <c r="A97" s="4" t="s">
        <v>619</v>
      </c>
      <c r="B97" s="4" t="s">
        <v>620</v>
      </c>
      <c r="C97" s="4"/>
      <c r="D97" s="5"/>
      <c r="E97" s="3"/>
      <c r="I97" s="1" t="s">
        <v>46</v>
      </c>
      <c r="K97" s="3"/>
    </row>
    <row r="98" spans="1:11" ht="14.4">
      <c r="A98" s="4" t="s">
        <v>619</v>
      </c>
      <c r="B98" s="4" t="s">
        <v>620</v>
      </c>
      <c r="C98" s="4"/>
      <c r="D98" s="5"/>
      <c r="E98" s="3"/>
      <c r="I98" s="1" t="s">
        <v>676</v>
      </c>
      <c r="K98" s="3"/>
    </row>
    <row r="99" spans="1:11" ht="14.4">
      <c r="A99" s="4" t="s">
        <v>619</v>
      </c>
      <c r="B99" s="4" t="s">
        <v>620</v>
      </c>
      <c r="C99" s="4" t="s">
        <v>677</v>
      </c>
      <c r="D99" s="5" t="s">
        <v>678</v>
      </c>
      <c r="E99" s="3" t="s">
        <v>679</v>
      </c>
      <c r="H99" s="4" t="s">
        <v>680</v>
      </c>
    </row>
    <row r="100" spans="1:11" ht="13.2">
      <c r="A100" s="4" t="s">
        <v>619</v>
      </c>
      <c r="B100" s="4" t="s">
        <v>620</v>
      </c>
      <c r="C100" s="4"/>
      <c r="D100" s="5" t="s">
        <v>681</v>
      </c>
      <c r="F100" s="4" t="s">
        <v>682</v>
      </c>
      <c r="H100" s="4" t="s">
        <v>683</v>
      </c>
    </row>
    <row r="101" spans="1:11" ht="13.2">
      <c r="A101" s="4" t="s">
        <v>619</v>
      </c>
      <c r="B101" s="4" t="s">
        <v>620</v>
      </c>
      <c r="C101" s="4"/>
      <c r="D101" s="5" t="s">
        <v>684</v>
      </c>
      <c r="F101" s="4" t="s">
        <v>685</v>
      </c>
      <c r="H101" s="4" t="s">
        <v>686</v>
      </c>
    </row>
    <row r="102" spans="1:11" ht="13.2">
      <c r="A102" s="4" t="s">
        <v>619</v>
      </c>
      <c r="B102" s="4" t="s">
        <v>620</v>
      </c>
      <c r="C102" s="4"/>
      <c r="D102" s="5"/>
      <c r="F102" s="4"/>
      <c r="H102" s="4" t="s">
        <v>687</v>
      </c>
    </row>
    <row r="103" spans="1:11" ht="13.2">
      <c r="A103" s="4" t="s">
        <v>619</v>
      </c>
      <c r="B103" s="4" t="s">
        <v>620</v>
      </c>
      <c r="C103" s="4"/>
      <c r="D103" s="5"/>
      <c r="F103" s="4"/>
      <c r="H103" s="4" t="s">
        <v>688</v>
      </c>
    </row>
    <row r="104" spans="1:11" ht="14.4">
      <c r="A104" s="4" t="s">
        <v>619</v>
      </c>
      <c r="B104" s="4" t="s">
        <v>620</v>
      </c>
      <c r="C104" s="4" t="s">
        <v>689</v>
      </c>
      <c r="D104" s="3"/>
    </row>
    <row r="105" spans="1:11" ht="14.4">
      <c r="A105" s="4" t="s">
        <v>619</v>
      </c>
      <c r="B105" s="4" t="s">
        <v>620</v>
      </c>
      <c r="C105" s="4"/>
      <c r="D105" s="3"/>
      <c r="E105" s="3" t="s">
        <v>690</v>
      </c>
    </row>
    <row r="106" spans="1:11" ht="14.4">
      <c r="A106" s="4" t="s">
        <v>619</v>
      </c>
      <c r="B106" s="4" t="s">
        <v>620</v>
      </c>
      <c r="C106" s="4"/>
      <c r="D106" s="3"/>
      <c r="E106" s="3" t="s">
        <v>691</v>
      </c>
    </row>
    <row r="107" spans="1:11" ht="14.4">
      <c r="A107" s="4" t="s">
        <v>619</v>
      </c>
      <c r="B107" s="4" t="s">
        <v>620</v>
      </c>
      <c r="C107" s="4"/>
      <c r="D107" s="3"/>
      <c r="E107" s="3" t="s">
        <v>692</v>
      </c>
    </row>
    <row r="108" spans="1:11" ht="14.4">
      <c r="A108" s="4" t="s">
        <v>619</v>
      </c>
      <c r="B108" s="4" t="s">
        <v>620</v>
      </c>
      <c r="C108" s="4"/>
      <c r="D108" s="3"/>
      <c r="E108" s="3" t="s">
        <v>693</v>
      </c>
    </row>
    <row r="109" spans="1:11" ht="14.4">
      <c r="A109" s="4" t="s">
        <v>619</v>
      </c>
      <c r="B109" s="4" t="s">
        <v>694</v>
      </c>
      <c r="C109" s="4" t="s">
        <v>695</v>
      </c>
      <c r="D109" s="3"/>
    </row>
    <row r="110" spans="1:11" ht="14.4">
      <c r="A110" s="4" t="s">
        <v>619</v>
      </c>
      <c r="B110" s="4" t="s">
        <v>694</v>
      </c>
      <c r="C110" s="4"/>
      <c r="D110" s="3"/>
      <c r="F110" s="4" t="s">
        <v>696</v>
      </c>
      <c r="H110" s="4"/>
    </row>
    <row r="111" spans="1:11" ht="14.4">
      <c r="A111" s="4" t="s">
        <v>619</v>
      </c>
      <c r="B111" s="4" t="s">
        <v>694</v>
      </c>
      <c r="C111" s="4" t="s">
        <v>697</v>
      </c>
      <c r="D111" s="3"/>
    </row>
    <row r="112" spans="1:11" ht="14.4">
      <c r="A112" s="4" t="s">
        <v>619</v>
      </c>
      <c r="B112" s="4" t="s">
        <v>694</v>
      </c>
      <c r="C112" s="4" t="s">
        <v>698</v>
      </c>
      <c r="D112" s="3"/>
    </row>
    <row r="113" spans="1:15" ht="14.4">
      <c r="A113" s="4" t="s">
        <v>619</v>
      </c>
      <c r="B113" s="4" t="s">
        <v>694</v>
      </c>
      <c r="C113" s="4" t="s">
        <v>699</v>
      </c>
      <c r="D113" s="3"/>
    </row>
    <row r="114" spans="1:15" ht="14.4">
      <c r="A114" s="4" t="s">
        <v>619</v>
      </c>
      <c r="B114" s="4" t="s">
        <v>694</v>
      </c>
      <c r="C114" s="4" t="s">
        <v>700</v>
      </c>
      <c r="D114" s="3"/>
      <c r="F114" s="4" t="s">
        <v>701</v>
      </c>
      <c r="M114" s="3" t="s">
        <v>702</v>
      </c>
    </row>
    <row r="115" spans="1:15" ht="14.4">
      <c r="A115" s="4" t="s">
        <v>619</v>
      </c>
      <c r="B115" s="4" t="s">
        <v>694</v>
      </c>
      <c r="C115" s="4"/>
      <c r="D115" s="3"/>
      <c r="F115" s="4"/>
      <c r="M115" s="3" t="s">
        <v>703</v>
      </c>
    </row>
    <row r="116" spans="1:15" ht="14.4">
      <c r="A116" s="4" t="s">
        <v>619</v>
      </c>
      <c r="B116" s="4" t="s">
        <v>694</v>
      </c>
      <c r="C116" s="4"/>
      <c r="D116" s="3"/>
      <c r="F116" s="4"/>
      <c r="M116" s="3" t="s">
        <v>704</v>
      </c>
    </row>
    <row r="117" spans="1:15" ht="14.4">
      <c r="A117" s="4" t="s">
        <v>619</v>
      </c>
      <c r="B117" s="4" t="s">
        <v>694</v>
      </c>
      <c r="C117" s="4"/>
      <c r="D117" s="3"/>
      <c r="F117" s="4" t="s">
        <v>705</v>
      </c>
      <c r="H117" s="4"/>
    </row>
    <row r="118" spans="1:15" ht="14.4">
      <c r="A118" s="4" t="s">
        <v>619</v>
      </c>
      <c r="B118" s="4" t="s">
        <v>694</v>
      </c>
      <c r="C118" s="4"/>
      <c r="D118" s="3"/>
      <c r="F118" s="4" t="s">
        <v>706</v>
      </c>
      <c r="H118" s="4"/>
    </row>
    <row r="119" spans="1:15" ht="14.4">
      <c r="A119" s="4" t="s">
        <v>619</v>
      </c>
      <c r="B119" s="4" t="s">
        <v>694</v>
      </c>
      <c r="C119" s="4"/>
      <c r="D119" s="3"/>
      <c r="F119" s="4" t="s">
        <v>707</v>
      </c>
      <c r="H119" s="4"/>
    </row>
    <row r="120" spans="1:15" ht="14.4">
      <c r="A120" s="4" t="s">
        <v>619</v>
      </c>
      <c r="B120" s="4" t="s">
        <v>694</v>
      </c>
      <c r="C120" s="4"/>
      <c r="D120" s="3"/>
      <c r="F120" s="4" t="s">
        <v>708</v>
      </c>
      <c r="H120" s="4"/>
    </row>
    <row r="121" spans="1:15" ht="14.4">
      <c r="A121" s="4" t="s">
        <v>619</v>
      </c>
      <c r="B121" s="4" t="s">
        <v>694</v>
      </c>
      <c r="C121" s="4"/>
      <c r="D121" s="3"/>
      <c r="F121" s="4" t="s">
        <v>709</v>
      </c>
      <c r="H121" s="4"/>
    </row>
    <row r="122" spans="1:15" ht="14.4">
      <c r="A122" s="4" t="s">
        <v>619</v>
      </c>
      <c r="B122" s="4" t="s">
        <v>694</v>
      </c>
      <c r="C122" s="4"/>
      <c r="D122" s="3"/>
      <c r="F122" s="4" t="s">
        <v>710</v>
      </c>
      <c r="H122" s="4"/>
      <c r="O122" s="1" t="s">
        <v>711</v>
      </c>
    </row>
    <row r="123" spans="1:15" ht="14.4">
      <c r="A123" s="4" t="s">
        <v>619</v>
      </c>
      <c r="B123" s="4" t="s">
        <v>694</v>
      </c>
      <c r="C123" s="4" t="s">
        <v>712</v>
      </c>
      <c r="D123" s="3"/>
      <c r="F123" s="4" t="s">
        <v>713</v>
      </c>
      <c r="M123" s="3" t="s">
        <v>714</v>
      </c>
      <c r="N123" s="3"/>
    </row>
    <row r="124" spans="1:15" ht="14.4">
      <c r="A124" s="4" t="s">
        <v>619</v>
      </c>
      <c r="B124" s="4" t="s">
        <v>694</v>
      </c>
      <c r="C124" s="4"/>
      <c r="D124" s="3"/>
      <c r="F124" s="4" t="s">
        <v>715</v>
      </c>
    </row>
    <row r="125" spans="1:15" ht="14.4">
      <c r="A125" s="4" t="s">
        <v>619</v>
      </c>
      <c r="B125" s="4" t="s">
        <v>694</v>
      </c>
      <c r="C125" s="4"/>
      <c r="D125" s="3"/>
      <c r="F125" s="4" t="s">
        <v>716</v>
      </c>
    </row>
    <row r="126" spans="1:15" ht="14.4">
      <c r="A126" s="4" t="s">
        <v>619</v>
      </c>
      <c r="B126" s="4" t="s">
        <v>694</v>
      </c>
      <c r="C126" s="4"/>
      <c r="D126" s="3"/>
      <c r="F126" s="4" t="s">
        <v>717</v>
      </c>
    </row>
    <row r="127" spans="1:15" ht="14.4">
      <c r="A127" s="4" t="s">
        <v>619</v>
      </c>
      <c r="B127" s="4" t="s">
        <v>694</v>
      </c>
      <c r="C127" s="4"/>
      <c r="D127" s="5" t="s">
        <v>718</v>
      </c>
      <c r="E127" s="3" t="s">
        <v>719</v>
      </c>
      <c r="F127" s="4" t="s">
        <v>720</v>
      </c>
      <c r="L127" s="1" t="s">
        <v>721</v>
      </c>
    </row>
    <row r="128" spans="1:15" ht="14.4">
      <c r="A128" s="4" t="s">
        <v>619</v>
      </c>
      <c r="B128" s="4" t="s">
        <v>694</v>
      </c>
      <c r="C128" s="4"/>
      <c r="D128" s="5"/>
      <c r="E128" s="3" t="s">
        <v>722</v>
      </c>
    </row>
    <row r="129" spans="1:39" ht="14.4">
      <c r="A129" s="4" t="s">
        <v>619</v>
      </c>
      <c r="B129" s="4" t="s">
        <v>694</v>
      </c>
      <c r="C129" s="4"/>
      <c r="D129" s="5"/>
      <c r="E129" s="3"/>
      <c r="F129" s="4" t="s">
        <v>723</v>
      </c>
    </row>
    <row r="130" spans="1:39" ht="14.4">
      <c r="A130" s="4" t="s">
        <v>619</v>
      </c>
      <c r="B130" s="4" t="s">
        <v>694</v>
      </c>
      <c r="C130" s="4"/>
      <c r="D130" s="5"/>
      <c r="E130" s="3"/>
      <c r="F130" s="4" t="s">
        <v>724</v>
      </c>
    </row>
    <row r="131" spans="1:39" ht="14.4">
      <c r="A131" s="4" t="s">
        <v>619</v>
      </c>
      <c r="B131" s="4" t="s">
        <v>694</v>
      </c>
      <c r="C131" s="4"/>
      <c r="D131" s="5"/>
      <c r="E131" s="3"/>
      <c r="F131" s="4" t="s">
        <v>725</v>
      </c>
    </row>
    <row r="132" spans="1:39" ht="14.4">
      <c r="A132" s="4" t="s">
        <v>619</v>
      </c>
      <c r="B132" s="4" t="s">
        <v>726</v>
      </c>
      <c r="C132" s="4" t="s">
        <v>727</v>
      </c>
      <c r="D132" s="3"/>
      <c r="E132" s="3" t="s">
        <v>728</v>
      </c>
      <c r="O132" s="1" t="s">
        <v>729</v>
      </c>
      <c r="AB132" s="1" t="s">
        <v>730</v>
      </c>
    </row>
    <row r="133" spans="1:39" ht="13.2">
      <c r="A133" s="4" t="s">
        <v>619</v>
      </c>
      <c r="B133" s="4" t="s">
        <v>726</v>
      </c>
      <c r="C133" s="4" t="s">
        <v>731</v>
      </c>
    </row>
    <row r="134" spans="1:39" ht="13.2">
      <c r="A134" s="4" t="s">
        <v>619</v>
      </c>
      <c r="B134" s="4" t="s">
        <v>726</v>
      </c>
      <c r="C134" s="4"/>
      <c r="D134" s="5" t="s">
        <v>732</v>
      </c>
    </row>
    <row r="135" spans="1:39" ht="14.4">
      <c r="A135" s="4" t="s">
        <v>619</v>
      </c>
      <c r="B135" s="4" t="s">
        <v>726</v>
      </c>
      <c r="C135" s="4"/>
      <c r="D135" s="5"/>
      <c r="E135" s="3" t="s">
        <v>733</v>
      </c>
    </row>
    <row r="136" spans="1:39" ht="14.4">
      <c r="A136" s="4" t="s">
        <v>619</v>
      </c>
      <c r="B136" s="4" t="s">
        <v>726</v>
      </c>
      <c r="C136" s="4" t="s">
        <v>734</v>
      </c>
      <c r="D136" s="3"/>
      <c r="R136" s="3" t="s">
        <v>735</v>
      </c>
      <c r="T136" s="3" t="s">
        <v>736</v>
      </c>
      <c r="V136" s="1" t="s">
        <v>737</v>
      </c>
      <c r="X136" s="1" t="s">
        <v>738</v>
      </c>
      <c r="AD136" s="1" t="s">
        <v>734</v>
      </c>
      <c r="AM136" s="1" t="s">
        <v>739</v>
      </c>
    </row>
    <row r="137" spans="1:39" ht="14.4">
      <c r="A137" s="4" t="s">
        <v>619</v>
      </c>
      <c r="B137" s="4" t="s">
        <v>726</v>
      </c>
      <c r="C137" s="4"/>
      <c r="D137" s="3"/>
      <c r="E137" s="3"/>
      <c r="F137" s="3"/>
      <c r="X137" s="1" t="s">
        <v>740</v>
      </c>
      <c r="Y137" s="1"/>
    </row>
    <row r="138" spans="1:39" ht="14.4">
      <c r="A138" s="4" t="s">
        <v>619</v>
      </c>
      <c r="B138" s="4" t="s">
        <v>726</v>
      </c>
      <c r="C138" s="4"/>
      <c r="D138" s="3"/>
      <c r="E138" s="3" t="s">
        <v>741</v>
      </c>
      <c r="F138" s="3"/>
    </row>
    <row r="139" spans="1:39" ht="14.4">
      <c r="A139" s="4" t="s">
        <v>619</v>
      </c>
      <c r="B139" s="4" t="s">
        <v>726</v>
      </c>
      <c r="C139" s="4"/>
      <c r="D139" s="3"/>
      <c r="E139" s="3" t="s">
        <v>742</v>
      </c>
      <c r="F139" s="3"/>
      <c r="X139" s="1" t="s">
        <v>743</v>
      </c>
    </row>
    <row r="140" spans="1:39" ht="14.4">
      <c r="A140" s="4" t="s">
        <v>619</v>
      </c>
      <c r="B140" s="4" t="s">
        <v>726</v>
      </c>
      <c r="C140" s="4"/>
      <c r="D140" s="3"/>
      <c r="E140" s="3" t="s">
        <v>744</v>
      </c>
    </row>
    <row r="141" spans="1:39" ht="14.4">
      <c r="A141" s="4" t="s">
        <v>619</v>
      </c>
      <c r="B141" s="4" t="s">
        <v>726</v>
      </c>
      <c r="C141" s="4"/>
      <c r="D141" s="3"/>
      <c r="E141" s="3" t="s">
        <v>745</v>
      </c>
    </row>
    <row r="142" spans="1:39" ht="14.4">
      <c r="A142" s="4" t="s">
        <v>619</v>
      </c>
      <c r="B142" s="4" t="s">
        <v>726</v>
      </c>
      <c r="C142" s="4"/>
      <c r="D142" s="3"/>
      <c r="E142" s="3" t="s">
        <v>746</v>
      </c>
      <c r="X142" s="1" t="s">
        <v>747</v>
      </c>
    </row>
    <row r="143" spans="1:39" ht="14.4">
      <c r="A143" s="4" t="s">
        <v>619</v>
      </c>
      <c r="B143" s="4" t="s">
        <v>726</v>
      </c>
      <c r="C143" s="4"/>
      <c r="D143" s="3"/>
      <c r="E143" s="3" t="s">
        <v>748</v>
      </c>
      <c r="F143" s="3"/>
    </row>
    <row r="144" spans="1:39" ht="14.4">
      <c r="A144" s="4" t="s">
        <v>619</v>
      </c>
      <c r="B144" s="4" t="s">
        <v>726</v>
      </c>
      <c r="C144" s="4"/>
      <c r="D144" s="3"/>
      <c r="E144" s="3"/>
      <c r="F144" s="3"/>
      <c r="X144" s="1" t="s">
        <v>749</v>
      </c>
    </row>
    <row r="145" spans="1:41" ht="14.4">
      <c r="A145" s="4" t="s">
        <v>619</v>
      </c>
      <c r="B145" s="4" t="s">
        <v>726</v>
      </c>
      <c r="C145" s="4" t="s">
        <v>750</v>
      </c>
      <c r="D145" s="5" t="s">
        <v>751</v>
      </c>
      <c r="E145" s="3"/>
      <c r="F145" s="3"/>
    </row>
    <row r="146" spans="1:41" ht="14.4">
      <c r="A146" s="4" t="s">
        <v>619</v>
      </c>
      <c r="B146" s="4" t="s">
        <v>726</v>
      </c>
      <c r="C146" s="4"/>
      <c r="D146" s="5"/>
      <c r="E146" s="3" t="s">
        <v>752</v>
      </c>
      <c r="F146" s="3"/>
    </row>
    <row r="147" spans="1:41" ht="14.4">
      <c r="A147" s="4" t="s">
        <v>619</v>
      </c>
      <c r="B147" s="4" t="s">
        <v>726</v>
      </c>
      <c r="C147" s="4"/>
      <c r="D147" s="5"/>
      <c r="E147" s="3" t="s">
        <v>753</v>
      </c>
      <c r="F147" s="3"/>
    </row>
    <row r="148" spans="1:41" ht="14.4">
      <c r="A148" s="4" t="s">
        <v>619</v>
      </c>
      <c r="B148" s="4" t="s">
        <v>726</v>
      </c>
      <c r="C148" s="4"/>
      <c r="D148" s="5"/>
      <c r="E148" s="3" t="s">
        <v>754</v>
      </c>
      <c r="F148" s="3"/>
    </row>
    <row r="149" spans="1:41" ht="14.4">
      <c r="A149" s="4" t="s">
        <v>619</v>
      </c>
      <c r="B149" s="4" t="s">
        <v>726</v>
      </c>
      <c r="C149" s="4"/>
      <c r="D149" s="5"/>
      <c r="E149" s="3" t="s">
        <v>755</v>
      </c>
      <c r="F149" s="3"/>
    </row>
    <row r="150" spans="1:41" ht="14.4">
      <c r="A150" s="4" t="s">
        <v>619</v>
      </c>
      <c r="B150" s="4" t="s">
        <v>726</v>
      </c>
      <c r="C150" s="4"/>
      <c r="D150" s="5"/>
      <c r="E150" s="3"/>
      <c r="F150" s="4" t="s">
        <v>756</v>
      </c>
    </row>
    <row r="151" spans="1:41" ht="14.4">
      <c r="A151" s="4" t="s">
        <v>619</v>
      </c>
      <c r="B151" s="4" t="s">
        <v>726</v>
      </c>
      <c r="C151" s="4"/>
      <c r="D151" s="5"/>
      <c r="E151" s="3"/>
      <c r="F151" s="4" t="s">
        <v>757</v>
      </c>
    </row>
    <row r="152" spans="1:41" ht="14.4">
      <c r="A152" s="4" t="s">
        <v>619</v>
      </c>
      <c r="B152" s="4" t="s">
        <v>726</v>
      </c>
      <c r="C152" s="4"/>
      <c r="D152" s="5"/>
      <c r="E152" s="3"/>
      <c r="F152" s="4"/>
      <c r="AF152" s="1" t="s">
        <v>758</v>
      </c>
    </row>
    <row r="153" spans="1:41" ht="14.4">
      <c r="A153" s="4" t="s">
        <v>619</v>
      </c>
      <c r="B153" s="4" t="s">
        <v>759</v>
      </c>
      <c r="C153" s="4" t="s">
        <v>760</v>
      </c>
      <c r="D153" s="5" t="s">
        <v>761</v>
      </c>
      <c r="F153" s="4" t="s">
        <v>762</v>
      </c>
      <c r="K153" s="1" t="s">
        <v>763</v>
      </c>
      <c r="L153" s="1" t="s">
        <v>764</v>
      </c>
      <c r="N153" s="3" t="s">
        <v>765</v>
      </c>
      <c r="P153" s="3" t="s">
        <v>766</v>
      </c>
      <c r="S153" s="1" t="s">
        <v>767</v>
      </c>
      <c r="T153" s="3" t="s">
        <v>765</v>
      </c>
      <c r="U153" s="3" t="s">
        <v>768</v>
      </c>
      <c r="V153" s="3" t="s">
        <v>765</v>
      </c>
      <c r="Y153" s="1" t="s">
        <v>765</v>
      </c>
      <c r="Z153" s="3" t="s">
        <v>765</v>
      </c>
      <c r="AA153" s="1" t="s">
        <v>765</v>
      </c>
      <c r="AC153" s="1" t="s">
        <v>767</v>
      </c>
      <c r="AD153" s="3" t="s">
        <v>764</v>
      </c>
      <c r="AE153" s="3" t="s">
        <v>769</v>
      </c>
      <c r="AG153" s="3" t="s">
        <v>770</v>
      </c>
      <c r="AI153" s="3" t="s">
        <v>771</v>
      </c>
      <c r="AK153" s="3" t="s">
        <v>769</v>
      </c>
      <c r="AL153" s="3" t="s">
        <v>772</v>
      </c>
      <c r="AM153" s="3" t="s">
        <v>765</v>
      </c>
      <c r="AO153" s="1" t="s">
        <v>760</v>
      </c>
    </row>
    <row r="154" spans="1:41" ht="14.4">
      <c r="A154" s="4" t="s">
        <v>619</v>
      </c>
      <c r="B154" s="4" t="s">
        <v>759</v>
      </c>
      <c r="C154" s="4"/>
      <c r="D154" s="5"/>
      <c r="E154" s="3" t="s">
        <v>773</v>
      </c>
    </row>
    <row r="155" spans="1:41" ht="14.4">
      <c r="A155" s="4" t="s">
        <v>619</v>
      </c>
      <c r="B155" s="4" t="s">
        <v>759</v>
      </c>
      <c r="C155" s="4"/>
      <c r="D155" s="5"/>
      <c r="E155" s="3" t="s">
        <v>774</v>
      </c>
    </row>
    <row r="156" spans="1:41" ht="14.4">
      <c r="A156" s="4" t="s">
        <v>619</v>
      </c>
      <c r="B156" s="4" t="s">
        <v>759</v>
      </c>
      <c r="C156" s="4"/>
      <c r="D156" s="5"/>
      <c r="E156" s="3" t="s">
        <v>775</v>
      </c>
    </row>
    <row r="157" spans="1:41" ht="14.4">
      <c r="A157" s="4" t="s">
        <v>619</v>
      </c>
      <c r="B157" s="4" t="s">
        <v>759</v>
      </c>
      <c r="C157" s="4"/>
      <c r="D157" s="5"/>
      <c r="E157" s="3" t="s">
        <v>776</v>
      </c>
    </row>
    <row r="158" spans="1:41" ht="14.4">
      <c r="A158" s="4" t="s">
        <v>619</v>
      </c>
      <c r="B158" s="4" t="s">
        <v>759</v>
      </c>
      <c r="C158" s="4" t="s">
        <v>777</v>
      </c>
      <c r="D158" s="3"/>
      <c r="F158" s="4" t="s">
        <v>778</v>
      </c>
      <c r="O158" s="1" t="s">
        <v>779</v>
      </c>
      <c r="S158" s="1" t="s">
        <v>780</v>
      </c>
      <c r="U158" s="1" t="s">
        <v>781</v>
      </c>
      <c r="AB158" s="7" t="s">
        <v>782</v>
      </c>
      <c r="AC158" s="1" t="s">
        <v>780</v>
      </c>
    </row>
    <row r="159" spans="1:41" ht="14.4">
      <c r="A159" s="4" t="s">
        <v>619</v>
      </c>
      <c r="B159" s="4" t="s">
        <v>759</v>
      </c>
      <c r="C159" s="4"/>
      <c r="D159" s="3"/>
      <c r="F159" s="4" t="s">
        <v>783</v>
      </c>
      <c r="AJ159" s="3" t="s">
        <v>764</v>
      </c>
    </row>
    <row r="160" spans="1:41" ht="14.4">
      <c r="A160" s="4" t="s">
        <v>619</v>
      </c>
      <c r="B160" s="4" t="s">
        <v>759</v>
      </c>
      <c r="C160" s="4"/>
      <c r="D160" s="3"/>
      <c r="F160" s="4" t="s">
        <v>784</v>
      </c>
    </row>
    <row r="161" spans="1:40" ht="14.4">
      <c r="A161" s="4" t="s">
        <v>619</v>
      </c>
      <c r="B161" s="4" t="s">
        <v>759</v>
      </c>
      <c r="C161" s="4"/>
      <c r="D161" s="3"/>
      <c r="F161" s="4" t="s">
        <v>785</v>
      </c>
    </row>
    <row r="162" spans="1:40" ht="14.4">
      <c r="A162" s="4" t="s">
        <v>619</v>
      </c>
      <c r="B162" s="4" t="s">
        <v>759</v>
      </c>
      <c r="D162" s="5" t="s">
        <v>786</v>
      </c>
      <c r="X162" s="3" t="s">
        <v>787</v>
      </c>
      <c r="AN162" s="1" t="s">
        <v>788</v>
      </c>
    </row>
    <row r="163" spans="1:40" ht="14.4">
      <c r="A163" s="4" t="s">
        <v>619</v>
      </c>
      <c r="B163" s="4" t="s">
        <v>759</v>
      </c>
      <c r="D163" s="5" t="s">
        <v>789</v>
      </c>
      <c r="X163" s="3" t="s">
        <v>790</v>
      </c>
    </row>
    <row r="164" spans="1:40" ht="14.4">
      <c r="A164" s="4" t="s">
        <v>619</v>
      </c>
      <c r="B164" s="4" t="s">
        <v>759</v>
      </c>
      <c r="D164" s="5" t="s">
        <v>791</v>
      </c>
      <c r="E164" s="3" t="s">
        <v>792</v>
      </c>
    </row>
    <row r="165" spans="1:40" ht="14.4">
      <c r="A165" s="4" t="s">
        <v>619</v>
      </c>
      <c r="B165" s="4" t="s">
        <v>759</v>
      </c>
      <c r="D165" s="5" t="s">
        <v>793</v>
      </c>
      <c r="E165" s="3" t="s">
        <v>794</v>
      </c>
    </row>
    <row r="166" spans="1:40" ht="14.4">
      <c r="A166" s="4" t="s">
        <v>619</v>
      </c>
      <c r="B166" s="4" t="s">
        <v>759</v>
      </c>
      <c r="D166" s="5"/>
      <c r="E166" s="3" t="s">
        <v>795</v>
      </c>
      <c r="F166" s="3"/>
    </row>
    <row r="167" spans="1:40" ht="14.4">
      <c r="A167" s="4" t="s">
        <v>619</v>
      </c>
      <c r="B167" s="4" t="s">
        <v>759</v>
      </c>
      <c r="D167" s="5"/>
      <c r="E167" s="3" t="s">
        <v>796</v>
      </c>
      <c r="F167" s="3"/>
    </row>
    <row r="168" spans="1:40" ht="13.2">
      <c r="A168" s="4" t="s">
        <v>619</v>
      </c>
      <c r="B168" s="4" t="s">
        <v>759</v>
      </c>
      <c r="D168" s="5" t="s">
        <v>797</v>
      </c>
    </row>
    <row r="169" spans="1:40" ht="14.4">
      <c r="A169" s="4" t="s">
        <v>619</v>
      </c>
      <c r="B169" s="4" t="s">
        <v>759</v>
      </c>
      <c r="D169" s="5"/>
      <c r="E169" s="3" t="s">
        <v>798</v>
      </c>
    </row>
    <row r="170" spans="1:40" ht="14.4">
      <c r="A170" s="4" t="s">
        <v>619</v>
      </c>
      <c r="B170" s="4" t="s">
        <v>759</v>
      </c>
      <c r="D170" s="5"/>
      <c r="E170" s="3" t="s">
        <v>799</v>
      </c>
      <c r="F170" s="3"/>
      <c r="G170" s="5"/>
    </row>
    <row r="171" spans="1:40" ht="14.4">
      <c r="A171" s="4" t="s">
        <v>619</v>
      </c>
      <c r="B171" s="4" t="s">
        <v>759</v>
      </c>
      <c r="D171" s="5"/>
      <c r="E171" s="3"/>
      <c r="F171" s="3"/>
      <c r="G171" s="5"/>
      <c r="X171" s="3" t="s">
        <v>800</v>
      </c>
      <c r="AN171" s="1" t="s">
        <v>801</v>
      </c>
    </row>
    <row r="172" spans="1:40" ht="13.2">
      <c r="A172" s="4" t="s">
        <v>619</v>
      </c>
      <c r="B172" s="4" t="s">
        <v>759</v>
      </c>
      <c r="D172" s="5" t="s">
        <v>802</v>
      </c>
      <c r="G172" s="5"/>
      <c r="AN172" s="1" t="s">
        <v>803</v>
      </c>
    </row>
    <row r="173" spans="1:40" ht="14.4">
      <c r="A173" s="4" t="s">
        <v>619</v>
      </c>
      <c r="B173" s="4" t="s">
        <v>759</v>
      </c>
      <c r="D173" s="5"/>
      <c r="E173" s="3" t="s">
        <v>804</v>
      </c>
      <c r="G173" s="5"/>
    </row>
    <row r="174" spans="1:40" ht="14.4">
      <c r="A174" s="4" t="s">
        <v>619</v>
      </c>
      <c r="B174" s="4" t="s">
        <v>759</v>
      </c>
      <c r="D174" s="5"/>
      <c r="E174" s="3" t="s">
        <v>805</v>
      </c>
      <c r="G174" s="5"/>
      <c r="K174" s="3"/>
    </row>
    <row r="175" spans="1:40" ht="14.4">
      <c r="A175" s="4" t="s">
        <v>619</v>
      </c>
      <c r="B175" s="4" t="s">
        <v>759</v>
      </c>
      <c r="D175" s="5" t="s">
        <v>806</v>
      </c>
      <c r="E175" s="3" t="s">
        <v>807</v>
      </c>
      <c r="G175" s="5"/>
      <c r="X175" s="3" t="s">
        <v>808</v>
      </c>
    </row>
    <row r="176" spans="1:40" ht="13.2">
      <c r="A176" s="4" t="s">
        <v>619</v>
      </c>
      <c r="B176" s="4" t="s">
        <v>759</v>
      </c>
      <c r="D176" s="5" t="s">
        <v>809</v>
      </c>
      <c r="G176" s="5"/>
    </row>
    <row r="177" spans="1:40" ht="13.2">
      <c r="A177" s="4" t="s">
        <v>619</v>
      </c>
      <c r="B177" s="4" t="s">
        <v>759</v>
      </c>
      <c r="D177" s="5" t="s">
        <v>810</v>
      </c>
      <c r="G177" s="5"/>
    </row>
    <row r="178" spans="1:40" ht="14.4">
      <c r="A178" s="4" t="s">
        <v>619</v>
      </c>
      <c r="B178" s="4" t="s">
        <v>759</v>
      </c>
      <c r="C178" s="4"/>
      <c r="D178" s="5" t="s">
        <v>811</v>
      </c>
      <c r="E178" s="3" t="s">
        <v>812</v>
      </c>
      <c r="G178" s="5"/>
      <c r="X178" s="3" t="s">
        <v>813</v>
      </c>
      <c r="AN178" s="1" t="s">
        <v>814</v>
      </c>
    </row>
    <row r="179" spans="1:40" ht="14.4">
      <c r="A179" s="4" t="s">
        <v>619</v>
      </c>
      <c r="B179" s="4" t="s">
        <v>759</v>
      </c>
      <c r="C179" s="4"/>
      <c r="D179" s="5" t="s">
        <v>815</v>
      </c>
      <c r="E179" s="3" t="s">
        <v>816</v>
      </c>
      <c r="G179" s="5"/>
      <c r="X179" s="3" t="s">
        <v>817</v>
      </c>
      <c r="AN179" s="1" t="s">
        <v>818</v>
      </c>
    </row>
    <row r="180" spans="1:40" ht="14.4">
      <c r="A180" s="4" t="s">
        <v>619</v>
      </c>
      <c r="B180" s="4" t="s">
        <v>759</v>
      </c>
      <c r="C180" s="4"/>
      <c r="D180" s="5" t="s">
        <v>819</v>
      </c>
      <c r="E180" s="3" t="s">
        <v>820</v>
      </c>
      <c r="F180" s="3"/>
      <c r="G180" s="5"/>
    </row>
    <row r="181" spans="1:40" ht="14.4">
      <c r="A181" s="4" t="s">
        <v>619</v>
      </c>
      <c r="B181" s="4" t="s">
        <v>759</v>
      </c>
      <c r="C181" s="4"/>
      <c r="D181" s="5" t="s">
        <v>821</v>
      </c>
      <c r="F181" s="3"/>
      <c r="G181" s="5"/>
    </row>
    <row r="182" spans="1:40" ht="14.4">
      <c r="A182" s="4" t="s">
        <v>619</v>
      </c>
      <c r="B182" s="4" t="s">
        <v>759</v>
      </c>
      <c r="C182" s="4"/>
      <c r="D182" s="5"/>
      <c r="E182" s="3" t="s">
        <v>822</v>
      </c>
      <c r="F182" s="3"/>
      <c r="G182" s="5"/>
      <c r="K182" s="3"/>
    </row>
    <row r="183" spans="1:40" ht="14.4">
      <c r="A183" s="4" t="s">
        <v>619</v>
      </c>
      <c r="B183" s="4" t="s">
        <v>759</v>
      </c>
      <c r="C183" s="4"/>
      <c r="D183" s="5"/>
      <c r="E183" s="3" t="s">
        <v>823</v>
      </c>
      <c r="F183" s="3"/>
      <c r="G183" s="5"/>
    </row>
    <row r="184" spans="1:40" ht="13.2">
      <c r="A184" s="4" t="s">
        <v>619</v>
      </c>
      <c r="B184" s="4" t="s">
        <v>759</v>
      </c>
      <c r="C184" s="4"/>
      <c r="D184" s="5" t="s">
        <v>824</v>
      </c>
      <c r="G184" s="5"/>
    </row>
    <row r="185" spans="1:40" ht="13.2">
      <c r="A185" s="4" t="s">
        <v>619</v>
      </c>
      <c r="B185" s="4" t="s">
        <v>759</v>
      </c>
      <c r="C185" s="4"/>
      <c r="D185" s="5"/>
      <c r="F185" s="4" t="s">
        <v>825</v>
      </c>
      <c r="G185" s="5"/>
    </row>
    <row r="186" spans="1:40" ht="13.2">
      <c r="A186" s="4" t="s">
        <v>619</v>
      </c>
      <c r="B186" s="4" t="s">
        <v>759</v>
      </c>
      <c r="C186" s="4"/>
      <c r="D186" s="5"/>
      <c r="F186" s="4" t="s">
        <v>826</v>
      </c>
      <c r="G186" s="5"/>
    </row>
    <row r="187" spans="1:40" ht="14.4">
      <c r="A187" s="4" t="s">
        <v>619</v>
      </c>
      <c r="B187" s="4" t="s">
        <v>759</v>
      </c>
      <c r="C187" s="4" t="s">
        <v>827</v>
      </c>
      <c r="D187" s="3"/>
    </row>
    <row r="188" spans="1:40" ht="14.4">
      <c r="A188" s="4" t="s">
        <v>619</v>
      </c>
      <c r="B188" s="4" t="s">
        <v>759</v>
      </c>
      <c r="C188" s="4"/>
      <c r="D188" s="3"/>
      <c r="E188" s="3" t="s">
        <v>828</v>
      </c>
    </row>
    <row r="189" spans="1:40" ht="14.4">
      <c r="A189" s="4" t="s">
        <v>619</v>
      </c>
      <c r="B189" s="4" t="s">
        <v>759</v>
      </c>
      <c r="C189" s="4"/>
      <c r="D189" s="3"/>
      <c r="E189" s="3" t="s">
        <v>829</v>
      </c>
    </row>
    <row r="190" spans="1:40" ht="14.4">
      <c r="A190" s="4" t="s">
        <v>619</v>
      </c>
      <c r="B190" s="4" t="s">
        <v>830</v>
      </c>
      <c r="C190" s="4" t="s">
        <v>831</v>
      </c>
      <c r="D190" s="5" t="s">
        <v>832</v>
      </c>
      <c r="O190" s="3" t="s">
        <v>738</v>
      </c>
      <c r="S190" s="1" t="s">
        <v>833</v>
      </c>
      <c r="U190" s="3" t="s">
        <v>834</v>
      </c>
      <c r="V190" s="1" t="s">
        <v>835</v>
      </c>
      <c r="AB190" s="1" t="s">
        <v>738</v>
      </c>
      <c r="AC190" s="1" t="s">
        <v>833</v>
      </c>
      <c r="AD190" s="1" t="s">
        <v>836</v>
      </c>
      <c r="AF190" s="3" t="s">
        <v>837</v>
      </c>
      <c r="AM190" s="1" t="s">
        <v>835</v>
      </c>
    </row>
    <row r="191" spans="1:40" ht="14.4">
      <c r="A191" s="4" t="s">
        <v>619</v>
      </c>
      <c r="B191" s="4" t="s">
        <v>830</v>
      </c>
      <c r="C191" s="4"/>
      <c r="D191" s="5"/>
      <c r="O191" s="3"/>
      <c r="S191" s="1"/>
      <c r="U191" s="3"/>
      <c r="V191" s="1"/>
      <c r="X191" s="1" t="s">
        <v>838</v>
      </c>
    </row>
    <row r="192" spans="1:40" ht="14.4">
      <c r="A192" s="4" t="s">
        <v>619</v>
      </c>
      <c r="B192" s="4" t="s">
        <v>830</v>
      </c>
      <c r="C192" s="4"/>
      <c r="D192" s="5"/>
      <c r="O192" s="3"/>
      <c r="S192" s="1"/>
      <c r="U192" s="3"/>
      <c r="V192" s="1"/>
      <c r="X192" s="1" t="s">
        <v>839</v>
      </c>
    </row>
    <row r="193" spans="1:24" ht="14.4">
      <c r="A193" s="4" t="s">
        <v>619</v>
      </c>
      <c r="B193" s="4" t="s">
        <v>830</v>
      </c>
      <c r="C193" s="4"/>
      <c r="D193" s="5"/>
      <c r="O193" s="3"/>
      <c r="S193" s="1"/>
      <c r="U193" s="3"/>
      <c r="V193" s="1"/>
      <c r="X193" s="1" t="s">
        <v>840</v>
      </c>
    </row>
    <row r="194" spans="1:24" ht="14.4">
      <c r="A194" s="4" t="s">
        <v>619</v>
      </c>
      <c r="B194" s="4" t="s">
        <v>830</v>
      </c>
      <c r="C194" s="4"/>
      <c r="D194" s="5"/>
      <c r="E194" s="3"/>
      <c r="X194" s="1" t="s">
        <v>841</v>
      </c>
    </row>
    <row r="195" spans="1:24" ht="14.4">
      <c r="A195" s="4" t="s">
        <v>619</v>
      </c>
      <c r="B195" s="4" t="s">
        <v>830</v>
      </c>
      <c r="C195" s="4"/>
      <c r="D195" s="5"/>
      <c r="E195" s="3" t="s">
        <v>842</v>
      </c>
    </row>
    <row r="196" spans="1:24" ht="14.4">
      <c r="A196" s="4" t="s">
        <v>619</v>
      </c>
      <c r="B196" s="4" t="s">
        <v>830</v>
      </c>
      <c r="C196" s="4"/>
      <c r="D196" s="5"/>
      <c r="E196" s="3" t="s">
        <v>843</v>
      </c>
    </row>
    <row r="197" spans="1:24" ht="14.4">
      <c r="A197" s="4" t="s">
        <v>619</v>
      </c>
      <c r="B197" s="4" t="s">
        <v>830</v>
      </c>
      <c r="C197" s="4"/>
      <c r="D197" s="5"/>
      <c r="E197" s="3" t="s">
        <v>844</v>
      </c>
    </row>
    <row r="198" spans="1:24" ht="14.4">
      <c r="A198" s="4" t="s">
        <v>619</v>
      </c>
      <c r="B198" s="4" t="s">
        <v>830</v>
      </c>
      <c r="C198" s="4"/>
      <c r="D198" s="5"/>
      <c r="E198" s="3" t="s">
        <v>845</v>
      </c>
    </row>
    <row r="199" spans="1:24" ht="14.4">
      <c r="A199" s="4" t="s">
        <v>619</v>
      </c>
      <c r="B199" s="4" t="s">
        <v>830</v>
      </c>
      <c r="C199" s="4"/>
      <c r="D199" s="5"/>
      <c r="E199" s="3" t="s">
        <v>846</v>
      </c>
    </row>
    <row r="200" spans="1:24" ht="14.4">
      <c r="A200" s="4" t="s">
        <v>619</v>
      </c>
      <c r="B200" s="4" t="s">
        <v>830</v>
      </c>
      <c r="C200" s="4"/>
      <c r="D200" s="5"/>
      <c r="E200" s="3" t="s">
        <v>847</v>
      </c>
      <c r="F200" s="4" t="s">
        <v>848</v>
      </c>
      <c r="X200" s="1" t="s">
        <v>849</v>
      </c>
    </row>
    <row r="201" spans="1:24" ht="14.4">
      <c r="A201" s="4" t="s">
        <v>619</v>
      </c>
      <c r="B201" s="4" t="s">
        <v>830</v>
      </c>
      <c r="C201" s="4"/>
      <c r="D201" s="5" t="s">
        <v>850</v>
      </c>
      <c r="E201" s="3" t="s">
        <v>851</v>
      </c>
      <c r="F201" s="4" t="s">
        <v>852</v>
      </c>
      <c r="X201" s="1" t="s">
        <v>853</v>
      </c>
    </row>
    <row r="202" spans="1:24" ht="13.2">
      <c r="A202" s="4" t="s">
        <v>619</v>
      </c>
      <c r="B202" s="4" t="s">
        <v>830</v>
      </c>
      <c r="C202" s="4"/>
      <c r="D202" s="5" t="s">
        <v>854</v>
      </c>
    </row>
    <row r="203" spans="1:24" ht="13.2">
      <c r="A203" s="4" t="s">
        <v>619</v>
      </c>
      <c r="B203" s="4" t="s">
        <v>830</v>
      </c>
      <c r="C203" s="4"/>
      <c r="D203" s="5"/>
      <c r="F203" s="4" t="s">
        <v>855</v>
      </c>
    </row>
    <row r="204" spans="1:24" ht="13.2">
      <c r="A204" s="4" t="s">
        <v>619</v>
      </c>
      <c r="B204" s="4" t="s">
        <v>830</v>
      </c>
      <c r="C204" s="4"/>
      <c r="D204" s="5"/>
      <c r="F204" s="4" t="s">
        <v>856</v>
      </c>
    </row>
    <row r="205" spans="1:24" ht="13.2">
      <c r="A205" s="4" t="s">
        <v>619</v>
      </c>
      <c r="B205" s="4" t="s">
        <v>830</v>
      </c>
      <c r="C205" s="4"/>
      <c r="D205" s="5"/>
      <c r="F205" s="4" t="s">
        <v>857</v>
      </c>
    </row>
    <row r="206" spans="1:24" ht="13.2">
      <c r="A206" s="4" t="s">
        <v>619</v>
      </c>
      <c r="B206" s="4" t="s">
        <v>830</v>
      </c>
      <c r="C206" s="4"/>
      <c r="D206" s="5"/>
      <c r="F206" s="4" t="s">
        <v>858</v>
      </c>
    </row>
    <row r="207" spans="1:24" ht="13.2">
      <c r="A207" s="4" t="s">
        <v>619</v>
      </c>
      <c r="B207" s="4" t="s">
        <v>830</v>
      </c>
      <c r="C207" s="4"/>
      <c r="D207" s="5"/>
      <c r="F207" s="4" t="s">
        <v>859</v>
      </c>
    </row>
    <row r="208" spans="1:24" ht="13.2">
      <c r="A208" s="4" t="s">
        <v>619</v>
      </c>
      <c r="B208" s="4" t="s">
        <v>830</v>
      </c>
      <c r="C208" s="4"/>
      <c r="D208" s="5"/>
      <c r="F208" s="4" t="s">
        <v>860</v>
      </c>
    </row>
    <row r="209" spans="1:29" ht="13.2">
      <c r="A209" s="4" t="s">
        <v>619</v>
      </c>
      <c r="B209" s="4" t="s">
        <v>830</v>
      </c>
      <c r="C209" s="4"/>
      <c r="D209" s="5"/>
      <c r="F209" s="4" t="s">
        <v>861</v>
      </c>
    </row>
    <row r="210" spans="1:29" ht="13.2">
      <c r="A210" s="4" t="s">
        <v>619</v>
      </c>
      <c r="B210" s="4" t="s">
        <v>830</v>
      </c>
      <c r="C210" s="4"/>
      <c r="D210" s="5"/>
      <c r="F210" s="4" t="s">
        <v>862</v>
      </c>
    </row>
    <row r="211" spans="1:29" ht="14.4">
      <c r="A211" s="4" t="s">
        <v>619</v>
      </c>
      <c r="B211" s="4" t="s">
        <v>830</v>
      </c>
      <c r="C211" s="4" t="s">
        <v>863</v>
      </c>
      <c r="D211" s="5" t="s">
        <v>864</v>
      </c>
      <c r="K211" s="3"/>
    </row>
    <row r="212" spans="1:29" ht="14.4">
      <c r="A212" s="4" t="s">
        <v>619</v>
      </c>
      <c r="B212" s="4" t="s">
        <v>830</v>
      </c>
      <c r="C212" s="4"/>
      <c r="D212" s="5" t="s">
        <v>865</v>
      </c>
      <c r="K212" s="3"/>
    </row>
    <row r="213" spans="1:29" ht="14.4">
      <c r="A213" s="4" t="s">
        <v>619</v>
      </c>
      <c r="B213" s="4" t="s">
        <v>830</v>
      </c>
      <c r="C213" s="4"/>
      <c r="D213" s="5"/>
      <c r="F213" s="4" t="s">
        <v>866</v>
      </c>
      <c r="K213" s="3"/>
    </row>
    <row r="214" spans="1:29" ht="14.4">
      <c r="A214" s="4" t="s">
        <v>619</v>
      </c>
      <c r="B214" s="4" t="s">
        <v>830</v>
      </c>
      <c r="C214" s="4"/>
      <c r="D214" s="5"/>
      <c r="F214" s="4" t="s">
        <v>867</v>
      </c>
      <c r="K214" s="3"/>
    </row>
    <row r="215" spans="1:29" ht="14.4">
      <c r="A215" s="4" t="s">
        <v>619</v>
      </c>
      <c r="B215" s="4" t="s">
        <v>830</v>
      </c>
      <c r="C215" s="4"/>
      <c r="D215" s="5"/>
      <c r="F215" s="4"/>
      <c r="K215" s="3"/>
      <c r="Y215" s="1" t="s">
        <v>868</v>
      </c>
    </row>
    <row r="216" spans="1:29" ht="14.4">
      <c r="A216" s="4" t="s">
        <v>619</v>
      </c>
      <c r="B216" s="4" t="s">
        <v>830</v>
      </c>
      <c r="C216" s="4" t="s">
        <v>869</v>
      </c>
      <c r="D216" s="5" t="s">
        <v>870</v>
      </c>
      <c r="E216" s="3" t="s">
        <v>871</v>
      </c>
      <c r="F216" s="4" t="s">
        <v>872</v>
      </c>
      <c r="K216" s="3"/>
      <c r="O216" s="1" t="s">
        <v>873</v>
      </c>
      <c r="AB216" s="1" t="s">
        <v>873</v>
      </c>
    </row>
    <row r="217" spans="1:29" ht="14.4">
      <c r="A217" s="4" t="s">
        <v>619</v>
      </c>
      <c r="B217" s="4" t="s">
        <v>830</v>
      </c>
      <c r="C217" s="4"/>
      <c r="D217" s="5"/>
      <c r="E217" s="3"/>
      <c r="F217" s="4" t="s">
        <v>874</v>
      </c>
      <c r="K217" s="3"/>
    </row>
    <row r="218" spans="1:29" ht="14.4">
      <c r="A218" s="4" t="s">
        <v>619</v>
      </c>
      <c r="B218" s="4" t="s">
        <v>830</v>
      </c>
      <c r="C218" s="4"/>
      <c r="D218" s="5"/>
      <c r="E218" s="3"/>
      <c r="F218" s="4"/>
      <c r="K218" s="3"/>
      <c r="AC218" s="1" t="s">
        <v>875</v>
      </c>
    </row>
    <row r="219" spans="1:29" ht="14.4">
      <c r="A219" s="4" t="s">
        <v>619</v>
      </c>
      <c r="B219" s="4" t="s">
        <v>830</v>
      </c>
      <c r="C219" s="4"/>
      <c r="D219" s="5" t="s">
        <v>876</v>
      </c>
      <c r="E219" s="3" t="s">
        <v>877</v>
      </c>
      <c r="F219" s="4" t="s">
        <v>878</v>
      </c>
      <c r="G219" s="5"/>
      <c r="K219" s="3"/>
    </row>
    <row r="220" spans="1:29" ht="14.4">
      <c r="A220" s="4" t="s">
        <v>619</v>
      </c>
      <c r="B220" s="4" t="s">
        <v>830</v>
      </c>
      <c r="C220" s="4"/>
      <c r="D220" s="5"/>
      <c r="E220" s="3"/>
      <c r="F220" s="4" t="s">
        <v>879</v>
      </c>
      <c r="G220" s="5"/>
      <c r="I220" s="4"/>
      <c r="K220" s="3"/>
    </row>
    <row r="221" spans="1:29" ht="14.4">
      <c r="A221" s="4" t="s">
        <v>619</v>
      </c>
      <c r="B221" s="4" t="s">
        <v>830</v>
      </c>
      <c r="C221" s="4"/>
      <c r="D221" s="5"/>
      <c r="E221" s="3"/>
      <c r="F221" s="4" t="s">
        <v>880</v>
      </c>
      <c r="G221" s="5"/>
      <c r="I221" s="4"/>
      <c r="K221" s="3"/>
    </row>
    <row r="222" spans="1:29" ht="14.4">
      <c r="A222" s="4" t="s">
        <v>619</v>
      </c>
      <c r="B222" s="4" t="s">
        <v>830</v>
      </c>
      <c r="C222" s="4"/>
      <c r="D222" s="5" t="s">
        <v>881</v>
      </c>
      <c r="G222" s="5"/>
      <c r="K222" s="3"/>
    </row>
    <row r="223" spans="1:29" ht="13.2">
      <c r="A223" s="4" t="s">
        <v>619</v>
      </c>
      <c r="B223" s="4" t="s">
        <v>830</v>
      </c>
      <c r="C223" s="4"/>
      <c r="D223" s="5" t="s">
        <v>882</v>
      </c>
      <c r="G223" s="5"/>
    </row>
    <row r="224" spans="1:29" ht="13.2">
      <c r="A224" s="4" t="s">
        <v>619</v>
      </c>
      <c r="B224" s="4" t="s">
        <v>830</v>
      </c>
      <c r="C224" s="4"/>
      <c r="D224" s="5" t="s">
        <v>883</v>
      </c>
      <c r="F224" s="4" t="s">
        <v>884</v>
      </c>
    </row>
    <row r="225" spans="1:28" ht="13.2">
      <c r="A225" s="4" t="s">
        <v>619</v>
      </c>
      <c r="B225" s="4" t="s">
        <v>830</v>
      </c>
      <c r="C225" s="4"/>
      <c r="D225" s="5" t="s">
        <v>885</v>
      </c>
    </row>
    <row r="226" spans="1:28" ht="13.2">
      <c r="A226" s="4" t="s">
        <v>619</v>
      </c>
      <c r="B226" s="4" t="s">
        <v>830</v>
      </c>
      <c r="C226" s="4"/>
      <c r="D226" s="5"/>
      <c r="F226" s="4" t="s">
        <v>886</v>
      </c>
    </row>
    <row r="227" spans="1:28" ht="13.2">
      <c r="A227" s="4" t="s">
        <v>619</v>
      </c>
      <c r="B227" s="4" t="s">
        <v>830</v>
      </c>
      <c r="C227" s="4"/>
      <c r="D227" s="5" t="s">
        <v>887</v>
      </c>
    </row>
    <row r="228" spans="1:28" ht="13.2">
      <c r="A228" s="4" t="s">
        <v>619</v>
      </c>
      <c r="B228" s="4" t="s">
        <v>830</v>
      </c>
      <c r="C228" s="4"/>
      <c r="D228" s="5" t="s">
        <v>888</v>
      </c>
    </row>
    <row r="229" spans="1:28" ht="13.2">
      <c r="A229" s="4" t="s">
        <v>619</v>
      </c>
      <c r="B229" s="4" t="s">
        <v>830</v>
      </c>
      <c r="C229" s="4"/>
      <c r="D229" s="5" t="s">
        <v>889</v>
      </c>
      <c r="F229" s="4" t="s">
        <v>890</v>
      </c>
      <c r="K229" s="1" t="s">
        <v>891</v>
      </c>
    </row>
    <row r="230" spans="1:28" ht="13.2">
      <c r="A230" s="4" t="s">
        <v>619</v>
      </c>
      <c r="B230" s="4" t="s">
        <v>830</v>
      </c>
      <c r="C230" s="4"/>
      <c r="D230" s="5"/>
      <c r="F230" s="4"/>
      <c r="K230" s="1" t="s">
        <v>892</v>
      </c>
    </row>
    <row r="231" spans="1:28" ht="13.2">
      <c r="A231" s="4" t="s">
        <v>619</v>
      </c>
      <c r="B231" s="4" t="s">
        <v>830</v>
      </c>
      <c r="C231" s="4"/>
      <c r="D231" s="5" t="s">
        <v>893</v>
      </c>
    </row>
    <row r="232" spans="1:28" ht="13.2">
      <c r="A232" s="4" t="s">
        <v>619</v>
      </c>
      <c r="B232" s="4" t="s">
        <v>830</v>
      </c>
      <c r="C232" s="4"/>
      <c r="D232" s="5" t="s">
        <v>894</v>
      </c>
    </row>
    <row r="233" spans="1:28" ht="13.2">
      <c r="A233" s="4" t="s">
        <v>619</v>
      </c>
      <c r="B233" s="4" t="s">
        <v>830</v>
      </c>
      <c r="C233" s="4"/>
      <c r="D233" s="5" t="s">
        <v>895</v>
      </c>
      <c r="K233" s="1" t="s">
        <v>896</v>
      </c>
      <c r="AB233" s="1" t="s">
        <v>897</v>
      </c>
    </row>
    <row r="234" spans="1:28" ht="13.2">
      <c r="A234" s="4" t="s">
        <v>619</v>
      </c>
      <c r="B234" s="4" t="s">
        <v>830</v>
      </c>
      <c r="C234" s="4"/>
      <c r="D234" s="5"/>
      <c r="F234" s="4" t="s">
        <v>898</v>
      </c>
    </row>
    <row r="235" spans="1:28" ht="13.2">
      <c r="A235" s="4" t="s">
        <v>619</v>
      </c>
      <c r="B235" s="4" t="s">
        <v>830</v>
      </c>
      <c r="C235" s="4"/>
      <c r="D235" s="5"/>
      <c r="F235" s="4" t="s">
        <v>899</v>
      </c>
      <c r="K235" s="1" t="s">
        <v>900</v>
      </c>
    </row>
    <row r="236" spans="1:28" ht="13.2">
      <c r="A236" s="4" t="s">
        <v>619</v>
      </c>
      <c r="B236" s="4" t="s">
        <v>830</v>
      </c>
      <c r="C236" s="4"/>
      <c r="D236" s="5"/>
      <c r="F236" s="4"/>
      <c r="K236" s="1" t="s">
        <v>901</v>
      </c>
    </row>
    <row r="237" spans="1:28" ht="13.2">
      <c r="A237" s="4" t="s">
        <v>619</v>
      </c>
      <c r="B237" s="4" t="s">
        <v>830</v>
      </c>
      <c r="C237" s="4"/>
      <c r="D237" s="5" t="s">
        <v>902</v>
      </c>
    </row>
    <row r="238" spans="1:28" ht="13.2">
      <c r="A238" s="4" t="s">
        <v>619</v>
      </c>
      <c r="B238" s="4" t="s">
        <v>830</v>
      </c>
      <c r="C238" s="4"/>
      <c r="D238" s="5"/>
      <c r="J238" s="1" t="s">
        <v>903</v>
      </c>
    </row>
    <row r="239" spans="1:28" ht="13.2">
      <c r="A239" s="4" t="s">
        <v>619</v>
      </c>
      <c r="B239" s="4" t="s">
        <v>830</v>
      </c>
      <c r="C239" s="4"/>
      <c r="D239" s="5"/>
      <c r="F239" s="4" t="s">
        <v>904</v>
      </c>
      <c r="O239" s="1" t="s">
        <v>905</v>
      </c>
    </row>
    <row r="240" spans="1:28" ht="13.2">
      <c r="A240" s="4" t="s">
        <v>619</v>
      </c>
      <c r="B240" s="4" t="s">
        <v>830</v>
      </c>
      <c r="C240" s="4"/>
      <c r="D240" s="5"/>
      <c r="F240" s="4" t="s">
        <v>906</v>
      </c>
    </row>
    <row r="241" spans="1:6" ht="13.2">
      <c r="A241" s="4" t="s">
        <v>619</v>
      </c>
      <c r="B241" s="4" t="s">
        <v>830</v>
      </c>
      <c r="C241" s="4"/>
      <c r="D241" s="5"/>
      <c r="F241" s="4" t="s">
        <v>907</v>
      </c>
    </row>
    <row r="242" spans="1:6" ht="13.2">
      <c r="A242" s="4" t="s">
        <v>619</v>
      </c>
      <c r="B242" s="4" t="s">
        <v>830</v>
      </c>
      <c r="C242" s="4"/>
      <c r="D242" s="5"/>
      <c r="F242" s="4" t="s">
        <v>908</v>
      </c>
    </row>
    <row r="243" spans="1:6" ht="13.2">
      <c r="A243" s="4" t="s">
        <v>619</v>
      </c>
      <c r="B243" s="4" t="s">
        <v>830</v>
      </c>
      <c r="C243" s="4"/>
      <c r="D243" s="5"/>
      <c r="F243" s="4" t="s">
        <v>909</v>
      </c>
    </row>
    <row r="244" spans="1:6" ht="13.2">
      <c r="A244" s="4" t="s">
        <v>619</v>
      </c>
      <c r="B244" s="4" t="s">
        <v>830</v>
      </c>
      <c r="C244" s="4"/>
      <c r="D244" s="5"/>
      <c r="F244" s="4" t="s">
        <v>910</v>
      </c>
    </row>
    <row r="245" spans="1:6" ht="13.2">
      <c r="A245" s="4" t="s">
        <v>619</v>
      </c>
      <c r="B245" s="4" t="s">
        <v>830</v>
      </c>
      <c r="C245" s="4"/>
      <c r="D245" s="5"/>
      <c r="F245" s="4" t="s">
        <v>911</v>
      </c>
    </row>
    <row r="246" spans="1:6" ht="13.2">
      <c r="A246" s="4" t="s">
        <v>619</v>
      </c>
      <c r="B246" s="4" t="s">
        <v>830</v>
      </c>
      <c r="C246" s="4"/>
      <c r="D246" s="5"/>
      <c r="F246" s="4" t="s">
        <v>912</v>
      </c>
    </row>
    <row r="247" spans="1:6" ht="13.2">
      <c r="A247" s="4" t="s">
        <v>619</v>
      </c>
      <c r="B247" s="4" t="s">
        <v>830</v>
      </c>
      <c r="C247" s="4"/>
      <c r="D247" s="5"/>
      <c r="F247" s="4" t="s">
        <v>913</v>
      </c>
    </row>
    <row r="248" spans="1:6" ht="13.2">
      <c r="A248" s="4" t="s">
        <v>619</v>
      </c>
      <c r="B248" s="4" t="s">
        <v>830</v>
      </c>
      <c r="C248" s="4"/>
      <c r="D248" s="5"/>
      <c r="F248" s="4" t="s">
        <v>914</v>
      </c>
    </row>
    <row r="249" spans="1:6" ht="13.2">
      <c r="A249" s="4" t="s">
        <v>619</v>
      </c>
      <c r="B249" s="4" t="s">
        <v>830</v>
      </c>
      <c r="C249" s="4"/>
      <c r="D249" s="5"/>
      <c r="F249" s="4" t="s">
        <v>915</v>
      </c>
    </row>
    <row r="250" spans="1:6" ht="13.2">
      <c r="A250" s="4" t="s">
        <v>619</v>
      </c>
      <c r="B250" s="4" t="s">
        <v>830</v>
      </c>
      <c r="C250" s="4"/>
      <c r="D250" s="5"/>
      <c r="F250" s="4" t="s">
        <v>916</v>
      </c>
    </row>
    <row r="251" spans="1:6" ht="13.2">
      <c r="A251" s="4" t="s">
        <v>619</v>
      </c>
      <c r="B251" s="4" t="s">
        <v>830</v>
      </c>
      <c r="C251" s="4"/>
      <c r="D251" s="5"/>
      <c r="F251" s="4" t="s">
        <v>917</v>
      </c>
    </row>
    <row r="252" spans="1:6" ht="13.2">
      <c r="A252" s="4" t="s">
        <v>619</v>
      </c>
      <c r="B252" s="4" t="s">
        <v>830</v>
      </c>
      <c r="C252" s="4"/>
      <c r="D252" s="5"/>
      <c r="F252" s="4" t="s">
        <v>918</v>
      </c>
    </row>
    <row r="253" spans="1:6" ht="13.2">
      <c r="A253" s="4" t="s">
        <v>619</v>
      </c>
      <c r="B253" s="4" t="s">
        <v>830</v>
      </c>
      <c r="C253" s="4"/>
      <c r="D253" s="5"/>
      <c r="F253" s="4" t="s">
        <v>919</v>
      </c>
    </row>
    <row r="254" spans="1:6" ht="13.2">
      <c r="A254" s="4" t="s">
        <v>619</v>
      </c>
      <c r="B254" s="4" t="s">
        <v>830</v>
      </c>
      <c r="C254" s="4"/>
      <c r="D254" s="5"/>
      <c r="F254" s="4" t="s">
        <v>920</v>
      </c>
    </row>
    <row r="255" spans="1:6" ht="13.2">
      <c r="A255" s="4" t="s">
        <v>619</v>
      </c>
      <c r="B255" s="4" t="s">
        <v>830</v>
      </c>
      <c r="C255" s="4"/>
      <c r="D255" s="5"/>
      <c r="F255" s="4" t="s">
        <v>921</v>
      </c>
    </row>
    <row r="256" spans="1:6" ht="13.2">
      <c r="A256" s="4" t="s">
        <v>619</v>
      </c>
      <c r="B256" s="4" t="s">
        <v>830</v>
      </c>
      <c r="C256" s="4"/>
      <c r="D256" s="5"/>
      <c r="F256" s="4" t="s">
        <v>922</v>
      </c>
    </row>
    <row r="257" spans="1:41" ht="13.2">
      <c r="A257" s="4" t="s">
        <v>619</v>
      </c>
      <c r="B257" s="4" t="s">
        <v>830</v>
      </c>
      <c r="C257" s="4"/>
      <c r="D257" s="5"/>
      <c r="F257" s="4" t="s">
        <v>923</v>
      </c>
    </row>
    <row r="258" spans="1:41" ht="13.2">
      <c r="A258" s="4" t="s">
        <v>619</v>
      </c>
      <c r="B258" s="4" t="s">
        <v>830</v>
      </c>
      <c r="C258" s="4"/>
      <c r="D258" s="5"/>
      <c r="F258" s="4"/>
      <c r="K258" s="1" t="s">
        <v>924</v>
      </c>
    </row>
    <row r="259" spans="1:41" ht="13.2">
      <c r="A259" s="4" t="s">
        <v>619</v>
      </c>
      <c r="B259" s="4" t="s">
        <v>830</v>
      </c>
      <c r="C259" s="4"/>
      <c r="D259" s="5"/>
      <c r="F259" s="4"/>
      <c r="K259" s="1" t="s">
        <v>925</v>
      </c>
    </row>
    <row r="260" spans="1:41" ht="13.2">
      <c r="A260" s="4" t="s">
        <v>619</v>
      </c>
      <c r="B260" s="4" t="s">
        <v>830</v>
      </c>
      <c r="C260" s="4"/>
      <c r="D260" s="5"/>
      <c r="F260" s="4"/>
      <c r="K260" s="1" t="s">
        <v>926</v>
      </c>
    </row>
    <row r="261" spans="1:41" ht="13.2">
      <c r="A261" s="4" t="s">
        <v>619</v>
      </c>
      <c r="B261" s="4" t="s">
        <v>830</v>
      </c>
      <c r="C261" s="4"/>
      <c r="D261" s="5"/>
      <c r="F261" s="4"/>
      <c r="K261" s="1" t="s">
        <v>927</v>
      </c>
    </row>
    <row r="262" spans="1:41" ht="13.2">
      <c r="A262" s="4" t="s">
        <v>619</v>
      </c>
      <c r="B262" s="4" t="s">
        <v>830</v>
      </c>
      <c r="C262" s="4"/>
      <c r="D262" s="5"/>
      <c r="F262" s="4"/>
      <c r="K262" s="1" t="s">
        <v>928</v>
      </c>
    </row>
    <row r="263" spans="1:41" ht="14.4">
      <c r="A263" s="4" t="s">
        <v>619</v>
      </c>
      <c r="B263" s="4" t="s">
        <v>830</v>
      </c>
      <c r="C263" s="4"/>
      <c r="D263" s="3"/>
      <c r="E263" s="3"/>
      <c r="K263" s="1" t="s">
        <v>929</v>
      </c>
    </row>
    <row r="264" spans="1:41" ht="14.4">
      <c r="A264" s="4" t="s">
        <v>619</v>
      </c>
      <c r="B264" s="4" t="s">
        <v>830</v>
      </c>
      <c r="C264" s="4" t="s">
        <v>930</v>
      </c>
      <c r="D264" s="3"/>
      <c r="E264" s="3"/>
      <c r="T264" s="3" t="s">
        <v>931</v>
      </c>
      <c r="AB264" s="1" t="s">
        <v>932</v>
      </c>
      <c r="AD264" s="1" t="s">
        <v>933</v>
      </c>
      <c r="AO264" s="1" t="s">
        <v>934</v>
      </c>
    </row>
    <row r="265" spans="1:41" ht="14.4">
      <c r="A265" s="4" t="s">
        <v>619</v>
      </c>
      <c r="B265" s="4" t="s">
        <v>830</v>
      </c>
      <c r="C265" s="4"/>
      <c r="D265" s="3"/>
      <c r="E265" s="3" t="s">
        <v>935</v>
      </c>
    </row>
    <row r="266" spans="1:41" ht="14.4">
      <c r="A266" s="4" t="s">
        <v>619</v>
      </c>
      <c r="B266" s="4" t="s">
        <v>830</v>
      </c>
      <c r="C266" s="4"/>
      <c r="D266" s="3"/>
      <c r="E266" s="3" t="s">
        <v>936</v>
      </c>
    </row>
    <row r="267" spans="1:41" ht="14.4">
      <c r="A267" s="4" t="s">
        <v>619</v>
      </c>
      <c r="B267" s="4" t="s">
        <v>830</v>
      </c>
      <c r="C267" s="4"/>
      <c r="D267" s="3"/>
      <c r="E267" s="3" t="s">
        <v>937</v>
      </c>
      <c r="L267" s="1" t="s">
        <v>938</v>
      </c>
    </row>
    <row r="268" spans="1:41" ht="14.4">
      <c r="A268" s="4" t="s">
        <v>619</v>
      </c>
      <c r="B268" s="4" t="s">
        <v>830</v>
      </c>
      <c r="C268" s="4"/>
      <c r="D268" s="3"/>
      <c r="E268" s="3" t="s">
        <v>939</v>
      </c>
    </row>
    <row r="269" spans="1:41" ht="14.4">
      <c r="A269" s="4" t="s">
        <v>619</v>
      </c>
      <c r="B269" s="4" t="s">
        <v>830</v>
      </c>
      <c r="C269" s="4"/>
      <c r="D269" s="3"/>
      <c r="E269" s="3" t="s">
        <v>940</v>
      </c>
    </row>
    <row r="270" spans="1:41" ht="14.4">
      <c r="A270" s="4" t="s">
        <v>619</v>
      </c>
      <c r="B270" s="4" t="s">
        <v>830</v>
      </c>
      <c r="C270" s="4"/>
      <c r="D270" s="3"/>
      <c r="E270" s="3" t="s">
        <v>941</v>
      </c>
    </row>
    <row r="271" spans="1:41" ht="14.4">
      <c r="A271" s="4" t="s">
        <v>619</v>
      </c>
      <c r="B271" s="4" t="s">
        <v>830</v>
      </c>
      <c r="C271" s="4"/>
      <c r="D271" s="3"/>
      <c r="E271" s="3" t="s">
        <v>942</v>
      </c>
    </row>
    <row r="272" spans="1:41" ht="14.4">
      <c r="A272" s="4" t="s">
        <v>619</v>
      </c>
      <c r="B272" s="4" t="s">
        <v>830</v>
      </c>
      <c r="C272" s="4"/>
      <c r="D272" s="3"/>
      <c r="E272" s="3"/>
      <c r="F272" s="4" t="s">
        <v>943</v>
      </c>
    </row>
    <row r="273" spans="1:15" ht="14.4">
      <c r="A273" s="4" t="s">
        <v>619</v>
      </c>
      <c r="B273" s="4" t="s">
        <v>830</v>
      </c>
      <c r="C273" s="4"/>
      <c r="D273" s="3"/>
      <c r="E273" s="3"/>
      <c r="F273" s="4" t="s">
        <v>944</v>
      </c>
    </row>
    <row r="274" spans="1:15" ht="14.4">
      <c r="A274" s="4" t="s">
        <v>619</v>
      </c>
      <c r="B274" s="4" t="s">
        <v>830</v>
      </c>
      <c r="C274" s="4"/>
      <c r="D274" s="3"/>
      <c r="E274" s="3"/>
      <c r="F274" s="4" t="s">
        <v>945</v>
      </c>
    </row>
    <row r="275" spans="1:15" ht="14.4">
      <c r="A275" s="4" t="s">
        <v>619</v>
      </c>
      <c r="B275" s="4" t="s">
        <v>830</v>
      </c>
      <c r="C275" s="4"/>
      <c r="D275" s="3"/>
      <c r="E275" s="3"/>
      <c r="F275" s="4" t="s">
        <v>946</v>
      </c>
    </row>
    <row r="276" spans="1:15" ht="14.4">
      <c r="A276" s="4" t="s">
        <v>619</v>
      </c>
      <c r="B276" s="4" t="s">
        <v>830</v>
      </c>
      <c r="C276" s="4"/>
      <c r="D276" s="3"/>
      <c r="E276" s="3"/>
      <c r="F276" s="4" t="s">
        <v>947</v>
      </c>
    </row>
    <row r="277" spans="1:15" ht="14.4">
      <c r="A277" s="4" t="s">
        <v>619</v>
      </c>
      <c r="B277" s="4" t="s">
        <v>830</v>
      </c>
      <c r="C277" s="4"/>
      <c r="D277" s="3"/>
      <c r="E277" s="3"/>
      <c r="F277" s="4" t="s">
        <v>948</v>
      </c>
    </row>
    <row r="278" spans="1:15" ht="14.4">
      <c r="A278" s="4" t="s">
        <v>619</v>
      </c>
      <c r="B278" s="4" t="s">
        <v>830</v>
      </c>
      <c r="C278" s="4"/>
      <c r="D278" s="3"/>
      <c r="E278" s="3" t="s">
        <v>949</v>
      </c>
      <c r="O278" s="1" t="s">
        <v>950</v>
      </c>
    </row>
    <row r="279" spans="1:15" ht="14.4">
      <c r="A279" s="4" t="s">
        <v>619</v>
      </c>
      <c r="B279" s="4" t="s">
        <v>830</v>
      </c>
      <c r="C279" s="4"/>
      <c r="D279" s="3"/>
      <c r="E279" s="3" t="s">
        <v>951</v>
      </c>
    </row>
    <row r="280" spans="1:15" ht="14.4">
      <c r="A280" s="4" t="s">
        <v>619</v>
      </c>
      <c r="B280" s="4" t="s">
        <v>830</v>
      </c>
      <c r="C280" s="4"/>
      <c r="D280" s="3"/>
      <c r="E280" s="3"/>
      <c r="F280" s="4" t="s">
        <v>952</v>
      </c>
    </row>
    <row r="281" spans="1:15" ht="14.4">
      <c r="A281" s="4" t="s">
        <v>619</v>
      </c>
      <c r="B281" s="4" t="s">
        <v>830</v>
      </c>
      <c r="C281" s="4"/>
      <c r="D281" s="3"/>
      <c r="E281" s="3"/>
      <c r="F281" s="4" t="s">
        <v>953</v>
      </c>
    </row>
    <row r="282" spans="1:15" ht="14.4">
      <c r="A282" s="4" t="s">
        <v>619</v>
      </c>
      <c r="B282" s="4" t="s">
        <v>830</v>
      </c>
      <c r="C282" s="4"/>
      <c r="D282" s="3"/>
      <c r="E282" s="3"/>
      <c r="F282" s="4" t="s">
        <v>954</v>
      </c>
    </row>
    <row r="283" spans="1:15" ht="14.4">
      <c r="A283" s="4" t="s">
        <v>619</v>
      </c>
      <c r="B283" s="4" t="s">
        <v>830</v>
      </c>
      <c r="C283" s="4"/>
      <c r="D283" s="3"/>
      <c r="E283" s="3"/>
      <c r="F283" s="4" t="s">
        <v>955</v>
      </c>
    </row>
    <row r="284" spans="1:15" ht="14.4">
      <c r="A284" s="4" t="s">
        <v>619</v>
      </c>
      <c r="B284" s="4" t="s">
        <v>830</v>
      </c>
      <c r="C284" s="4"/>
      <c r="D284" s="3"/>
      <c r="E284" s="3"/>
      <c r="F284" s="4" t="s">
        <v>956</v>
      </c>
    </row>
    <row r="285" spans="1:15" ht="14.4">
      <c r="A285" s="4" t="s">
        <v>619</v>
      </c>
      <c r="B285" s="4" t="s">
        <v>830</v>
      </c>
      <c r="C285" s="4"/>
      <c r="D285" s="3"/>
      <c r="E285" s="3"/>
      <c r="F285" s="4" t="s">
        <v>957</v>
      </c>
    </row>
    <row r="286" spans="1:15" ht="14.4">
      <c r="A286" s="4" t="s">
        <v>619</v>
      </c>
      <c r="B286" s="4" t="s">
        <v>830</v>
      </c>
      <c r="C286" s="4"/>
      <c r="D286" s="3"/>
      <c r="E286" s="3" t="s">
        <v>958</v>
      </c>
      <c r="L286" s="1" t="s">
        <v>959</v>
      </c>
    </row>
    <row r="287" spans="1:15" ht="14.4">
      <c r="A287" s="4" t="s">
        <v>619</v>
      </c>
      <c r="B287" s="4" t="s">
        <v>830</v>
      </c>
      <c r="C287" s="4"/>
      <c r="D287" s="3"/>
      <c r="E287" s="3" t="s">
        <v>960</v>
      </c>
      <c r="F287" s="3"/>
    </row>
    <row r="288" spans="1:15" ht="14.4">
      <c r="A288" s="4" t="s">
        <v>619</v>
      </c>
      <c r="B288" s="4" t="s">
        <v>961</v>
      </c>
      <c r="C288" s="4"/>
      <c r="D288" s="3"/>
      <c r="E288" s="3" t="s">
        <v>961</v>
      </c>
      <c r="F288" s="3"/>
    </row>
    <row r="289" spans="1:34" ht="14.4">
      <c r="A289" s="4" t="s">
        <v>619</v>
      </c>
      <c r="B289" s="4" t="s">
        <v>961</v>
      </c>
      <c r="C289" s="4"/>
      <c r="D289" s="3"/>
      <c r="E289" s="3" t="s">
        <v>962</v>
      </c>
      <c r="F289" s="4" t="s">
        <v>963</v>
      </c>
      <c r="W289" s="1" t="s">
        <v>964</v>
      </c>
      <c r="Z289" s="3" t="s">
        <v>965</v>
      </c>
    </row>
    <row r="290" spans="1:34" ht="14.4">
      <c r="A290" s="4" t="s">
        <v>619</v>
      </c>
      <c r="B290" s="4" t="s">
        <v>961</v>
      </c>
      <c r="C290" s="4"/>
      <c r="D290" s="3"/>
      <c r="E290" s="3"/>
      <c r="F290" s="4"/>
      <c r="W290" s="1"/>
      <c r="Z290" s="3"/>
      <c r="AH290" s="1" t="s">
        <v>966</v>
      </c>
    </row>
    <row r="291" spans="1:34" ht="14.4">
      <c r="A291" s="4" t="s">
        <v>619</v>
      </c>
      <c r="B291" s="4" t="s">
        <v>961</v>
      </c>
      <c r="C291" s="4"/>
      <c r="D291" s="3"/>
      <c r="E291" s="3"/>
      <c r="F291" s="4" t="s">
        <v>967</v>
      </c>
    </row>
    <row r="292" spans="1:34" ht="14.4">
      <c r="A292" s="4" t="s">
        <v>619</v>
      </c>
      <c r="B292" s="4" t="s">
        <v>961</v>
      </c>
      <c r="C292" s="4" t="s">
        <v>968</v>
      </c>
      <c r="D292" s="3"/>
      <c r="F292" s="4" t="s">
        <v>969</v>
      </c>
    </row>
    <row r="293" spans="1:34" ht="14.4">
      <c r="A293" s="4" t="s">
        <v>619</v>
      </c>
      <c r="B293" s="4" t="s">
        <v>961</v>
      </c>
      <c r="C293" s="4" t="s">
        <v>970</v>
      </c>
      <c r="D293" s="3"/>
      <c r="F293" s="4" t="s">
        <v>971</v>
      </c>
    </row>
    <row r="294" spans="1:34" ht="14.4">
      <c r="A294" s="4" t="s">
        <v>619</v>
      </c>
      <c r="B294" s="4" t="s">
        <v>961</v>
      </c>
      <c r="C294" s="4" t="s">
        <v>972</v>
      </c>
      <c r="D294" s="3"/>
      <c r="E294" s="3" t="s">
        <v>973</v>
      </c>
      <c r="F294" s="4" t="s">
        <v>974</v>
      </c>
      <c r="T294" s="1" t="s">
        <v>975</v>
      </c>
      <c r="Z294" s="1" t="s">
        <v>976</v>
      </c>
    </row>
    <row r="295" spans="1:34" ht="14.4">
      <c r="A295" s="4" t="s">
        <v>619</v>
      </c>
      <c r="B295" s="4" t="s">
        <v>961</v>
      </c>
      <c r="C295" s="4"/>
      <c r="D295" s="3"/>
      <c r="E295" s="3" t="s">
        <v>977</v>
      </c>
      <c r="F295" s="4" t="s">
        <v>978</v>
      </c>
      <c r="K295" s="3"/>
    </row>
    <row r="296" spans="1:34" ht="14.4">
      <c r="A296" s="4" t="s">
        <v>619</v>
      </c>
      <c r="B296" s="4" t="s">
        <v>961</v>
      </c>
      <c r="C296" s="4"/>
      <c r="D296" s="3"/>
      <c r="E296" s="3"/>
      <c r="F296" s="4" t="s">
        <v>979</v>
      </c>
      <c r="K296" s="3"/>
    </row>
    <row r="297" spans="1:34" ht="14.4">
      <c r="A297" s="4" t="s">
        <v>619</v>
      </c>
      <c r="B297" s="4" t="s">
        <v>961</v>
      </c>
      <c r="C297" s="4"/>
      <c r="D297" s="3"/>
      <c r="E297" s="3"/>
      <c r="F297" s="4" t="s">
        <v>980</v>
      </c>
      <c r="K297" s="3"/>
    </row>
    <row r="298" spans="1:34" ht="14.4">
      <c r="A298" s="4" t="s">
        <v>619</v>
      </c>
      <c r="B298" s="4" t="s">
        <v>961</v>
      </c>
      <c r="C298" s="4"/>
      <c r="D298" s="3"/>
      <c r="E298" s="3"/>
      <c r="F298" s="4" t="s">
        <v>981</v>
      </c>
      <c r="K298" s="3"/>
    </row>
    <row r="299" spans="1:34" ht="14.4">
      <c r="A299" s="4" t="s">
        <v>619</v>
      </c>
      <c r="B299" s="4" t="s">
        <v>961</v>
      </c>
      <c r="C299" s="4"/>
      <c r="D299" s="3"/>
      <c r="E299" s="3"/>
      <c r="F299" s="4" t="s">
        <v>982</v>
      </c>
      <c r="K299" s="3"/>
    </row>
    <row r="300" spans="1:34" ht="14.4">
      <c r="A300" s="4" t="s">
        <v>619</v>
      </c>
      <c r="B300" s="4" t="s">
        <v>961</v>
      </c>
      <c r="C300" s="4"/>
      <c r="D300" s="3"/>
      <c r="E300" s="3"/>
      <c r="F300" s="4" t="s">
        <v>983</v>
      </c>
      <c r="K300" s="3"/>
    </row>
    <row r="301" spans="1:34" ht="14.4">
      <c r="A301" s="4" t="s">
        <v>619</v>
      </c>
      <c r="B301" s="4" t="s">
        <v>961</v>
      </c>
      <c r="C301" s="4"/>
      <c r="D301" s="3"/>
      <c r="E301" s="3"/>
      <c r="F301" s="4" t="s">
        <v>984</v>
      </c>
      <c r="K301" s="3"/>
    </row>
    <row r="302" spans="1:34" ht="14.4">
      <c r="A302" s="4" t="s">
        <v>619</v>
      </c>
      <c r="B302" s="4" t="s">
        <v>961</v>
      </c>
      <c r="C302" s="4"/>
      <c r="D302" s="3"/>
      <c r="E302" s="3"/>
      <c r="F302" s="4" t="s">
        <v>985</v>
      </c>
      <c r="K302" s="3"/>
    </row>
    <row r="303" spans="1:34" ht="14.4">
      <c r="A303" s="4" t="s">
        <v>619</v>
      </c>
      <c r="B303" s="4" t="s">
        <v>961</v>
      </c>
      <c r="C303" s="4"/>
      <c r="D303" s="3"/>
      <c r="E303" s="3"/>
      <c r="F303" s="4" t="s">
        <v>986</v>
      </c>
      <c r="K303" s="3"/>
    </row>
    <row r="304" spans="1:34" ht="14.4">
      <c r="A304" s="4" t="s">
        <v>619</v>
      </c>
      <c r="B304" s="4" t="s">
        <v>961</v>
      </c>
      <c r="C304" s="4" t="s">
        <v>987</v>
      </c>
      <c r="D304" s="3"/>
    </row>
    <row r="305" spans="1:28" ht="14.4">
      <c r="A305" s="4" t="s">
        <v>619</v>
      </c>
      <c r="B305" s="4" t="s">
        <v>961</v>
      </c>
      <c r="C305" s="4" t="s">
        <v>988</v>
      </c>
      <c r="D305" s="3"/>
    </row>
    <row r="306" spans="1:28" ht="14.4">
      <c r="A306" s="4" t="s">
        <v>989</v>
      </c>
      <c r="B306" s="4" t="s">
        <v>990</v>
      </c>
      <c r="C306" s="4"/>
      <c r="D306" s="3"/>
      <c r="F306" s="4" t="s">
        <v>991</v>
      </c>
    </row>
    <row r="307" spans="1:28" ht="14.4">
      <c r="A307" s="4" t="s">
        <v>989</v>
      </c>
      <c r="B307" s="4" t="s">
        <v>990</v>
      </c>
      <c r="C307" s="4"/>
      <c r="D307" s="3"/>
      <c r="F307" s="4" t="s">
        <v>992</v>
      </c>
    </row>
    <row r="308" spans="1:28" ht="14.4">
      <c r="A308" s="4" t="s">
        <v>989</v>
      </c>
      <c r="B308" s="4" t="s">
        <v>990</v>
      </c>
      <c r="C308" s="4"/>
      <c r="D308" s="3"/>
      <c r="F308" s="4" t="s">
        <v>993</v>
      </c>
    </row>
    <row r="309" spans="1:28" ht="14.4">
      <c r="A309" s="4" t="s">
        <v>989</v>
      </c>
      <c r="B309" s="4" t="s">
        <v>990</v>
      </c>
      <c r="C309" s="4"/>
      <c r="D309" s="3"/>
      <c r="F309" s="4" t="s">
        <v>994</v>
      </c>
    </row>
    <row r="310" spans="1:28" ht="14.4">
      <c r="A310" s="4" t="s">
        <v>989</v>
      </c>
      <c r="B310" s="4" t="s">
        <v>990</v>
      </c>
      <c r="C310" s="4"/>
      <c r="D310" s="3"/>
      <c r="F310" s="4" t="s">
        <v>995</v>
      </c>
    </row>
    <row r="311" spans="1:28" ht="14.4">
      <c r="A311" s="4" t="s">
        <v>989</v>
      </c>
      <c r="B311" s="4" t="s">
        <v>990</v>
      </c>
      <c r="C311" s="4"/>
      <c r="D311" s="3"/>
      <c r="F311" s="4" t="s">
        <v>996</v>
      </c>
    </row>
    <row r="312" spans="1:28" ht="14.4">
      <c r="A312" s="4" t="s">
        <v>989</v>
      </c>
      <c r="B312" s="4" t="s">
        <v>990</v>
      </c>
      <c r="C312" s="4"/>
      <c r="D312" s="3"/>
      <c r="F312" s="4" t="s">
        <v>997</v>
      </c>
    </row>
    <row r="313" spans="1:28" ht="14.4">
      <c r="A313" s="4" t="s">
        <v>989</v>
      </c>
      <c r="B313" s="4" t="s">
        <v>990</v>
      </c>
      <c r="C313" s="4"/>
      <c r="D313" s="3"/>
      <c r="F313" s="4" t="s">
        <v>998</v>
      </c>
    </row>
    <row r="314" spans="1:28" ht="14.4">
      <c r="A314" s="4" t="s">
        <v>989</v>
      </c>
      <c r="B314" s="4" t="s">
        <v>990</v>
      </c>
      <c r="C314" s="4"/>
      <c r="D314" s="3"/>
      <c r="F314" s="4" t="s">
        <v>999</v>
      </c>
    </row>
    <row r="315" spans="1:28" ht="14.4">
      <c r="A315" s="1" t="s">
        <v>1000</v>
      </c>
      <c r="B315" s="1" t="s">
        <v>2037</v>
      </c>
      <c r="D315" s="3"/>
      <c r="E315" s="3"/>
      <c r="J315" s="1" t="s">
        <v>1001</v>
      </c>
    </row>
    <row r="316" spans="1:28" ht="14.4">
      <c r="A316" s="1" t="s">
        <v>1000</v>
      </c>
      <c r="B316" s="1" t="s">
        <v>2037</v>
      </c>
      <c r="D316" s="3"/>
      <c r="E316" s="3" t="s">
        <v>1002</v>
      </c>
    </row>
    <row r="317" spans="1:28" ht="14.4">
      <c r="A317" s="1" t="s">
        <v>1000</v>
      </c>
      <c r="B317" s="1" t="s">
        <v>2037</v>
      </c>
      <c r="D317" s="3"/>
      <c r="E317" s="3" t="s">
        <v>1003</v>
      </c>
    </row>
    <row r="318" spans="1:28" ht="14.4">
      <c r="A318" s="1" t="s">
        <v>1000</v>
      </c>
      <c r="B318" s="1" t="s">
        <v>2037</v>
      </c>
      <c r="D318" s="3"/>
      <c r="E318" s="3" t="s">
        <v>1004</v>
      </c>
    </row>
    <row r="319" spans="1:28" ht="14.4">
      <c r="A319" s="4" t="s">
        <v>619</v>
      </c>
      <c r="B319" s="1" t="s">
        <v>1005</v>
      </c>
      <c r="D319" s="3"/>
      <c r="E319" s="3" t="s">
        <v>1006</v>
      </c>
      <c r="K319" s="1" t="s">
        <v>1007</v>
      </c>
      <c r="AB319" s="3" t="s">
        <v>1008</v>
      </c>
    </row>
    <row r="320" spans="1:28" ht="14.4">
      <c r="A320" s="4" t="s">
        <v>619</v>
      </c>
      <c r="B320" s="1" t="s">
        <v>1005</v>
      </c>
      <c r="D320" s="3"/>
      <c r="E320" s="3"/>
      <c r="K320" s="1" t="s">
        <v>1009</v>
      </c>
    </row>
    <row r="321" spans="1:11" ht="14.4">
      <c r="A321" s="4" t="s">
        <v>619</v>
      </c>
      <c r="B321" s="1" t="s">
        <v>1010</v>
      </c>
      <c r="D321" s="3"/>
      <c r="E321" s="3"/>
    </row>
    <row r="322" spans="1:11" ht="14.4">
      <c r="A322" s="4" t="s">
        <v>619</v>
      </c>
      <c r="B322" s="1" t="s">
        <v>1010</v>
      </c>
      <c r="D322" s="3"/>
      <c r="E322" s="3" t="s">
        <v>1011</v>
      </c>
      <c r="K322" s="1" t="s">
        <v>1012</v>
      </c>
    </row>
    <row r="323" spans="1:11" ht="14.4">
      <c r="A323" s="4" t="s">
        <v>619</v>
      </c>
      <c r="B323" s="1" t="s">
        <v>1010</v>
      </c>
      <c r="D323" s="3"/>
      <c r="E323" s="3" t="s">
        <v>1013</v>
      </c>
      <c r="K323" s="1" t="s">
        <v>1014</v>
      </c>
    </row>
    <row r="324" spans="1:11" ht="14.4">
      <c r="A324" s="4" t="s">
        <v>619</v>
      </c>
      <c r="B324" s="1" t="s">
        <v>1010</v>
      </c>
      <c r="D324" s="3"/>
      <c r="E324" s="3" t="s">
        <v>1015</v>
      </c>
      <c r="K324" s="1" t="s">
        <v>1016</v>
      </c>
    </row>
    <row r="325" spans="1:11" ht="14.4">
      <c r="A325" s="4" t="s">
        <v>619</v>
      </c>
      <c r="B325" s="1" t="s">
        <v>1010</v>
      </c>
      <c r="D325" s="3"/>
      <c r="E325" s="3"/>
      <c r="K325" s="1" t="s">
        <v>1017</v>
      </c>
    </row>
    <row r="326" spans="1:11" ht="14.4">
      <c r="A326" s="4" t="s">
        <v>619</v>
      </c>
      <c r="B326" s="1" t="s">
        <v>1010</v>
      </c>
      <c r="D326" s="3"/>
      <c r="E326" s="3" t="s">
        <v>1018</v>
      </c>
    </row>
    <row r="327" spans="1:11" ht="14.4">
      <c r="A327" s="4" t="s">
        <v>619</v>
      </c>
      <c r="B327" s="1" t="s">
        <v>1010</v>
      </c>
      <c r="D327" s="3"/>
      <c r="E327" s="3"/>
      <c r="K327" s="1" t="s">
        <v>1019</v>
      </c>
    </row>
    <row r="328" spans="1:11" ht="14.4">
      <c r="A328" s="4" t="s">
        <v>619</v>
      </c>
      <c r="B328" s="1" t="s">
        <v>1010</v>
      </c>
      <c r="D328" s="3"/>
      <c r="E328" s="3"/>
      <c r="K328" s="1" t="s">
        <v>1020</v>
      </c>
    </row>
    <row r="329" spans="1:11" ht="14.4">
      <c r="A329" s="4" t="s">
        <v>619</v>
      </c>
      <c r="B329" s="1" t="s">
        <v>1010</v>
      </c>
      <c r="D329" s="3"/>
      <c r="E329" s="3" t="s">
        <v>1021</v>
      </c>
    </row>
    <row r="330" spans="1:11" ht="14.4">
      <c r="A330" s="4" t="s">
        <v>619</v>
      </c>
      <c r="B330" s="1" t="s">
        <v>1010</v>
      </c>
      <c r="D330" s="3"/>
      <c r="E330" s="3" t="s">
        <v>1022</v>
      </c>
    </row>
    <row r="331" spans="1:11" ht="14.4">
      <c r="A331" s="4" t="s">
        <v>619</v>
      </c>
      <c r="B331" s="1" t="s">
        <v>1010</v>
      </c>
      <c r="D331" s="3"/>
      <c r="E331" s="3"/>
      <c r="K331" s="1" t="s">
        <v>1023</v>
      </c>
    </row>
    <row r="332" spans="1:11" ht="14.4">
      <c r="A332" s="4" t="s">
        <v>619</v>
      </c>
      <c r="B332" s="1" t="s">
        <v>1010</v>
      </c>
      <c r="D332" s="3"/>
      <c r="E332" s="3"/>
      <c r="K332" s="1" t="s">
        <v>1024</v>
      </c>
    </row>
    <row r="333" spans="1:11" ht="14.4">
      <c r="A333" s="4" t="s">
        <v>619</v>
      </c>
      <c r="B333" s="1" t="s">
        <v>1010</v>
      </c>
      <c r="D333" s="3"/>
      <c r="E333" s="3" t="s">
        <v>1025</v>
      </c>
      <c r="K333" s="1" t="s">
        <v>1026</v>
      </c>
    </row>
    <row r="334" spans="1:11" ht="14.4">
      <c r="A334" s="4" t="s">
        <v>619</v>
      </c>
      <c r="B334" s="1" t="s">
        <v>1010</v>
      </c>
      <c r="D334" s="3"/>
      <c r="E334" s="3" t="s">
        <v>1027</v>
      </c>
      <c r="K334" s="1" t="s">
        <v>1028</v>
      </c>
    </row>
    <row r="335" spans="1:11" ht="14.4">
      <c r="A335" s="4" t="s">
        <v>619</v>
      </c>
      <c r="B335" s="1" t="s">
        <v>1010</v>
      </c>
      <c r="D335" s="3"/>
      <c r="E335" s="3"/>
      <c r="K335" s="1" t="s">
        <v>1029</v>
      </c>
    </row>
    <row r="336" spans="1:11" ht="14.4">
      <c r="A336" s="4" t="s">
        <v>619</v>
      </c>
      <c r="B336" s="1" t="s">
        <v>1010</v>
      </c>
      <c r="D336" s="3"/>
      <c r="E336" s="3"/>
      <c r="K336" s="1" t="s">
        <v>1030</v>
      </c>
    </row>
    <row r="337" spans="1:11" ht="14.4">
      <c r="A337" s="4" t="s">
        <v>619</v>
      </c>
      <c r="B337" s="1" t="s">
        <v>1010</v>
      </c>
      <c r="D337" s="3"/>
      <c r="E337" s="3"/>
      <c r="K337" s="1" t="s">
        <v>1031</v>
      </c>
    </row>
    <row r="338" spans="1:11" ht="14.4">
      <c r="A338" s="4" t="s">
        <v>619</v>
      </c>
      <c r="B338" s="1" t="s">
        <v>1010</v>
      </c>
      <c r="D338" s="3"/>
      <c r="E338" s="3"/>
      <c r="K338" s="1" t="s">
        <v>1032</v>
      </c>
    </row>
    <row r="339" spans="1:11" ht="14.4">
      <c r="A339" s="4" t="s">
        <v>619</v>
      </c>
      <c r="B339" s="1" t="s">
        <v>1010</v>
      </c>
      <c r="D339" s="3"/>
      <c r="E339" s="3"/>
      <c r="K339" s="1" t="s">
        <v>1033</v>
      </c>
    </row>
    <row r="340" spans="1:11" ht="14.4">
      <c r="A340" s="4" t="s">
        <v>619</v>
      </c>
      <c r="B340" s="1" t="s">
        <v>1010</v>
      </c>
      <c r="D340" s="3"/>
      <c r="E340" s="3"/>
      <c r="K340" s="1" t="s">
        <v>1034</v>
      </c>
    </row>
    <row r="341" spans="1:11" ht="14.4">
      <c r="A341" s="4" t="s">
        <v>619</v>
      </c>
      <c r="B341" s="1" t="s">
        <v>1010</v>
      </c>
      <c r="D341" s="3"/>
      <c r="E341" s="3"/>
      <c r="K341" s="1" t="s">
        <v>1035</v>
      </c>
    </row>
    <row r="342" spans="1:11" ht="14.4">
      <c r="A342" s="4" t="s">
        <v>619</v>
      </c>
      <c r="B342" s="1" t="s">
        <v>1010</v>
      </c>
      <c r="D342" s="3"/>
      <c r="E342" s="3"/>
      <c r="K342" s="1" t="s">
        <v>1036</v>
      </c>
    </row>
    <row r="343" spans="1:11" ht="14.4">
      <c r="A343" s="4" t="s">
        <v>619</v>
      </c>
      <c r="B343" s="1" t="s">
        <v>1010</v>
      </c>
      <c r="D343" s="3"/>
      <c r="E343" s="3"/>
      <c r="K343" s="1" t="s">
        <v>1037</v>
      </c>
    </row>
    <row r="344" spans="1:11" ht="14.4">
      <c r="A344" s="4" t="s">
        <v>619</v>
      </c>
      <c r="B344" s="1" t="s">
        <v>1010</v>
      </c>
      <c r="D344" s="3"/>
      <c r="E344" s="3"/>
      <c r="K344" s="1" t="s">
        <v>1038</v>
      </c>
    </row>
    <row r="345" spans="1:11" ht="14.4">
      <c r="A345" s="1" t="s">
        <v>1000</v>
      </c>
      <c r="B345" s="1" t="s">
        <v>1039</v>
      </c>
      <c r="D345" s="3"/>
      <c r="E345" s="3"/>
      <c r="F345" s="4" t="s">
        <v>1040</v>
      </c>
      <c r="G345" s="5"/>
      <c r="K345" s="1" t="s">
        <v>1041</v>
      </c>
    </row>
    <row r="346" spans="1:11" ht="14.4">
      <c r="A346" s="1" t="s">
        <v>1000</v>
      </c>
      <c r="B346" s="1" t="s">
        <v>1039</v>
      </c>
      <c r="D346" s="3"/>
      <c r="E346" s="3"/>
      <c r="F346" s="4" t="s">
        <v>1042</v>
      </c>
      <c r="G346" s="5"/>
    </row>
    <row r="347" spans="1:11" ht="14.4">
      <c r="A347" s="1" t="s">
        <v>1000</v>
      </c>
      <c r="B347" s="1" t="s">
        <v>1039</v>
      </c>
      <c r="D347" s="3"/>
      <c r="F347" s="4" t="s">
        <v>1043</v>
      </c>
      <c r="G347" s="5"/>
    </row>
    <row r="348" spans="1:11" ht="14.4">
      <c r="D348" s="3"/>
      <c r="E348" s="3"/>
      <c r="G348" s="5"/>
    </row>
    <row r="349" spans="1:11" ht="14.4">
      <c r="D349" s="3"/>
      <c r="G349" s="5"/>
    </row>
    <row r="350" spans="1:11" ht="14.4">
      <c r="D350" s="3"/>
      <c r="G350" s="5"/>
    </row>
    <row r="351" spans="1:11" ht="14.4">
      <c r="D351" s="3"/>
      <c r="G351" s="5"/>
    </row>
    <row r="352" spans="1:11" ht="14.4">
      <c r="D352" s="3"/>
      <c r="G352" s="5"/>
    </row>
    <row r="353" spans="4:7" ht="14.4">
      <c r="D353" s="3"/>
      <c r="G353" s="5"/>
    </row>
    <row r="354" spans="4:7" ht="14.4">
      <c r="D354" s="3"/>
      <c r="G354" s="5"/>
    </row>
    <row r="355" spans="4:7" ht="14.4">
      <c r="D355" s="3"/>
      <c r="G355" s="5"/>
    </row>
    <row r="356" spans="4:7" ht="14.4">
      <c r="D356" s="3"/>
      <c r="G356" s="5"/>
    </row>
    <row r="357" spans="4:7" ht="14.4">
      <c r="D357" s="3"/>
      <c r="G357" s="5"/>
    </row>
    <row r="358" spans="4:7" ht="14.4">
      <c r="D358" s="3"/>
      <c r="G358" s="5"/>
    </row>
    <row r="359" spans="4:7" ht="14.4">
      <c r="D359" s="3"/>
      <c r="G359" s="5"/>
    </row>
    <row r="360" spans="4:7" ht="14.4">
      <c r="D360" s="3"/>
      <c r="G360" s="5"/>
    </row>
    <row r="361" spans="4:7" ht="14.4">
      <c r="D361" s="3"/>
      <c r="G361" s="5"/>
    </row>
    <row r="362" spans="4:7" ht="14.4">
      <c r="D362" s="3"/>
      <c r="G362" s="5"/>
    </row>
    <row r="363" spans="4:7" ht="14.4">
      <c r="D363" s="3"/>
      <c r="G363" s="5"/>
    </row>
    <row r="364" spans="4:7" ht="14.4">
      <c r="D364" s="3"/>
      <c r="G364" s="5"/>
    </row>
    <row r="365" spans="4:7" ht="14.4">
      <c r="D365" s="3"/>
      <c r="G365" s="5"/>
    </row>
    <row r="366" spans="4:7" ht="14.4">
      <c r="D366" s="3"/>
      <c r="G366" s="5"/>
    </row>
    <row r="367" spans="4:7" ht="14.4">
      <c r="D367" s="3"/>
      <c r="G367" s="5"/>
    </row>
    <row r="368" spans="4:7" ht="14.4">
      <c r="D368" s="3"/>
      <c r="G368" s="5"/>
    </row>
    <row r="369" spans="4:7" ht="14.4">
      <c r="D369" s="3"/>
      <c r="G369" s="5"/>
    </row>
    <row r="370" spans="4:7" ht="14.4">
      <c r="D370" s="3"/>
      <c r="G370" s="5"/>
    </row>
    <row r="371" spans="4:7" ht="14.4">
      <c r="D371" s="3"/>
      <c r="G371" s="5"/>
    </row>
    <row r="372" spans="4:7" ht="14.4">
      <c r="D372" s="3"/>
      <c r="G372" s="5"/>
    </row>
    <row r="373" spans="4:7" ht="14.4">
      <c r="D373" s="3"/>
      <c r="G373" s="5"/>
    </row>
    <row r="374" spans="4:7" ht="14.4">
      <c r="D374" s="3"/>
      <c r="G374" s="5"/>
    </row>
    <row r="375" spans="4:7" ht="14.4">
      <c r="D375" s="3"/>
      <c r="G375" s="5"/>
    </row>
    <row r="376" spans="4:7" ht="14.4">
      <c r="D376" s="3"/>
      <c r="G376" s="5"/>
    </row>
    <row r="377" spans="4:7" ht="14.4">
      <c r="D377" s="3"/>
      <c r="G377" s="5"/>
    </row>
    <row r="378" spans="4:7" ht="14.4">
      <c r="D378" s="3"/>
      <c r="G378" s="5"/>
    </row>
    <row r="379" spans="4:7" ht="14.4">
      <c r="D379" s="3"/>
      <c r="G379" s="5"/>
    </row>
    <row r="380" spans="4:7" ht="14.4">
      <c r="D380" s="3"/>
      <c r="G380" s="5"/>
    </row>
    <row r="381" spans="4:7" ht="13.2">
      <c r="G381" s="5"/>
    </row>
    <row r="382" spans="4:7" ht="13.2">
      <c r="G382" s="5"/>
    </row>
    <row r="383" spans="4:7" ht="13.2">
      <c r="G383" s="5"/>
    </row>
    <row r="384" spans="4:7" ht="13.2">
      <c r="G384" s="5"/>
    </row>
    <row r="385" spans="7:7" ht="13.2">
      <c r="G385" s="5"/>
    </row>
    <row r="386" spans="7:7" ht="13.2">
      <c r="G386" s="5"/>
    </row>
    <row r="387" spans="7:7" ht="13.2">
      <c r="G387" s="5"/>
    </row>
    <row r="388" spans="7:7" ht="13.2">
      <c r="G388" s="5"/>
    </row>
    <row r="389" spans="7:7" ht="13.2">
      <c r="G389" s="5"/>
    </row>
    <row r="390" spans="7:7" ht="13.2">
      <c r="G390" s="5"/>
    </row>
    <row r="391" spans="7:7" ht="13.2">
      <c r="G391" s="5"/>
    </row>
    <row r="392" spans="7:7" ht="13.2">
      <c r="G392" s="5"/>
    </row>
    <row r="393" spans="7:7" ht="13.2">
      <c r="G393" s="5"/>
    </row>
    <row r="394" spans="7:7" ht="13.2">
      <c r="G394" s="5"/>
    </row>
    <row r="395" spans="7:7" ht="13.2">
      <c r="G395" s="5"/>
    </row>
    <row r="396" spans="7:7" ht="13.2">
      <c r="G396" s="5"/>
    </row>
    <row r="397" spans="7:7" ht="13.2">
      <c r="G397" s="5"/>
    </row>
    <row r="398" spans="7:7" ht="13.2">
      <c r="G398" s="5"/>
    </row>
    <row r="399" spans="7:7" ht="13.2">
      <c r="G399" s="5"/>
    </row>
    <row r="400" spans="7:7" ht="13.2">
      <c r="G400" s="5"/>
    </row>
    <row r="401" spans="7:7" ht="13.2">
      <c r="G401" s="5"/>
    </row>
    <row r="402" spans="7:7" ht="13.2">
      <c r="G402" s="5"/>
    </row>
    <row r="403" spans="7:7" ht="13.2">
      <c r="G403" s="5"/>
    </row>
    <row r="404" spans="7:7" ht="13.2">
      <c r="G404" s="5"/>
    </row>
    <row r="405" spans="7:7" ht="13.2">
      <c r="G405" s="5"/>
    </row>
    <row r="406" spans="7:7" ht="13.2">
      <c r="G406" s="5"/>
    </row>
    <row r="407" spans="7:7" ht="13.2">
      <c r="G407" s="5"/>
    </row>
    <row r="408" spans="7:7" ht="13.2">
      <c r="G408" s="5"/>
    </row>
    <row r="409" spans="7:7" ht="13.2">
      <c r="G409" s="5"/>
    </row>
    <row r="410" spans="7:7" ht="13.2">
      <c r="G410" s="5"/>
    </row>
    <row r="411" spans="7:7" ht="13.2">
      <c r="G411" s="5"/>
    </row>
    <row r="412" spans="7:7" ht="13.2">
      <c r="G412" s="5"/>
    </row>
    <row r="413" spans="7:7" ht="13.2">
      <c r="G413" s="5"/>
    </row>
    <row r="414" spans="7:7" ht="13.2">
      <c r="G414" s="5"/>
    </row>
    <row r="415" spans="7:7" ht="13.2">
      <c r="G415" s="5"/>
    </row>
    <row r="416" spans="7:7" ht="13.2">
      <c r="G416" s="5"/>
    </row>
    <row r="417" spans="7:7" ht="13.2">
      <c r="G417" s="5"/>
    </row>
    <row r="418" spans="7:7" ht="13.2">
      <c r="G418" s="5"/>
    </row>
    <row r="419" spans="7:7" ht="13.2">
      <c r="G419" s="5"/>
    </row>
    <row r="420" spans="7:7" ht="13.2">
      <c r="G420" s="5"/>
    </row>
    <row r="421" spans="7:7" ht="13.2">
      <c r="G421" s="5"/>
    </row>
    <row r="422" spans="7:7" ht="13.2">
      <c r="G422" s="5"/>
    </row>
    <row r="423" spans="7:7" ht="13.2">
      <c r="G423" s="5"/>
    </row>
    <row r="424" spans="7:7" ht="13.2">
      <c r="G424" s="5"/>
    </row>
    <row r="425" spans="7:7" ht="13.2">
      <c r="G425" s="5"/>
    </row>
    <row r="426" spans="7:7" ht="13.2">
      <c r="G426" s="5"/>
    </row>
    <row r="427" spans="7:7" ht="13.2">
      <c r="G427" s="5"/>
    </row>
    <row r="428" spans="7:7" ht="13.2">
      <c r="G428" s="5"/>
    </row>
    <row r="429" spans="7:7" ht="13.2">
      <c r="G429" s="5"/>
    </row>
    <row r="430" spans="7:7" ht="13.2">
      <c r="G430" s="5"/>
    </row>
    <row r="431" spans="7:7" ht="13.2">
      <c r="G431" s="5"/>
    </row>
    <row r="432" spans="7:7" ht="13.2">
      <c r="G432" s="5"/>
    </row>
    <row r="433" spans="7:7" ht="13.2">
      <c r="G433" s="5"/>
    </row>
    <row r="434" spans="7:7" ht="13.2">
      <c r="G434" s="5"/>
    </row>
    <row r="435" spans="7:7" ht="13.2">
      <c r="G435" s="5"/>
    </row>
    <row r="436" spans="7:7" ht="13.2">
      <c r="G436" s="5"/>
    </row>
    <row r="437" spans="7:7" ht="13.2">
      <c r="G437" s="5"/>
    </row>
    <row r="438" spans="7:7" ht="13.2">
      <c r="G438" s="5"/>
    </row>
    <row r="439" spans="7:7" ht="13.2">
      <c r="G439" s="5"/>
    </row>
    <row r="440" spans="7:7" ht="13.2">
      <c r="G440" s="5"/>
    </row>
    <row r="441" spans="7:7" ht="13.2">
      <c r="G441" s="5"/>
    </row>
    <row r="442" spans="7:7" ht="13.2">
      <c r="G442" s="5"/>
    </row>
    <row r="443" spans="7:7" ht="13.2">
      <c r="G443" s="5"/>
    </row>
    <row r="444" spans="7:7" ht="13.2">
      <c r="G444" s="5"/>
    </row>
    <row r="445" spans="7:7" ht="13.2">
      <c r="G445" s="5"/>
    </row>
    <row r="446" spans="7:7" ht="13.2">
      <c r="G446" s="5"/>
    </row>
    <row r="447" spans="7:7" ht="13.2">
      <c r="G447" s="5"/>
    </row>
    <row r="448" spans="7:7" ht="13.2">
      <c r="G448" s="5"/>
    </row>
    <row r="449" spans="7:7" ht="13.2">
      <c r="G449" s="5"/>
    </row>
    <row r="450" spans="7:7" ht="13.2">
      <c r="G450" s="5"/>
    </row>
    <row r="451" spans="7:7" ht="13.2">
      <c r="G451" s="5"/>
    </row>
    <row r="452" spans="7:7" ht="13.2">
      <c r="G452" s="5"/>
    </row>
    <row r="453" spans="7:7" ht="13.2">
      <c r="G453" s="5"/>
    </row>
    <row r="454" spans="7:7" ht="13.2">
      <c r="G454" s="5"/>
    </row>
    <row r="455" spans="7:7" ht="13.2">
      <c r="G455" s="5"/>
    </row>
    <row r="456" spans="7:7" ht="13.2">
      <c r="G456" s="5"/>
    </row>
    <row r="457" spans="7:7" ht="13.2">
      <c r="G457" s="5"/>
    </row>
    <row r="458" spans="7:7" ht="13.2">
      <c r="G458" s="5"/>
    </row>
    <row r="459" spans="7:7" ht="13.2">
      <c r="G459" s="5"/>
    </row>
    <row r="460" spans="7:7" ht="13.2">
      <c r="G460" s="5"/>
    </row>
    <row r="461" spans="7:7" ht="13.2">
      <c r="G461" s="5"/>
    </row>
    <row r="462" spans="7:7" ht="13.2">
      <c r="G462" s="5"/>
    </row>
    <row r="463" spans="7:7" ht="13.2">
      <c r="G463" s="5"/>
    </row>
    <row r="464" spans="7:7" ht="13.2">
      <c r="G464" s="5"/>
    </row>
    <row r="465" spans="7:7" ht="13.2">
      <c r="G465" s="5"/>
    </row>
    <row r="466" spans="7:7" ht="13.2">
      <c r="G466" s="5"/>
    </row>
    <row r="467" spans="7:7" ht="13.2">
      <c r="G467" s="5"/>
    </row>
    <row r="468" spans="7:7" ht="13.2">
      <c r="G468" s="5"/>
    </row>
    <row r="469" spans="7:7" ht="13.2">
      <c r="G469" s="5"/>
    </row>
    <row r="470" spans="7:7" ht="13.2">
      <c r="G470" s="5"/>
    </row>
    <row r="471" spans="7:7" ht="13.2">
      <c r="G471" s="5"/>
    </row>
    <row r="472" spans="7:7" ht="13.2">
      <c r="G472" s="5"/>
    </row>
    <row r="473" spans="7:7" ht="13.2">
      <c r="G473" s="5"/>
    </row>
    <row r="474" spans="7:7" ht="13.2">
      <c r="G474" s="5"/>
    </row>
    <row r="475" spans="7:7" ht="13.2">
      <c r="G475" s="5"/>
    </row>
    <row r="476" spans="7:7" ht="13.2">
      <c r="G476" s="5"/>
    </row>
    <row r="477" spans="7:7" ht="13.2">
      <c r="G477" s="5"/>
    </row>
    <row r="478" spans="7:7" ht="13.2">
      <c r="G478" s="5"/>
    </row>
    <row r="479" spans="7:7" ht="13.2">
      <c r="G479" s="5"/>
    </row>
    <row r="480" spans="7:7" ht="13.2">
      <c r="G480" s="5"/>
    </row>
    <row r="481" spans="7:7" ht="13.2">
      <c r="G481" s="5"/>
    </row>
    <row r="482" spans="7:7" ht="13.2">
      <c r="G482" s="5"/>
    </row>
    <row r="483" spans="7:7" ht="13.2">
      <c r="G483" s="5"/>
    </row>
    <row r="484" spans="7:7" ht="13.2">
      <c r="G484" s="5"/>
    </row>
    <row r="485" spans="7:7" ht="13.2">
      <c r="G485" s="5"/>
    </row>
    <row r="486" spans="7:7" ht="13.2">
      <c r="G486" s="5"/>
    </row>
    <row r="487" spans="7:7" ht="13.2">
      <c r="G487" s="5"/>
    </row>
    <row r="488" spans="7:7" ht="13.2">
      <c r="G488" s="5"/>
    </row>
    <row r="489" spans="7:7" ht="13.2">
      <c r="G489" s="5"/>
    </row>
    <row r="490" spans="7:7" ht="13.2">
      <c r="G490" s="5"/>
    </row>
    <row r="491" spans="7:7" ht="13.2">
      <c r="G491" s="5"/>
    </row>
    <row r="492" spans="7:7" ht="13.2">
      <c r="G492" s="5"/>
    </row>
    <row r="493" spans="7:7" ht="13.2">
      <c r="G493" s="5"/>
    </row>
    <row r="494" spans="7:7" ht="13.2">
      <c r="G494" s="5"/>
    </row>
    <row r="495" spans="7:7" ht="13.2">
      <c r="G495" s="5"/>
    </row>
    <row r="496" spans="7:7" ht="13.2">
      <c r="G496" s="5"/>
    </row>
    <row r="497" spans="7:7" ht="13.2">
      <c r="G497" s="5"/>
    </row>
    <row r="498" spans="7:7" ht="13.2">
      <c r="G498" s="5"/>
    </row>
    <row r="499" spans="7:7" ht="13.2">
      <c r="G499" s="5"/>
    </row>
    <row r="500" spans="7:7" ht="13.2">
      <c r="G500" s="5"/>
    </row>
    <row r="501" spans="7:7" ht="13.2">
      <c r="G501" s="5"/>
    </row>
    <row r="502" spans="7:7" ht="13.2">
      <c r="G502" s="5"/>
    </row>
    <row r="503" spans="7:7" ht="13.2">
      <c r="G503" s="5"/>
    </row>
    <row r="504" spans="7:7" ht="13.2">
      <c r="G504" s="5"/>
    </row>
    <row r="505" spans="7:7" ht="13.2">
      <c r="G505" s="5"/>
    </row>
    <row r="506" spans="7:7" ht="13.2">
      <c r="G506" s="5"/>
    </row>
    <row r="507" spans="7:7" ht="13.2">
      <c r="G507" s="5"/>
    </row>
    <row r="508" spans="7:7" ht="13.2">
      <c r="G508" s="5"/>
    </row>
    <row r="509" spans="7:7" ht="13.2">
      <c r="G509" s="5"/>
    </row>
    <row r="510" spans="7:7" ht="13.2">
      <c r="G510" s="5"/>
    </row>
    <row r="511" spans="7:7" ht="13.2">
      <c r="G511" s="5"/>
    </row>
    <row r="512" spans="7:7" ht="13.2">
      <c r="G512" s="5"/>
    </row>
    <row r="513" spans="7:7" ht="13.2">
      <c r="G513" s="5"/>
    </row>
    <row r="514" spans="7:7" ht="13.2">
      <c r="G514" s="5"/>
    </row>
    <row r="515" spans="7:7" ht="13.2">
      <c r="G515" s="5"/>
    </row>
    <row r="516" spans="7:7" ht="13.2">
      <c r="G516" s="5"/>
    </row>
    <row r="517" spans="7:7" ht="13.2">
      <c r="G517" s="5"/>
    </row>
    <row r="518" spans="7:7" ht="13.2">
      <c r="G518" s="5"/>
    </row>
    <row r="519" spans="7:7" ht="13.2">
      <c r="G519" s="5"/>
    </row>
    <row r="520" spans="7:7" ht="13.2">
      <c r="G520" s="5"/>
    </row>
    <row r="521" spans="7:7" ht="13.2">
      <c r="G521" s="5"/>
    </row>
    <row r="522" spans="7:7" ht="13.2">
      <c r="G522" s="5"/>
    </row>
    <row r="523" spans="7:7" ht="13.2">
      <c r="G523" s="5"/>
    </row>
    <row r="524" spans="7:7" ht="13.2">
      <c r="G524" s="5"/>
    </row>
    <row r="525" spans="7:7" ht="13.2">
      <c r="G525" s="5"/>
    </row>
    <row r="526" spans="7:7" ht="13.2">
      <c r="G526" s="5"/>
    </row>
    <row r="527" spans="7:7" ht="13.2">
      <c r="G527" s="5"/>
    </row>
    <row r="528" spans="7:7" ht="13.2">
      <c r="G528" s="5"/>
    </row>
    <row r="529" spans="7:7" ht="13.2">
      <c r="G529" s="5"/>
    </row>
    <row r="530" spans="7:7" ht="13.2">
      <c r="G530" s="5"/>
    </row>
    <row r="531" spans="7:7" ht="13.2">
      <c r="G531" s="5"/>
    </row>
    <row r="532" spans="7:7" ht="13.2">
      <c r="G532" s="5"/>
    </row>
    <row r="533" spans="7:7" ht="13.2">
      <c r="G533" s="5"/>
    </row>
    <row r="534" spans="7:7" ht="13.2">
      <c r="G534" s="5"/>
    </row>
    <row r="535" spans="7:7" ht="13.2">
      <c r="G535" s="5"/>
    </row>
    <row r="536" spans="7:7" ht="13.2">
      <c r="G536" s="5"/>
    </row>
    <row r="537" spans="7:7" ht="13.2">
      <c r="G537" s="5"/>
    </row>
    <row r="538" spans="7:7" ht="13.2">
      <c r="G538" s="5"/>
    </row>
    <row r="539" spans="7:7" ht="13.2">
      <c r="G539" s="5"/>
    </row>
    <row r="540" spans="7:7" ht="13.2">
      <c r="G540" s="5"/>
    </row>
    <row r="541" spans="7:7" ht="13.2">
      <c r="G541" s="5"/>
    </row>
    <row r="542" spans="7:7" ht="13.2">
      <c r="G542" s="5"/>
    </row>
    <row r="543" spans="7:7" ht="13.2">
      <c r="G543" s="5"/>
    </row>
    <row r="544" spans="7:7" ht="13.2">
      <c r="G544" s="5"/>
    </row>
    <row r="545" spans="7:7" ht="13.2">
      <c r="G545" s="5"/>
    </row>
    <row r="546" spans="7:7" ht="13.2">
      <c r="G546" s="5"/>
    </row>
    <row r="547" spans="7:7" ht="13.2">
      <c r="G547" s="5"/>
    </row>
    <row r="548" spans="7:7" ht="13.2">
      <c r="G548" s="5"/>
    </row>
    <row r="549" spans="7:7" ht="13.2">
      <c r="G549" s="5"/>
    </row>
    <row r="550" spans="7:7" ht="13.2">
      <c r="G550" s="5"/>
    </row>
    <row r="551" spans="7:7" ht="13.2">
      <c r="G551" s="5"/>
    </row>
    <row r="552" spans="7:7" ht="13.2">
      <c r="G552" s="5"/>
    </row>
    <row r="553" spans="7:7" ht="13.2">
      <c r="G553" s="5"/>
    </row>
    <row r="554" spans="7:7" ht="13.2">
      <c r="G554" s="5"/>
    </row>
    <row r="555" spans="7:7" ht="13.2">
      <c r="G555" s="5"/>
    </row>
    <row r="556" spans="7:7" ht="13.2">
      <c r="G556" s="5"/>
    </row>
    <row r="557" spans="7:7" ht="13.2">
      <c r="G557" s="5"/>
    </row>
    <row r="558" spans="7:7" ht="13.2">
      <c r="G558" s="5"/>
    </row>
    <row r="559" spans="7:7" ht="13.2">
      <c r="G559" s="5"/>
    </row>
    <row r="560" spans="7:7" ht="13.2">
      <c r="G560" s="5"/>
    </row>
    <row r="561" spans="7:7" ht="13.2">
      <c r="G561" s="5"/>
    </row>
    <row r="562" spans="7:7" ht="13.2">
      <c r="G562" s="5"/>
    </row>
    <row r="563" spans="7:7" ht="13.2">
      <c r="G563" s="5"/>
    </row>
    <row r="564" spans="7:7" ht="13.2">
      <c r="G564" s="5"/>
    </row>
    <row r="565" spans="7:7" ht="13.2">
      <c r="G565" s="5"/>
    </row>
    <row r="566" spans="7:7" ht="13.2">
      <c r="G566" s="5"/>
    </row>
    <row r="567" spans="7:7" ht="13.2">
      <c r="G567" s="5"/>
    </row>
    <row r="568" spans="7:7" ht="13.2">
      <c r="G568" s="5"/>
    </row>
    <row r="569" spans="7:7" ht="13.2">
      <c r="G569" s="5"/>
    </row>
    <row r="570" spans="7:7" ht="13.2">
      <c r="G570" s="5"/>
    </row>
    <row r="571" spans="7:7" ht="13.2">
      <c r="G571" s="5"/>
    </row>
    <row r="572" spans="7:7" ht="13.2">
      <c r="G572" s="5"/>
    </row>
    <row r="573" spans="7:7" ht="13.2">
      <c r="G573" s="5"/>
    </row>
    <row r="574" spans="7:7" ht="13.2">
      <c r="G574" s="5"/>
    </row>
    <row r="575" spans="7:7" ht="13.2">
      <c r="G575" s="5"/>
    </row>
    <row r="576" spans="7:7" ht="13.2">
      <c r="G576" s="5"/>
    </row>
    <row r="577" spans="7:7" ht="13.2">
      <c r="G577" s="5"/>
    </row>
    <row r="578" spans="7:7" ht="13.2">
      <c r="G578" s="5"/>
    </row>
    <row r="579" spans="7:7" ht="13.2">
      <c r="G579" s="5"/>
    </row>
    <row r="580" spans="7:7" ht="13.2">
      <c r="G580" s="5"/>
    </row>
    <row r="581" spans="7:7" ht="13.2">
      <c r="G581" s="5"/>
    </row>
    <row r="582" spans="7:7" ht="13.2">
      <c r="G582" s="5"/>
    </row>
    <row r="583" spans="7:7" ht="13.2">
      <c r="G583" s="5"/>
    </row>
    <row r="584" spans="7:7" ht="13.2">
      <c r="G584" s="5"/>
    </row>
    <row r="585" spans="7:7" ht="13.2">
      <c r="G585" s="5"/>
    </row>
    <row r="586" spans="7:7" ht="13.2">
      <c r="G586" s="5"/>
    </row>
    <row r="587" spans="7:7" ht="13.2">
      <c r="G587" s="5"/>
    </row>
    <row r="588" spans="7:7" ht="13.2">
      <c r="G588" s="5"/>
    </row>
    <row r="589" spans="7:7" ht="13.2">
      <c r="G589" s="5"/>
    </row>
    <row r="590" spans="7:7" ht="13.2">
      <c r="G590" s="5"/>
    </row>
    <row r="591" spans="7:7" ht="13.2">
      <c r="G591" s="5"/>
    </row>
    <row r="592" spans="7:7" ht="13.2">
      <c r="G592" s="5"/>
    </row>
    <row r="593" spans="7:7" ht="13.2">
      <c r="G593" s="5"/>
    </row>
    <row r="594" spans="7:7" ht="13.2">
      <c r="G594" s="5"/>
    </row>
    <row r="595" spans="7:7" ht="13.2">
      <c r="G595" s="5"/>
    </row>
    <row r="596" spans="7:7" ht="13.2">
      <c r="G596" s="5"/>
    </row>
    <row r="597" spans="7:7" ht="13.2">
      <c r="G597" s="5"/>
    </row>
    <row r="598" spans="7:7" ht="13.2">
      <c r="G598" s="5"/>
    </row>
    <row r="599" spans="7:7" ht="13.2">
      <c r="G599" s="5"/>
    </row>
    <row r="600" spans="7:7" ht="13.2">
      <c r="G600" s="5"/>
    </row>
    <row r="601" spans="7:7" ht="13.2">
      <c r="G601" s="5"/>
    </row>
    <row r="602" spans="7:7" ht="13.2">
      <c r="G602" s="5"/>
    </row>
    <row r="603" spans="7:7" ht="13.2">
      <c r="G603" s="5"/>
    </row>
    <row r="604" spans="7:7" ht="13.2">
      <c r="G604" s="5"/>
    </row>
    <row r="605" spans="7:7" ht="13.2">
      <c r="G605" s="5"/>
    </row>
    <row r="606" spans="7:7" ht="13.2">
      <c r="G606" s="5"/>
    </row>
    <row r="607" spans="7:7" ht="13.2">
      <c r="G607" s="5"/>
    </row>
    <row r="608" spans="7:7" ht="13.2">
      <c r="G608" s="5"/>
    </row>
    <row r="609" spans="7:7" ht="13.2">
      <c r="G609" s="5"/>
    </row>
    <row r="610" spans="7:7" ht="13.2">
      <c r="G610" s="5"/>
    </row>
    <row r="611" spans="7:7" ht="13.2">
      <c r="G611" s="5"/>
    </row>
    <row r="612" spans="7:7" ht="13.2">
      <c r="G612" s="5"/>
    </row>
    <row r="613" spans="7:7" ht="13.2">
      <c r="G613" s="5"/>
    </row>
    <row r="614" spans="7:7" ht="13.2">
      <c r="G614" s="5"/>
    </row>
    <row r="615" spans="7:7" ht="13.2">
      <c r="G615" s="5"/>
    </row>
    <row r="616" spans="7:7" ht="13.2">
      <c r="G616" s="5"/>
    </row>
    <row r="617" spans="7:7" ht="13.2">
      <c r="G617" s="5"/>
    </row>
    <row r="618" spans="7:7" ht="13.2">
      <c r="G618" s="5"/>
    </row>
    <row r="619" spans="7:7" ht="13.2">
      <c r="G619" s="5"/>
    </row>
    <row r="620" spans="7:7" ht="13.2">
      <c r="G620" s="5"/>
    </row>
    <row r="621" spans="7:7" ht="13.2">
      <c r="G621" s="5"/>
    </row>
    <row r="622" spans="7:7" ht="13.2">
      <c r="G622" s="5"/>
    </row>
    <row r="623" spans="7:7" ht="13.2">
      <c r="G623" s="5"/>
    </row>
    <row r="624" spans="7:7" ht="13.2">
      <c r="G624" s="5"/>
    </row>
    <row r="625" spans="7:7" ht="13.2">
      <c r="G625" s="5"/>
    </row>
    <row r="626" spans="7:7" ht="13.2">
      <c r="G626" s="5"/>
    </row>
    <row r="627" spans="7:7" ht="13.2">
      <c r="G627" s="5"/>
    </row>
    <row r="628" spans="7:7" ht="13.2">
      <c r="G628" s="5"/>
    </row>
    <row r="629" spans="7:7" ht="13.2">
      <c r="G629" s="5"/>
    </row>
    <row r="630" spans="7:7" ht="13.2">
      <c r="G630" s="5"/>
    </row>
    <row r="631" spans="7:7" ht="13.2">
      <c r="G631" s="5"/>
    </row>
    <row r="632" spans="7:7" ht="13.2">
      <c r="G632" s="5"/>
    </row>
    <row r="633" spans="7:7" ht="13.2">
      <c r="G633" s="5"/>
    </row>
    <row r="634" spans="7:7" ht="13.2">
      <c r="G634" s="5"/>
    </row>
    <row r="635" spans="7:7" ht="13.2">
      <c r="G635" s="5"/>
    </row>
    <row r="636" spans="7:7" ht="13.2">
      <c r="G636" s="5"/>
    </row>
    <row r="637" spans="7:7" ht="13.2">
      <c r="G637" s="5"/>
    </row>
    <row r="638" spans="7:7" ht="13.2">
      <c r="G638" s="5"/>
    </row>
    <row r="639" spans="7:7" ht="13.2">
      <c r="G639" s="5"/>
    </row>
    <row r="640" spans="7:7" ht="13.2">
      <c r="G640" s="5"/>
    </row>
    <row r="641" spans="7:7" ht="13.2">
      <c r="G641" s="5"/>
    </row>
    <row r="642" spans="7:7" ht="13.2">
      <c r="G642" s="5"/>
    </row>
    <row r="643" spans="7:7" ht="13.2">
      <c r="G643" s="5"/>
    </row>
    <row r="644" spans="7:7" ht="13.2">
      <c r="G644" s="5"/>
    </row>
    <row r="645" spans="7:7" ht="13.2">
      <c r="G645" s="5"/>
    </row>
    <row r="646" spans="7:7" ht="13.2">
      <c r="G646" s="5"/>
    </row>
    <row r="647" spans="7:7" ht="13.2">
      <c r="G647" s="5"/>
    </row>
    <row r="648" spans="7:7" ht="13.2">
      <c r="G648" s="5"/>
    </row>
    <row r="649" spans="7:7" ht="13.2">
      <c r="G649" s="5"/>
    </row>
    <row r="650" spans="7:7" ht="13.2">
      <c r="G650" s="5"/>
    </row>
    <row r="651" spans="7:7" ht="13.2">
      <c r="G651" s="5"/>
    </row>
    <row r="652" spans="7:7" ht="13.2">
      <c r="G652" s="5"/>
    </row>
    <row r="653" spans="7:7" ht="13.2">
      <c r="G653" s="5"/>
    </row>
    <row r="654" spans="7:7" ht="13.2">
      <c r="G654" s="5"/>
    </row>
    <row r="655" spans="7:7" ht="13.2">
      <c r="G655" s="5"/>
    </row>
    <row r="656" spans="7:7" ht="13.2">
      <c r="G656" s="5"/>
    </row>
    <row r="657" spans="7:7" ht="13.2">
      <c r="G657" s="5"/>
    </row>
    <row r="658" spans="7:7" ht="13.2">
      <c r="G658" s="5"/>
    </row>
    <row r="659" spans="7:7" ht="13.2">
      <c r="G659" s="5"/>
    </row>
    <row r="660" spans="7:7" ht="13.2">
      <c r="G660" s="5"/>
    </row>
    <row r="661" spans="7:7" ht="13.2">
      <c r="G661" s="5"/>
    </row>
    <row r="662" spans="7:7" ht="13.2">
      <c r="G662" s="5"/>
    </row>
    <row r="663" spans="7:7" ht="13.2">
      <c r="G663" s="5"/>
    </row>
    <row r="664" spans="7:7" ht="13.2">
      <c r="G664" s="5"/>
    </row>
    <row r="665" spans="7:7" ht="13.2">
      <c r="G665" s="5"/>
    </row>
    <row r="666" spans="7:7" ht="13.2">
      <c r="G666" s="5"/>
    </row>
    <row r="667" spans="7:7" ht="13.2">
      <c r="G667" s="5"/>
    </row>
    <row r="668" spans="7:7" ht="13.2">
      <c r="G668" s="5"/>
    </row>
    <row r="669" spans="7:7" ht="13.2">
      <c r="G669" s="5"/>
    </row>
    <row r="670" spans="7:7" ht="13.2">
      <c r="G670" s="5"/>
    </row>
    <row r="671" spans="7:7" ht="13.2">
      <c r="G671" s="5"/>
    </row>
    <row r="672" spans="7:7" ht="13.2">
      <c r="G672" s="5"/>
    </row>
    <row r="673" spans="7:7" ht="13.2">
      <c r="G673" s="5"/>
    </row>
    <row r="674" spans="7:7" ht="13.2">
      <c r="G674" s="5"/>
    </row>
    <row r="675" spans="7:7" ht="13.2">
      <c r="G675" s="5"/>
    </row>
    <row r="676" spans="7:7" ht="13.2">
      <c r="G676" s="5"/>
    </row>
    <row r="677" spans="7:7" ht="13.2">
      <c r="G677" s="5"/>
    </row>
    <row r="678" spans="7:7" ht="13.2">
      <c r="G678" s="5"/>
    </row>
    <row r="679" spans="7:7" ht="13.2">
      <c r="G679" s="5"/>
    </row>
    <row r="680" spans="7:7" ht="13.2">
      <c r="G680" s="5"/>
    </row>
    <row r="681" spans="7:7" ht="13.2">
      <c r="G681" s="5"/>
    </row>
    <row r="682" spans="7:7" ht="13.2">
      <c r="G682" s="5"/>
    </row>
    <row r="683" spans="7:7" ht="13.2">
      <c r="G683" s="5"/>
    </row>
    <row r="684" spans="7:7" ht="13.2">
      <c r="G684" s="5"/>
    </row>
    <row r="685" spans="7:7" ht="13.2">
      <c r="G685" s="5"/>
    </row>
    <row r="686" spans="7:7" ht="13.2">
      <c r="G686" s="5"/>
    </row>
    <row r="687" spans="7:7" ht="13.2">
      <c r="G687" s="5"/>
    </row>
    <row r="688" spans="7:7" ht="13.2">
      <c r="G688" s="5"/>
    </row>
    <row r="689" spans="7:7" ht="13.2">
      <c r="G689" s="5"/>
    </row>
    <row r="690" spans="7:7" ht="13.2">
      <c r="G690" s="5"/>
    </row>
    <row r="691" spans="7:7" ht="13.2">
      <c r="G691" s="5"/>
    </row>
    <row r="692" spans="7:7" ht="13.2">
      <c r="G692" s="5"/>
    </row>
    <row r="693" spans="7:7" ht="13.2">
      <c r="G693" s="5"/>
    </row>
    <row r="694" spans="7:7" ht="13.2">
      <c r="G694" s="5"/>
    </row>
    <row r="695" spans="7:7" ht="13.2">
      <c r="G695" s="5"/>
    </row>
    <row r="696" spans="7:7" ht="13.2">
      <c r="G696" s="5"/>
    </row>
    <row r="697" spans="7:7" ht="13.2">
      <c r="G697" s="5"/>
    </row>
    <row r="698" spans="7:7" ht="13.2">
      <c r="G698" s="5"/>
    </row>
    <row r="699" spans="7:7" ht="13.2">
      <c r="G699" s="5"/>
    </row>
    <row r="700" spans="7:7" ht="13.2">
      <c r="G700" s="5"/>
    </row>
    <row r="701" spans="7:7" ht="13.2">
      <c r="G701" s="5"/>
    </row>
    <row r="702" spans="7:7" ht="13.2">
      <c r="G702" s="5"/>
    </row>
    <row r="703" spans="7:7" ht="13.2">
      <c r="G703" s="5"/>
    </row>
    <row r="704" spans="7:7" ht="13.2">
      <c r="G704" s="5"/>
    </row>
    <row r="705" spans="7:7" ht="13.2">
      <c r="G705" s="5"/>
    </row>
    <row r="706" spans="7:7" ht="13.2">
      <c r="G706" s="5"/>
    </row>
    <row r="707" spans="7:7" ht="13.2">
      <c r="G707" s="5"/>
    </row>
    <row r="708" spans="7:7" ht="13.2">
      <c r="G708" s="5"/>
    </row>
    <row r="709" spans="7:7" ht="13.2">
      <c r="G709" s="5"/>
    </row>
    <row r="710" spans="7:7" ht="13.2">
      <c r="G710" s="5"/>
    </row>
    <row r="711" spans="7:7" ht="13.2">
      <c r="G711" s="5"/>
    </row>
    <row r="712" spans="7:7" ht="13.2">
      <c r="G712" s="5"/>
    </row>
    <row r="713" spans="7:7" ht="13.2">
      <c r="G713" s="5"/>
    </row>
    <row r="714" spans="7:7" ht="13.2">
      <c r="G714" s="5"/>
    </row>
    <row r="715" spans="7:7" ht="13.2">
      <c r="G715" s="5"/>
    </row>
    <row r="716" spans="7:7" ht="13.2">
      <c r="G716" s="5"/>
    </row>
    <row r="717" spans="7:7" ht="13.2">
      <c r="G717" s="5"/>
    </row>
    <row r="718" spans="7:7" ht="13.2">
      <c r="G718" s="5"/>
    </row>
    <row r="719" spans="7:7" ht="13.2">
      <c r="G719" s="5"/>
    </row>
    <row r="720" spans="7:7" ht="13.2">
      <c r="G720" s="5"/>
    </row>
    <row r="721" spans="7:7" ht="13.2">
      <c r="G721" s="5"/>
    </row>
    <row r="722" spans="7:7" ht="13.2">
      <c r="G722" s="5"/>
    </row>
    <row r="723" spans="7:7" ht="13.2">
      <c r="G723" s="5"/>
    </row>
    <row r="724" spans="7:7" ht="13.2">
      <c r="G724" s="5"/>
    </row>
    <row r="725" spans="7:7" ht="13.2">
      <c r="G725" s="5"/>
    </row>
    <row r="726" spans="7:7" ht="13.2">
      <c r="G726" s="5"/>
    </row>
    <row r="727" spans="7:7" ht="13.2">
      <c r="G727" s="5"/>
    </row>
    <row r="728" spans="7:7" ht="13.2">
      <c r="G728" s="5"/>
    </row>
    <row r="729" spans="7:7" ht="13.2">
      <c r="G729" s="5"/>
    </row>
    <row r="730" spans="7:7" ht="13.2">
      <c r="G730" s="5"/>
    </row>
    <row r="731" spans="7:7" ht="13.2">
      <c r="G731" s="5"/>
    </row>
    <row r="732" spans="7:7" ht="13.2">
      <c r="G732" s="5"/>
    </row>
    <row r="733" spans="7:7" ht="13.2">
      <c r="G733" s="5"/>
    </row>
    <row r="734" spans="7:7" ht="13.2">
      <c r="G734" s="5"/>
    </row>
    <row r="735" spans="7:7" ht="13.2">
      <c r="G735" s="5"/>
    </row>
    <row r="736" spans="7:7" ht="13.2">
      <c r="G736" s="5"/>
    </row>
    <row r="737" spans="7:7" ht="13.2">
      <c r="G737" s="5"/>
    </row>
    <row r="738" spans="7:7" ht="13.2">
      <c r="G738" s="5"/>
    </row>
    <row r="739" spans="7:7" ht="13.2">
      <c r="G739" s="5"/>
    </row>
    <row r="740" spans="7:7" ht="13.2">
      <c r="G740" s="5"/>
    </row>
    <row r="741" spans="7:7" ht="13.2">
      <c r="G741" s="5"/>
    </row>
    <row r="742" spans="7:7" ht="13.2">
      <c r="G742" s="5"/>
    </row>
    <row r="743" spans="7:7" ht="13.2">
      <c r="G743" s="5"/>
    </row>
    <row r="744" spans="7:7" ht="13.2">
      <c r="G744" s="5"/>
    </row>
    <row r="745" spans="7:7" ht="13.2">
      <c r="G745" s="5"/>
    </row>
    <row r="746" spans="7:7" ht="13.2">
      <c r="G746" s="5"/>
    </row>
    <row r="747" spans="7:7" ht="13.2">
      <c r="G747" s="5"/>
    </row>
    <row r="748" spans="7:7" ht="13.2">
      <c r="G748" s="5"/>
    </row>
    <row r="749" spans="7:7" ht="13.2">
      <c r="G749" s="5"/>
    </row>
    <row r="750" spans="7:7" ht="13.2">
      <c r="G750" s="5"/>
    </row>
    <row r="751" spans="7:7" ht="13.2">
      <c r="G751" s="5"/>
    </row>
    <row r="752" spans="7:7" ht="13.2">
      <c r="G752" s="5"/>
    </row>
    <row r="753" spans="7:7" ht="13.2">
      <c r="G753" s="5"/>
    </row>
    <row r="754" spans="7:7" ht="13.2">
      <c r="G754" s="5"/>
    </row>
    <row r="755" spans="7:7" ht="13.2">
      <c r="G755" s="5"/>
    </row>
    <row r="756" spans="7:7" ht="13.2">
      <c r="G756" s="5"/>
    </row>
    <row r="757" spans="7:7" ht="13.2">
      <c r="G757" s="5"/>
    </row>
    <row r="758" spans="7:7" ht="13.2">
      <c r="G758" s="5"/>
    </row>
    <row r="759" spans="7:7" ht="13.2">
      <c r="G759" s="5"/>
    </row>
    <row r="760" spans="7:7" ht="13.2">
      <c r="G760" s="5"/>
    </row>
    <row r="761" spans="7:7" ht="13.2">
      <c r="G761" s="5"/>
    </row>
    <row r="762" spans="7:7" ht="13.2">
      <c r="G762" s="5"/>
    </row>
    <row r="763" spans="7:7" ht="13.2">
      <c r="G763" s="5"/>
    </row>
    <row r="764" spans="7:7" ht="13.2">
      <c r="G764" s="5"/>
    </row>
    <row r="765" spans="7:7" ht="13.2">
      <c r="G765" s="5"/>
    </row>
    <row r="766" spans="7:7" ht="13.2">
      <c r="G766" s="5"/>
    </row>
    <row r="767" spans="7:7" ht="13.2">
      <c r="G767" s="5"/>
    </row>
    <row r="768" spans="7:7" ht="13.2">
      <c r="G768" s="5"/>
    </row>
    <row r="769" spans="7:7" ht="13.2">
      <c r="G769" s="5"/>
    </row>
    <row r="770" spans="7:7" ht="13.2">
      <c r="G770" s="5"/>
    </row>
    <row r="771" spans="7:7" ht="13.2">
      <c r="G771" s="5"/>
    </row>
    <row r="772" spans="7:7" ht="13.2">
      <c r="G772" s="5"/>
    </row>
    <row r="773" spans="7:7" ht="13.2">
      <c r="G773" s="5"/>
    </row>
    <row r="774" spans="7:7" ht="13.2">
      <c r="G774" s="5"/>
    </row>
    <row r="775" spans="7:7" ht="13.2">
      <c r="G775" s="5"/>
    </row>
    <row r="776" spans="7:7" ht="13.2">
      <c r="G776" s="5"/>
    </row>
    <row r="777" spans="7:7" ht="13.2">
      <c r="G777" s="5"/>
    </row>
    <row r="778" spans="7:7" ht="13.2">
      <c r="G778" s="5"/>
    </row>
    <row r="779" spans="7:7" ht="13.2">
      <c r="G779" s="5"/>
    </row>
    <row r="780" spans="7:7" ht="13.2">
      <c r="G780" s="5"/>
    </row>
    <row r="781" spans="7:7" ht="13.2">
      <c r="G781" s="5"/>
    </row>
    <row r="782" spans="7:7" ht="13.2">
      <c r="G782" s="5"/>
    </row>
    <row r="783" spans="7:7" ht="13.2">
      <c r="G783" s="5"/>
    </row>
    <row r="784" spans="7:7" ht="13.2">
      <c r="G784" s="5"/>
    </row>
    <row r="785" spans="7:7" ht="13.2">
      <c r="G785" s="5"/>
    </row>
    <row r="786" spans="7:7" ht="13.2">
      <c r="G786" s="5"/>
    </row>
    <row r="787" spans="7:7" ht="13.2">
      <c r="G787" s="5"/>
    </row>
    <row r="788" spans="7:7" ht="13.2">
      <c r="G788" s="5"/>
    </row>
    <row r="789" spans="7:7" ht="13.2">
      <c r="G789" s="5"/>
    </row>
    <row r="790" spans="7:7" ht="13.2">
      <c r="G790" s="5"/>
    </row>
    <row r="791" spans="7:7" ht="13.2">
      <c r="G791" s="5"/>
    </row>
    <row r="792" spans="7:7" ht="13.2">
      <c r="G792" s="5"/>
    </row>
    <row r="793" spans="7:7" ht="13.2">
      <c r="G793" s="5"/>
    </row>
    <row r="794" spans="7:7" ht="13.2">
      <c r="G794" s="5"/>
    </row>
    <row r="795" spans="7:7" ht="13.2">
      <c r="G795" s="5"/>
    </row>
    <row r="796" spans="7:7" ht="13.2">
      <c r="G796" s="5"/>
    </row>
    <row r="797" spans="7:7" ht="13.2">
      <c r="G797" s="5"/>
    </row>
    <row r="798" spans="7:7" ht="13.2">
      <c r="G798" s="5"/>
    </row>
    <row r="799" spans="7:7" ht="13.2">
      <c r="G799" s="5"/>
    </row>
    <row r="800" spans="7:7" ht="13.2">
      <c r="G800" s="5"/>
    </row>
    <row r="801" spans="7:7" ht="13.2">
      <c r="G801" s="5"/>
    </row>
    <row r="802" spans="7:7" ht="13.2">
      <c r="G802" s="5"/>
    </row>
    <row r="803" spans="7:7" ht="13.2">
      <c r="G803" s="5"/>
    </row>
    <row r="804" spans="7:7" ht="13.2">
      <c r="G804" s="5"/>
    </row>
    <row r="805" spans="7:7" ht="13.2">
      <c r="G805" s="5"/>
    </row>
    <row r="806" spans="7:7" ht="13.2">
      <c r="G806" s="5"/>
    </row>
    <row r="807" spans="7:7" ht="13.2">
      <c r="G807" s="5"/>
    </row>
    <row r="808" spans="7:7" ht="13.2">
      <c r="G808" s="5"/>
    </row>
    <row r="809" spans="7:7" ht="13.2">
      <c r="G809" s="5"/>
    </row>
    <row r="810" spans="7:7" ht="13.2">
      <c r="G810" s="5"/>
    </row>
    <row r="811" spans="7:7" ht="13.2">
      <c r="G811" s="5"/>
    </row>
    <row r="812" spans="7:7" ht="13.2">
      <c r="G812" s="5"/>
    </row>
    <row r="813" spans="7:7" ht="13.2">
      <c r="G813" s="5"/>
    </row>
    <row r="814" spans="7:7" ht="13.2">
      <c r="G814" s="5"/>
    </row>
    <row r="815" spans="7:7" ht="13.2">
      <c r="G815" s="5"/>
    </row>
    <row r="816" spans="7:7" ht="13.2">
      <c r="G816" s="5"/>
    </row>
    <row r="817" spans="7:7" ht="13.2">
      <c r="G817" s="5"/>
    </row>
    <row r="818" spans="7:7" ht="13.2">
      <c r="G818" s="5"/>
    </row>
    <row r="819" spans="7:7" ht="13.2">
      <c r="G819" s="5"/>
    </row>
    <row r="820" spans="7:7" ht="13.2">
      <c r="G820" s="5"/>
    </row>
    <row r="821" spans="7:7" ht="13.2">
      <c r="G821" s="5"/>
    </row>
    <row r="822" spans="7:7" ht="13.2">
      <c r="G822" s="5"/>
    </row>
    <row r="823" spans="7:7" ht="13.2">
      <c r="G823" s="5"/>
    </row>
    <row r="824" spans="7:7" ht="13.2">
      <c r="G824" s="5"/>
    </row>
    <row r="825" spans="7:7" ht="13.2">
      <c r="G825" s="5"/>
    </row>
    <row r="826" spans="7:7" ht="13.2">
      <c r="G826" s="5"/>
    </row>
    <row r="827" spans="7:7" ht="13.2">
      <c r="G827" s="5"/>
    </row>
    <row r="828" spans="7:7" ht="13.2">
      <c r="G828" s="5"/>
    </row>
    <row r="829" spans="7:7" ht="13.2">
      <c r="G829" s="5"/>
    </row>
    <row r="830" spans="7:7" ht="13.2">
      <c r="G830" s="5"/>
    </row>
    <row r="831" spans="7:7" ht="13.2">
      <c r="G831" s="5"/>
    </row>
    <row r="832" spans="7:7" ht="13.2">
      <c r="G832" s="5"/>
    </row>
    <row r="833" spans="7:7" ht="13.2">
      <c r="G833" s="5"/>
    </row>
    <row r="834" spans="7:7" ht="13.2">
      <c r="G834" s="5"/>
    </row>
    <row r="835" spans="7:7" ht="13.2">
      <c r="G835" s="5"/>
    </row>
    <row r="836" spans="7:7" ht="13.2">
      <c r="G836" s="5"/>
    </row>
    <row r="837" spans="7:7" ht="13.2">
      <c r="G837" s="5"/>
    </row>
    <row r="838" spans="7:7" ht="13.2">
      <c r="G838" s="5"/>
    </row>
    <row r="839" spans="7:7" ht="13.2">
      <c r="G839" s="5"/>
    </row>
    <row r="840" spans="7:7" ht="13.2">
      <c r="G840" s="5"/>
    </row>
    <row r="841" spans="7:7" ht="13.2">
      <c r="G841" s="5"/>
    </row>
    <row r="842" spans="7:7" ht="13.2">
      <c r="G842" s="5"/>
    </row>
    <row r="843" spans="7:7" ht="13.2">
      <c r="G843" s="5"/>
    </row>
    <row r="844" spans="7:7" ht="13.2">
      <c r="G844" s="5"/>
    </row>
    <row r="845" spans="7:7" ht="13.2">
      <c r="G845" s="5"/>
    </row>
    <row r="846" spans="7:7" ht="13.2">
      <c r="G846" s="5"/>
    </row>
    <row r="847" spans="7:7" ht="13.2">
      <c r="G847" s="5"/>
    </row>
    <row r="848" spans="7:7" ht="13.2">
      <c r="G848" s="5"/>
    </row>
    <row r="849" spans="7:7" ht="13.2">
      <c r="G849" s="5"/>
    </row>
    <row r="850" spans="7:7" ht="13.2">
      <c r="G850" s="5"/>
    </row>
    <row r="851" spans="7:7" ht="13.2">
      <c r="G851" s="5"/>
    </row>
    <row r="852" spans="7:7" ht="13.2">
      <c r="G852" s="5"/>
    </row>
    <row r="853" spans="7:7" ht="13.2">
      <c r="G853" s="5"/>
    </row>
    <row r="854" spans="7:7" ht="13.2">
      <c r="G854" s="5"/>
    </row>
    <row r="855" spans="7:7" ht="13.2">
      <c r="G855" s="5"/>
    </row>
    <row r="856" spans="7:7" ht="13.2">
      <c r="G856" s="5"/>
    </row>
    <row r="857" spans="7:7" ht="13.2">
      <c r="G857" s="5"/>
    </row>
    <row r="858" spans="7:7" ht="13.2">
      <c r="G858" s="5"/>
    </row>
    <row r="859" spans="7:7" ht="13.2">
      <c r="G859" s="5"/>
    </row>
    <row r="860" spans="7:7" ht="13.2">
      <c r="G860" s="5"/>
    </row>
    <row r="861" spans="7:7" ht="13.2">
      <c r="G861" s="5"/>
    </row>
    <row r="862" spans="7:7" ht="13.2">
      <c r="G862" s="5"/>
    </row>
    <row r="863" spans="7:7" ht="13.2">
      <c r="G863" s="5"/>
    </row>
    <row r="864" spans="7:7" ht="13.2">
      <c r="G864" s="5"/>
    </row>
    <row r="865" spans="7:7" ht="13.2">
      <c r="G865" s="5"/>
    </row>
    <row r="866" spans="7:7" ht="13.2">
      <c r="G866" s="5"/>
    </row>
    <row r="867" spans="7:7" ht="13.2">
      <c r="G867" s="5"/>
    </row>
    <row r="868" spans="7:7" ht="13.2">
      <c r="G868" s="5"/>
    </row>
    <row r="869" spans="7:7" ht="13.2">
      <c r="G869" s="5"/>
    </row>
    <row r="870" spans="7:7" ht="13.2">
      <c r="G870" s="5"/>
    </row>
    <row r="871" spans="7:7" ht="13.2">
      <c r="G871" s="5"/>
    </row>
    <row r="872" spans="7:7" ht="13.2">
      <c r="G872" s="5"/>
    </row>
    <row r="873" spans="7:7" ht="13.2">
      <c r="G873" s="5"/>
    </row>
    <row r="874" spans="7:7" ht="13.2">
      <c r="G874" s="5"/>
    </row>
    <row r="875" spans="7:7" ht="13.2">
      <c r="G875" s="5"/>
    </row>
    <row r="876" spans="7:7" ht="13.2">
      <c r="G876" s="5"/>
    </row>
    <row r="877" spans="7:7" ht="13.2">
      <c r="G877" s="5"/>
    </row>
    <row r="878" spans="7:7" ht="13.2">
      <c r="G878" s="5"/>
    </row>
    <row r="879" spans="7:7" ht="13.2">
      <c r="G879" s="5"/>
    </row>
    <row r="880" spans="7:7" ht="13.2">
      <c r="G880" s="5"/>
    </row>
    <row r="881" spans="7:7" ht="13.2">
      <c r="G881" s="5"/>
    </row>
    <row r="882" spans="7:7" ht="13.2">
      <c r="G882" s="5"/>
    </row>
    <row r="883" spans="7:7" ht="13.2">
      <c r="G883" s="5"/>
    </row>
    <row r="884" spans="7:7" ht="13.2">
      <c r="G884" s="5"/>
    </row>
    <row r="885" spans="7:7" ht="13.2">
      <c r="G885" s="5"/>
    </row>
    <row r="886" spans="7:7" ht="13.2">
      <c r="G886" s="5"/>
    </row>
    <row r="887" spans="7:7" ht="13.2">
      <c r="G887" s="5"/>
    </row>
    <row r="888" spans="7:7" ht="13.2">
      <c r="G888" s="5"/>
    </row>
    <row r="889" spans="7:7" ht="13.2">
      <c r="G889" s="5"/>
    </row>
    <row r="890" spans="7:7" ht="13.2">
      <c r="G890" s="5"/>
    </row>
    <row r="891" spans="7:7" ht="13.2">
      <c r="G891" s="5"/>
    </row>
    <row r="892" spans="7:7" ht="13.2">
      <c r="G892" s="5"/>
    </row>
    <row r="893" spans="7:7" ht="13.2">
      <c r="G893" s="5"/>
    </row>
    <row r="894" spans="7:7" ht="13.2">
      <c r="G894" s="5"/>
    </row>
    <row r="895" spans="7:7" ht="13.2">
      <c r="G895" s="5"/>
    </row>
    <row r="896" spans="7:7" ht="13.2">
      <c r="G896" s="5"/>
    </row>
    <row r="897" spans="7:7" ht="13.2">
      <c r="G897" s="5"/>
    </row>
    <row r="898" spans="7:7" ht="13.2">
      <c r="G898" s="5"/>
    </row>
    <row r="899" spans="7:7" ht="13.2">
      <c r="G899" s="5"/>
    </row>
    <row r="900" spans="7:7" ht="13.2">
      <c r="G900" s="5"/>
    </row>
    <row r="901" spans="7:7" ht="13.2">
      <c r="G901" s="5"/>
    </row>
    <row r="902" spans="7:7" ht="13.2">
      <c r="G902" s="5"/>
    </row>
    <row r="903" spans="7:7" ht="13.2">
      <c r="G903" s="5"/>
    </row>
    <row r="904" spans="7:7" ht="13.2">
      <c r="G904" s="5"/>
    </row>
    <row r="905" spans="7:7" ht="13.2">
      <c r="G905" s="5"/>
    </row>
    <row r="906" spans="7:7" ht="13.2">
      <c r="G906" s="5"/>
    </row>
    <row r="907" spans="7:7" ht="13.2">
      <c r="G907" s="5"/>
    </row>
    <row r="908" spans="7:7" ht="13.2">
      <c r="G908" s="5"/>
    </row>
    <row r="909" spans="7:7" ht="13.2">
      <c r="G909" s="5"/>
    </row>
    <row r="910" spans="7:7" ht="13.2">
      <c r="G910" s="5"/>
    </row>
    <row r="911" spans="7:7" ht="13.2">
      <c r="G911" s="5"/>
    </row>
    <row r="912" spans="7:7" ht="13.2">
      <c r="G912" s="5"/>
    </row>
    <row r="913" spans="7:7" ht="13.2">
      <c r="G913" s="5"/>
    </row>
    <row r="914" spans="7:7" ht="13.2">
      <c r="G914" s="5"/>
    </row>
    <row r="915" spans="7:7" ht="13.2">
      <c r="G915" s="5"/>
    </row>
    <row r="916" spans="7:7" ht="13.2">
      <c r="G916" s="5"/>
    </row>
    <row r="917" spans="7:7" ht="13.2">
      <c r="G917" s="5"/>
    </row>
    <row r="918" spans="7:7" ht="13.2">
      <c r="G918" s="5"/>
    </row>
    <row r="919" spans="7:7" ht="13.2">
      <c r="G919" s="5"/>
    </row>
    <row r="920" spans="7:7" ht="13.2">
      <c r="G920" s="5"/>
    </row>
    <row r="921" spans="7:7" ht="13.2">
      <c r="G921" s="5"/>
    </row>
    <row r="922" spans="7:7" ht="13.2">
      <c r="G922" s="5"/>
    </row>
    <row r="923" spans="7:7" ht="13.2">
      <c r="G923" s="5"/>
    </row>
    <row r="924" spans="7:7" ht="13.2">
      <c r="G924" s="5"/>
    </row>
    <row r="925" spans="7:7" ht="13.2">
      <c r="G925" s="5"/>
    </row>
    <row r="926" spans="7:7" ht="13.2">
      <c r="G926" s="5"/>
    </row>
    <row r="927" spans="7:7" ht="13.2">
      <c r="G927" s="5"/>
    </row>
    <row r="928" spans="7:7" ht="13.2">
      <c r="G928" s="5"/>
    </row>
    <row r="929" spans="7:7" ht="13.2">
      <c r="G929" s="5"/>
    </row>
    <row r="930" spans="7:7" ht="13.2">
      <c r="G930" s="5"/>
    </row>
    <row r="931" spans="7:7" ht="13.2">
      <c r="G931" s="5"/>
    </row>
    <row r="932" spans="7:7" ht="13.2">
      <c r="G932" s="5"/>
    </row>
    <row r="933" spans="7:7" ht="13.2">
      <c r="G933" s="5"/>
    </row>
    <row r="934" spans="7:7" ht="13.2">
      <c r="G934" s="5"/>
    </row>
    <row r="935" spans="7:7" ht="13.2">
      <c r="G935" s="5"/>
    </row>
    <row r="936" spans="7:7" ht="13.2">
      <c r="G936" s="5"/>
    </row>
    <row r="937" spans="7:7" ht="13.2">
      <c r="G937" s="5"/>
    </row>
    <row r="938" spans="7:7" ht="13.2">
      <c r="G938" s="5"/>
    </row>
    <row r="939" spans="7:7" ht="13.2">
      <c r="G939" s="5"/>
    </row>
    <row r="940" spans="7:7" ht="13.2">
      <c r="G940" s="5"/>
    </row>
    <row r="941" spans="7:7" ht="13.2">
      <c r="G941" s="5"/>
    </row>
    <row r="942" spans="7:7" ht="13.2">
      <c r="G942" s="5"/>
    </row>
    <row r="943" spans="7:7" ht="13.2">
      <c r="G943" s="5"/>
    </row>
    <row r="944" spans="7:7" ht="13.2">
      <c r="G944" s="5"/>
    </row>
    <row r="945" spans="7:7" ht="13.2">
      <c r="G945" s="5"/>
    </row>
    <row r="946" spans="7:7" ht="13.2">
      <c r="G946" s="5"/>
    </row>
    <row r="947" spans="7:7" ht="13.2">
      <c r="G947" s="5"/>
    </row>
    <row r="948" spans="7:7" ht="13.2">
      <c r="G948" s="5"/>
    </row>
    <row r="949" spans="7:7" ht="13.2">
      <c r="G949" s="5"/>
    </row>
    <row r="950" spans="7:7" ht="13.2">
      <c r="G950" s="5"/>
    </row>
    <row r="951" spans="7:7" ht="13.2">
      <c r="G951" s="5"/>
    </row>
    <row r="952" spans="7:7" ht="13.2">
      <c r="G952" s="5"/>
    </row>
    <row r="953" spans="7:7" ht="13.2">
      <c r="G953" s="5"/>
    </row>
    <row r="954" spans="7:7" ht="13.2">
      <c r="G954" s="5"/>
    </row>
    <row r="955" spans="7:7" ht="13.2">
      <c r="G955" s="5"/>
    </row>
    <row r="956" spans="7:7" ht="13.2">
      <c r="G956" s="5"/>
    </row>
    <row r="957" spans="7:7" ht="13.2">
      <c r="G957" s="5"/>
    </row>
    <row r="958" spans="7:7" ht="13.2">
      <c r="G958" s="5"/>
    </row>
    <row r="959" spans="7:7" ht="13.2">
      <c r="G959" s="5"/>
    </row>
    <row r="960" spans="7:7" ht="13.2">
      <c r="G960" s="5"/>
    </row>
    <row r="961" spans="7:7" ht="13.2">
      <c r="G961" s="5"/>
    </row>
    <row r="962" spans="7:7" ht="13.2">
      <c r="G962" s="5"/>
    </row>
    <row r="963" spans="7:7" ht="13.2">
      <c r="G963" s="5"/>
    </row>
    <row r="964" spans="7:7" ht="13.2">
      <c r="G964" s="5"/>
    </row>
    <row r="965" spans="7:7" ht="13.2">
      <c r="G965" s="5"/>
    </row>
    <row r="966" spans="7:7" ht="13.2">
      <c r="G966" s="5"/>
    </row>
    <row r="967" spans="7:7" ht="13.2">
      <c r="G967" s="5"/>
    </row>
    <row r="968" spans="7:7" ht="13.2">
      <c r="G968" s="5"/>
    </row>
    <row r="969" spans="7:7" ht="13.2">
      <c r="G969" s="5"/>
    </row>
    <row r="970" spans="7:7" ht="13.2">
      <c r="G970" s="5"/>
    </row>
    <row r="971" spans="7:7" ht="13.2">
      <c r="G971" s="5"/>
    </row>
    <row r="972" spans="7:7" ht="13.2">
      <c r="G972" s="5"/>
    </row>
    <row r="973" spans="7:7" ht="13.2">
      <c r="G973" s="5"/>
    </row>
    <row r="974" spans="7:7" ht="13.2">
      <c r="G974" s="5"/>
    </row>
    <row r="975" spans="7:7" ht="13.2">
      <c r="G975" s="5"/>
    </row>
    <row r="976" spans="7:7" ht="13.2">
      <c r="G976" s="5"/>
    </row>
    <row r="977" spans="7:7" ht="13.2">
      <c r="G977" s="5"/>
    </row>
    <row r="978" spans="7:7" ht="13.2">
      <c r="G978" s="5"/>
    </row>
    <row r="979" spans="7:7" ht="13.2">
      <c r="G979" s="5"/>
    </row>
    <row r="980" spans="7:7" ht="13.2">
      <c r="G980" s="5"/>
    </row>
    <row r="981" spans="7:7" ht="13.2">
      <c r="G981" s="5"/>
    </row>
    <row r="982" spans="7:7" ht="13.2">
      <c r="G982" s="5"/>
    </row>
    <row r="983" spans="7:7" ht="13.2">
      <c r="G983" s="5"/>
    </row>
    <row r="984" spans="7:7" ht="13.2">
      <c r="G984" s="5"/>
    </row>
    <row r="985" spans="7:7" ht="13.2">
      <c r="G985" s="5"/>
    </row>
    <row r="986" spans="7:7" ht="13.2">
      <c r="G986" s="5"/>
    </row>
    <row r="987" spans="7:7" ht="13.2">
      <c r="G987" s="5"/>
    </row>
    <row r="988" spans="7:7" ht="13.2">
      <c r="G988" s="5"/>
    </row>
    <row r="989" spans="7:7" ht="13.2">
      <c r="G989" s="5"/>
    </row>
    <row r="990" spans="7:7" ht="13.2">
      <c r="G990" s="5"/>
    </row>
    <row r="991" spans="7:7" ht="13.2">
      <c r="G991" s="5"/>
    </row>
    <row r="992" spans="7:7" ht="13.2">
      <c r="G992" s="5"/>
    </row>
    <row r="993" spans="7:7" ht="13.2">
      <c r="G993" s="5"/>
    </row>
    <row r="994" spans="7:7" ht="13.2">
      <c r="G994" s="5"/>
    </row>
    <row r="995" spans="7:7" ht="13.2">
      <c r="G995" s="5"/>
    </row>
    <row r="996" spans="7:7" ht="13.2">
      <c r="G996" s="5"/>
    </row>
    <row r="997" spans="7:7" ht="13.2">
      <c r="G997" s="5"/>
    </row>
    <row r="998" spans="7:7" ht="13.2">
      <c r="G998" s="5"/>
    </row>
    <row r="999" spans="7:7" ht="13.2">
      <c r="G999" s="5"/>
    </row>
    <row r="1000" spans="7:7" ht="13.2">
      <c r="G1000" s="5"/>
    </row>
    <row r="1001" spans="7:7" ht="13.2">
      <c r="G1001" s="5"/>
    </row>
    <row r="1002" spans="7:7" ht="13.2">
      <c r="G1002" s="5"/>
    </row>
    <row r="1003" spans="7:7" ht="13.2">
      <c r="G1003" s="5"/>
    </row>
    <row r="1004" spans="7:7" ht="13.2">
      <c r="G1004" s="5"/>
    </row>
    <row r="1005" spans="7:7" ht="13.2">
      <c r="G1005" s="5"/>
    </row>
    <row r="1006" spans="7:7" ht="13.2">
      <c r="G1006" s="5"/>
    </row>
    <row r="1007" spans="7:7" ht="13.2">
      <c r="G1007" s="5"/>
    </row>
    <row r="1008" spans="7:7" ht="13.2">
      <c r="G1008" s="5"/>
    </row>
    <row r="1009" spans="7:7" ht="13.2">
      <c r="G1009" s="5"/>
    </row>
    <row r="1010" spans="7:7" ht="13.2">
      <c r="G1010" s="5"/>
    </row>
    <row r="1011" spans="7:7" ht="13.2">
      <c r="G1011" s="5"/>
    </row>
    <row r="1012" spans="7:7" ht="13.2">
      <c r="G1012" s="5"/>
    </row>
    <row r="1013" spans="7:7" ht="13.2">
      <c r="G1013" s="5"/>
    </row>
    <row r="1014" spans="7:7" ht="13.2">
      <c r="G1014" s="5"/>
    </row>
    <row r="1015" spans="7:7" ht="13.2">
      <c r="G1015" s="5"/>
    </row>
    <row r="1016" spans="7:7" ht="13.2">
      <c r="G1016" s="5"/>
    </row>
    <row r="1017" spans="7:7" ht="13.2">
      <c r="G1017" s="5"/>
    </row>
    <row r="1018" spans="7:7" ht="13.2">
      <c r="G1018" s="5"/>
    </row>
    <row r="1019" spans="7:7" ht="13.2">
      <c r="G1019" s="5"/>
    </row>
    <row r="1020" spans="7:7" ht="13.2">
      <c r="G1020" s="5"/>
    </row>
    <row r="1021" spans="7:7" ht="13.2">
      <c r="G1021" s="5"/>
    </row>
    <row r="1022" spans="7:7" ht="13.2">
      <c r="G1022" s="5"/>
    </row>
    <row r="1023" spans="7:7" ht="13.2">
      <c r="G1023" s="5"/>
    </row>
    <row r="1024" spans="7:7" ht="13.2">
      <c r="G1024" s="5"/>
    </row>
    <row r="1025" spans="7:7" ht="13.2">
      <c r="G1025" s="5"/>
    </row>
    <row r="1026" spans="7:7" ht="13.2">
      <c r="G1026" s="5"/>
    </row>
    <row r="1027" spans="7:7" ht="13.2">
      <c r="G1027" s="5"/>
    </row>
    <row r="1028" spans="7:7" ht="13.2">
      <c r="G1028" s="5"/>
    </row>
    <row r="1029" spans="7:7" ht="13.2">
      <c r="G1029" s="5"/>
    </row>
    <row r="1030" spans="7:7" ht="13.2">
      <c r="G1030" s="5"/>
    </row>
    <row r="1031" spans="7:7" ht="13.2">
      <c r="G1031" s="5"/>
    </row>
    <row r="1032" spans="7:7" ht="13.2">
      <c r="G1032" s="5"/>
    </row>
    <row r="1033" spans="7:7" ht="13.2">
      <c r="G1033" s="5"/>
    </row>
    <row r="1034" spans="7:7" ht="13.2">
      <c r="G1034" s="5"/>
    </row>
    <row r="1035" spans="7:7" ht="13.2">
      <c r="G1035" s="5"/>
    </row>
    <row r="1036" spans="7:7" ht="13.2">
      <c r="G1036" s="5"/>
    </row>
    <row r="1037" spans="7:7" ht="13.2">
      <c r="G1037" s="5"/>
    </row>
    <row r="1038" spans="7:7" ht="13.2">
      <c r="G1038" s="5"/>
    </row>
    <row r="1039" spans="7:7" ht="13.2">
      <c r="G1039" s="5"/>
    </row>
    <row r="1040" spans="7:7" ht="13.2">
      <c r="G1040" s="5"/>
    </row>
    <row r="1041" spans="7:7" ht="13.2">
      <c r="G1041" s="5"/>
    </row>
    <row r="1042" spans="7:7" ht="13.2">
      <c r="G1042" s="5"/>
    </row>
    <row r="1043" spans="7:7" ht="13.2">
      <c r="G1043" s="5"/>
    </row>
    <row r="1044" spans="7:7" ht="13.2">
      <c r="G1044" s="5"/>
    </row>
    <row r="1045" spans="7:7" ht="13.2">
      <c r="G1045" s="5"/>
    </row>
    <row r="1046" spans="7:7" ht="13.2">
      <c r="G1046" s="5"/>
    </row>
    <row r="1047" spans="7:7" ht="13.2">
      <c r="G1047" s="5"/>
    </row>
    <row r="1048" spans="7:7" ht="13.2">
      <c r="G1048" s="5"/>
    </row>
    <row r="1049" spans="7:7" ht="13.2">
      <c r="G1049" s="5"/>
    </row>
    <row r="1050" spans="7:7" ht="13.2">
      <c r="G1050" s="5"/>
    </row>
    <row r="1051" spans="7:7" ht="13.2">
      <c r="G1051" s="5"/>
    </row>
    <row r="1052" spans="7:7" ht="13.2">
      <c r="G1052" s="5"/>
    </row>
    <row r="1053" spans="7:7" ht="13.2">
      <c r="G1053" s="5"/>
    </row>
    <row r="1054" spans="7:7" ht="13.2">
      <c r="G1054" s="5"/>
    </row>
    <row r="1055" spans="7:7" ht="13.2">
      <c r="G1055" s="5"/>
    </row>
    <row r="1056" spans="7:7" ht="13.2">
      <c r="G1056" s="5"/>
    </row>
    <row r="1057" spans="7:7" ht="13.2">
      <c r="G1057" s="5"/>
    </row>
    <row r="1058" spans="7:7" ht="13.2">
      <c r="G1058" s="5"/>
    </row>
    <row r="1059" spans="7:7" ht="13.2">
      <c r="G1059" s="5"/>
    </row>
    <row r="1060" spans="7:7" ht="13.2">
      <c r="G1060" s="5"/>
    </row>
    <row r="1061" spans="7:7" ht="13.2">
      <c r="G1061" s="5"/>
    </row>
    <row r="1062" spans="7:7" ht="13.2">
      <c r="G1062" s="5"/>
    </row>
    <row r="1063" spans="7:7" ht="13.2">
      <c r="G1063" s="5"/>
    </row>
    <row r="1064" spans="7:7" ht="13.2">
      <c r="G1064" s="5"/>
    </row>
    <row r="1065" spans="7:7" ht="13.2">
      <c r="G1065" s="5"/>
    </row>
    <row r="1066" spans="7:7" ht="13.2">
      <c r="G1066" s="5"/>
    </row>
    <row r="1067" spans="7:7" ht="13.2">
      <c r="G1067" s="5"/>
    </row>
    <row r="1068" spans="7:7" ht="13.2">
      <c r="G1068" s="5"/>
    </row>
    <row r="1069" spans="7:7" ht="13.2">
      <c r="G1069" s="5"/>
    </row>
    <row r="1070" spans="7:7" ht="13.2">
      <c r="G1070" s="5"/>
    </row>
    <row r="1071" spans="7:7" ht="13.2">
      <c r="G1071" s="5"/>
    </row>
    <row r="1072" spans="7:7" ht="13.2">
      <c r="G1072" s="5"/>
    </row>
    <row r="1073" spans="7:7" ht="13.2">
      <c r="G1073" s="5"/>
    </row>
    <row r="1074" spans="7:7" ht="13.2">
      <c r="G1074" s="5"/>
    </row>
    <row r="1075" spans="7:7" ht="13.2">
      <c r="G1075" s="5"/>
    </row>
    <row r="1076" spans="7:7" ht="13.2">
      <c r="G1076" s="5"/>
    </row>
    <row r="1077" spans="7:7" ht="13.2">
      <c r="G1077" s="5"/>
    </row>
    <row r="1078" spans="7:7" ht="13.2">
      <c r="G1078" s="5"/>
    </row>
    <row r="1079" spans="7:7" ht="13.2">
      <c r="G1079" s="5"/>
    </row>
    <row r="1080" spans="7:7" ht="13.2">
      <c r="G1080" s="5"/>
    </row>
    <row r="1081" spans="7:7" ht="13.2">
      <c r="G1081" s="5"/>
    </row>
    <row r="1082" spans="7:7" ht="13.2">
      <c r="G1082" s="5"/>
    </row>
    <row r="1083" spans="7:7" ht="13.2">
      <c r="G1083" s="5"/>
    </row>
    <row r="1084" spans="7:7" ht="13.2">
      <c r="G1084" s="5"/>
    </row>
    <row r="1085" spans="7:7" ht="13.2">
      <c r="G1085" s="5"/>
    </row>
    <row r="1086" spans="7:7" ht="13.2">
      <c r="G1086" s="5"/>
    </row>
    <row r="1087" spans="7:7" ht="13.2">
      <c r="G1087" s="5"/>
    </row>
    <row r="1088" spans="7:7" ht="13.2">
      <c r="G1088" s="5"/>
    </row>
    <row r="1089" spans="7:7" ht="13.2">
      <c r="G1089" s="5"/>
    </row>
    <row r="1090" spans="7:7" ht="13.2">
      <c r="G1090" s="5"/>
    </row>
    <row r="1091" spans="7:7" ht="13.2">
      <c r="G1091" s="5"/>
    </row>
    <row r="1092" spans="7:7" ht="13.2">
      <c r="G1092" s="5"/>
    </row>
    <row r="1093" spans="7:7" ht="13.2">
      <c r="G1093" s="5"/>
    </row>
    <row r="1094" spans="7:7" ht="13.2">
      <c r="G1094" s="5"/>
    </row>
    <row r="1095" spans="7:7" ht="13.2">
      <c r="G1095" s="5"/>
    </row>
    <row r="1096" spans="7:7" ht="13.2">
      <c r="G1096" s="5"/>
    </row>
    <row r="1097" spans="7:7" ht="13.2">
      <c r="G1097" s="5"/>
    </row>
    <row r="1098" spans="7:7" ht="13.2">
      <c r="G1098" s="5"/>
    </row>
    <row r="1099" spans="7:7" ht="13.2">
      <c r="G1099" s="5"/>
    </row>
    <row r="1100" spans="7:7" ht="13.2">
      <c r="G1100" s="5"/>
    </row>
    <row r="1101" spans="7:7" ht="13.2">
      <c r="G1101" s="5"/>
    </row>
    <row r="1102" spans="7:7" ht="13.2">
      <c r="G1102" s="5"/>
    </row>
    <row r="1103" spans="7:7" ht="13.2">
      <c r="G1103" s="5"/>
    </row>
    <row r="1104" spans="7:7" ht="13.2">
      <c r="G1104" s="5"/>
    </row>
    <row r="1105" spans="7:7" ht="13.2">
      <c r="G1105" s="5"/>
    </row>
    <row r="1106" spans="7:7" ht="13.2">
      <c r="G1106" s="5"/>
    </row>
    <row r="1107" spans="7:7" ht="13.2">
      <c r="G1107" s="5"/>
    </row>
    <row r="1108" spans="7:7" ht="13.2">
      <c r="G1108" s="5"/>
    </row>
    <row r="1109" spans="7:7" ht="13.2">
      <c r="G1109" s="5"/>
    </row>
    <row r="1110" spans="7:7" ht="13.2">
      <c r="G1110" s="5"/>
    </row>
    <row r="1111" spans="7:7" ht="13.2">
      <c r="G1111" s="5"/>
    </row>
    <row r="1112" spans="7:7" ht="13.2">
      <c r="G1112" s="5"/>
    </row>
    <row r="1113" spans="7:7" ht="13.2">
      <c r="G1113" s="5"/>
    </row>
    <row r="1114" spans="7:7" ht="13.2">
      <c r="G1114" s="5"/>
    </row>
    <row r="1115" spans="7:7" ht="13.2">
      <c r="G1115" s="5"/>
    </row>
    <row r="1116" spans="7:7" ht="13.2">
      <c r="G1116" s="5"/>
    </row>
    <row r="1117" spans="7:7" ht="13.2">
      <c r="G1117" s="5"/>
    </row>
    <row r="1118" spans="7:7" ht="13.2">
      <c r="G1118" s="5"/>
    </row>
    <row r="1119" spans="7:7" ht="13.2">
      <c r="G1119" s="5"/>
    </row>
    <row r="1120" spans="7:7" ht="13.2">
      <c r="G1120" s="5"/>
    </row>
    <row r="1121" spans="7:7" ht="13.2">
      <c r="G1121" s="5"/>
    </row>
    <row r="1122" spans="7:7" ht="13.2">
      <c r="G1122" s="5"/>
    </row>
    <row r="1123" spans="7:7" ht="13.2">
      <c r="G1123" s="5"/>
    </row>
    <row r="1124" spans="7:7" ht="13.2">
      <c r="G1124" s="5"/>
    </row>
    <row r="1125" spans="7:7" ht="13.2">
      <c r="G1125" s="5"/>
    </row>
    <row r="1126" spans="7:7" ht="13.2">
      <c r="G1126" s="5"/>
    </row>
    <row r="1127" spans="7:7" ht="13.2">
      <c r="G1127" s="5"/>
    </row>
    <row r="1128" spans="7:7" ht="13.2">
      <c r="G1128" s="5"/>
    </row>
    <row r="1129" spans="7:7" ht="13.2">
      <c r="G1129" s="5"/>
    </row>
    <row r="1130" spans="7:7" ht="13.2">
      <c r="G1130" s="5"/>
    </row>
    <row r="1131" spans="7:7" ht="13.2">
      <c r="G1131" s="5"/>
    </row>
    <row r="1132" spans="7:7" ht="13.2">
      <c r="G1132" s="5"/>
    </row>
    <row r="1133" spans="7:7" ht="13.2">
      <c r="G1133" s="5"/>
    </row>
    <row r="1134" spans="7:7" ht="13.2">
      <c r="G1134" s="5"/>
    </row>
    <row r="1135" spans="7:7" ht="13.2">
      <c r="G1135" s="5"/>
    </row>
    <row r="1136" spans="7:7" ht="13.2">
      <c r="G1136" s="5"/>
    </row>
    <row r="1137" spans="7:7" ht="13.2">
      <c r="G1137" s="5"/>
    </row>
    <row r="1138" spans="7:7" ht="13.2">
      <c r="G1138" s="5"/>
    </row>
    <row r="1139" spans="7:7" ht="13.2">
      <c r="G1139" s="5"/>
    </row>
    <row r="1140" spans="7:7" ht="13.2">
      <c r="G1140" s="5"/>
    </row>
    <row r="1141" spans="7:7" ht="13.2">
      <c r="G1141" s="5"/>
    </row>
    <row r="1142" spans="7:7" ht="13.2">
      <c r="G1142" s="5"/>
    </row>
    <row r="1143" spans="7:7" ht="13.2">
      <c r="G1143" s="5"/>
    </row>
    <row r="1144" spans="7:7" ht="13.2">
      <c r="G1144" s="5"/>
    </row>
    <row r="1145" spans="7:7" ht="13.2">
      <c r="G1145" s="5"/>
    </row>
    <row r="1146" spans="7:7" ht="13.2">
      <c r="G1146" s="5"/>
    </row>
    <row r="1147" spans="7:7" ht="13.2">
      <c r="G1147" s="5"/>
    </row>
    <row r="1148" spans="7:7" ht="13.2">
      <c r="G1148" s="5"/>
    </row>
    <row r="1149" spans="7:7" ht="13.2">
      <c r="G1149" s="5"/>
    </row>
    <row r="1150" spans="7:7" ht="13.2">
      <c r="G1150" s="5"/>
    </row>
    <row r="1151" spans="7:7" ht="13.2">
      <c r="G1151" s="5"/>
    </row>
    <row r="1152" spans="7:7" ht="13.2">
      <c r="G1152" s="5"/>
    </row>
    <row r="1153" spans="7:7" ht="13.2">
      <c r="G1153" s="5"/>
    </row>
    <row r="1154" spans="7:7" ht="13.2">
      <c r="G1154" s="5"/>
    </row>
    <row r="1155" spans="7:7" ht="13.2">
      <c r="G1155" s="5"/>
    </row>
    <row r="1156" spans="7:7" ht="13.2">
      <c r="G1156" s="5"/>
    </row>
    <row r="1157" spans="7:7" ht="13.2">
      <c r="G1157" s="5"/>
    </row>
    <row r="1158" spans="7:7" ht="13.2">
      <c r="G1158" s="5"/>
    </row>
    <row r="1159" spans="7:7" ht="13.2">
      <c r="G1159" s="5"/>
    </row>
    <row r="1160" spans="7:7" ht="13.2">
      <c r="G1160" s="5"/>
    </row>
    <row r="1161" spans="7:7" ht="13.2">
      <c r="G1161" s="5"/>
    </row>
    <row r="1162" spans="7:7" ht="13.2">
      <c r="G1162" s="5"/>
    </row>
    <row r="1163" spans="7:7" ht="13.2">
      <c r="G1163" s="5"/>
    </row>
    <row r="1164" spans="7:7" ht="13.2">
      <c r="G1164" s="5"/>
    </row>
    <row r="1165" spans="7:7" ht="13.2">
      <c r="G1165" s="5"/>
    </row>
    <row r="1166" spans="7:7" ht="13.2">
      <c r="G1166" s="5"/>
    </row>
    <row r="1167" spans="7:7" ht="13.2">
      <c r="G1167" s="5"/>
    </row>
    <row r="1168" spans="7:7" ht="13.2">
      <c r="G1168" s="5"/>
    </row>
    <row r="1169" spans="7:7" ht="13.2">
      <c r="G1169" s="5"/>
    </row>
    <row r="1170" spans="7:7" ht="13.2">
      <c r="G1170" s="5"/>
    </row>
    <row r="1171" spans="7:7" ht="13.2">
      <c r="G1171" s="5"/>
    </row>
    <row r="1172" spans="7:7" ht="13.2">
      <c r="G1172" s="5"/>
    </row>
    <row r="1173" spans="7:7" ht="13.2">
      <c r="G1173" s="5"/>
    </row>
    <row r="1174" spans="7:7" ht="13.2">
      <c r="G1174" s="5"/>
    </row>
    <row r="1175" spans="7:7" ht="13.2">
      <c r="G1175" s="5"/>
    </row>
    <row r="1176" spans="7:7" ht="13.2">
      <c r="G1176" s="5"/>
    </row>
    <row r="1177" spans="7:7" ht="13.2">
      <c r="G1177" s="5"/>
    </row>
    <row r="1178" spans="7:7" ht="13.2">
      <c r="G1178" s="5"/>
    </row>
    <row r="1179" spans="7:7" ht="13.2">
      <c r="G1179" s="5"/>
    </row>
    <row r="1180" spans="7:7" ht="13.2">
      <c r="G1180" s="5"/>
    </row>
    <row r="1181" spans="7:7" ht="13.2">
      <c r="G1181" s="5"/>
    </row>
    <row r="1182" spans="7:7" ht="13.2">
      <c r="G1182" s="5"/>
    </row>
    <row r="1183" spans="7:7" ht="13.2">
      <c r="G1183" s="5"/>
    </row>
    <row r="1184" spans="7:7" ht="13.2">
      <c r="G1184" s="5"/>
    </row>
    <row r="1185" spans="7:7" ht="13.2">
      <c r="G1185" s="5"/>
    </row>
    <row r="1186" spans="7:7" ht="13.2">
      <c r="G1186" s="5"/>
    </row>
    <row r="1187" spans="7:7" ht="13.2">
      <c r="G1187" s="5"/>
    </row>
    <row r="1188" spans="7:7" ht="13.2">
      <c r="G1188" s="5"/>
    </row>
    <row r="1189" spans="7:7" ht="13.2">
      <c r="G1189" s="5"/>
    </row>
    <row r="1190" spans="7:7" ht="13.2">
      <c r="G1190" s="5"/>
    </row>
    <row r="1191" spans="7:7" ht="13.2">
      <c r="G1191" s="5"/>
    </row>
    <row r="1192" spans="7:7" ht="13.2">
      <c r="G1192" s="5"/>
    </row>
    <row r="1193" spans="7:7" ht="13.2">
      <c r="G1193" s="5"/>
    </row>
    <row r="1194" spans="7:7" ht="13.2">
      <c r="G1194" s="5"/>
    </row>
    <row r="1195" spans="7:7" ht="13.2">
      <c r="G1195" s="5"/>
    </row>
    <row r="1196" spans="7:7" ht="13.2">
      <c r="G1196" s="5"/>
    </row>
    <row r="1197" spans="7:7" ht="13.2">
      <c r="G1197" s="5"/>
    </row>
    <row r="1198" spans="7:7" ht="13.2">
      <c r="G1198" s="5"/>
    </row>
    <row r="1199" spans="7:7" ht="13.2">
      <c r="G1199" s="5"/>
    </row>
    <row r="1200" spans="7:7" ht="13.2">
      <c r="G1200" s="5"/>
    </row>
    <row r="1201" spans="7:7" ht="13.2">
      <c r="G1201" s="5"/>
    </row>
    <row r="1202" spans="7:7" ht="13.2">
      <c r="G1202" s="5"/>
    </row>
    <row r="1203" spans="7:7" ht="13.2">
      <c r="G1203" s="5"/>
    </row>
    <row r="1204" spans="7:7" ht="13.2">
      <c r="G1204" s="5"/>
    </row>
    <row r="1205" spans="7:7" ht="13.2">
      <c r="G1205" s="5"/>
    </row>
    <row r="1206" spans="7:7" ht="13.2">
      <c r="G1206" s="5"/>
    </row>
    <row r="1207" spans="7:7" ht="13.2">
      <c r="G1207" s="5"/>
    </row>
    <row r="1208" spans="7:7" ht="13.2">
      <c r="G1208" s="5"/>
    </row>
    <row r="1209" spans="7:7" ht="13.2">
      <c r="G1209" s="5"/>
    </row>
    <row r="1210" spans="7:7" ht="13.2">
      <c r="G1210" s="5"/>
    </row>
    <row r="1211" spans="7:7" ht="13.2">
      <c r="G1211" s="5"/>
    </row>
    <row r="1212" spans="7:7" ht="13.2">
      <c r="G1212" s="5"/>
    </row>
    <row r="1213" spans="7:7" ht="13.2">
      <c r="G1213" s="5"/>
    </row>
    <row r="1214" spans="7:7" ht="13.2">
      <c r="G1214" s="5"/>
    </row>
    <row r="1215" spans="7:7" ht="13.2">
      <c r="G1215" s="5"/>
    </row>
    <row r="1216" spans="7:7" ht="13.2">
      <c r="G1216" s="5"/>
    </row>
    <row r="1217" spans="7:7" ht="13.2">
      <c r="G1217" s="5"/>
    </row>
    <row r="1218" spans="7:7" ht="13.2">
      <c r="G1218" s="5"/>
    </row>
    <row r="1219" spans="7:7" ht="13.2">
      <c r="G1219" s="5"/>
    </row>
    <row r="1220" spans="7:7" ht="13.2">
      <c r="G1220" s="5"/>
    </row>
    <row r="1221" spans="7:7" ht="13.2">
      <c r="G1221" s="5"/>
    </row>
    <row r="1222" spans="7:7" ht="13.2">
      <c r="G1222" s="5"/>
    </row>
    <row r="1223" spans="7:7" ht="13.2">
      <c r="G1223" s="5"/>
    </row>
    <row r="1224" spans="7:7" ht="13.2">
      <c r="G1224" s="5"/>
    </row>
    <row r="1225" spans="7:7" ht="13.2">
      <c r="G1225" s="5"/>
    </row>
    <row r="1226" spans="7:7" ht="13.2">
      <c r="G1226" s="5"/>
    </row>
    <row r="1227" spans="7:7" ht="13.2">
      <c r="G1227" s="5"/>
    </row>
    <row r="1228" spans="7:7" ht="13.2">
      <c r="G1228" s="5"/>
    </row>
    <row r="1229" spans="7:7" ht="13.2">
      <c r="G1229" s="5"/>
    </row>
    <row r="1230" spans="7:7" ht="13.2">
      <c r="G1230" s="5"/>
    </row>
    <row r="1231" spans="7:7" ht="13.2">
      <c r="G1231" s="5"/>
    </row>
    <row r="1232" spans="7:7" ht="13.2">
      <c r="G1232" s="5"/>
    </row>
    <row r="1233" spans="7:7" ht="13.2">
      <c r="G1233" s="5"/>
    </row>
    <row r="1234" spans="7:7" ht="13.2">
      <c r="G1234" s="5"/>
    </row>
    <row r="1235" spans="7:7" ht="13.2">
      <c r="G1235" s="5"/>
    </row>
    <row r="1236" spans="7:7" ht="13.2">
      <c r="G1236" s="5"/>
    </row>
    <row r="1237" spans="7:7" ht="13.2">
      <c r="G1237" s="5"/>
    </row>
    <row r="1238" spans="7:7" ht="13.2">
      <c r="G1238" s="5"/>
    </row>
    <row r="1239" spans="7:7" ht="13.2">
      <c r="G1239" s="5"/>
    </row>
    <row r="1240" spans="7:7" ht="13.2">
      <c r="G1240" s="5"/>
    </row>
    <row r="1241" spans="7:7" ht="13.2">
      <c r="G1241" s="5"/>
    </row>
    <row r="1242" spans="7:7" ht="13.2">
      <c r="G1242" s="5"/>
    </row>
    <row r="1243" spans="7:7" ht="13.2">
      <c r="G1243" s="5"/>
    </row>
    <row r="1244" spans="7:7" ht="13.2">
      <c r="G1244" s="5"/>
    </row>
    <row r="1245" spans="7:7" ht="13.2">
      <c r="G1245" s="5"/>
    </row>
    <row r="1246" spans="7:7" ht="13.2">
      <c r="G1246" s="5"/>
    </row>
    <row r="1247" spans="7:7" ht="13.2">
      <c r="G1247" s="5"/>
    </row>
    <row r="1248" spans="7:7" ht="13.2">
      <c r="G1248" s="5"/>
    </row>
    <row r="1249" spans="7:7" ht="13.2">
      <c r="G1249" s="5"/>
    </row>
    <row r="1250" spans="7:7" ht="13.2">
      <c r="G1250" s="5"/>
    </row>
    <row r="1251" spans="7:7" ht="13.2">
      <c r="G1251" s="5"/>
    </row>
    <row r="1252" spans="7:7" ht="13.2">
      <c r="G1252" s="5"/>
    </row>
    <row r="1253" spans="7:7" ht="13.2">
      <c r="G1253" s="5"/>
    </row>
    <row r="1254" spans="7:7" ht="13.2">
      <c r="G1254" s="5"/>
    </row>
    <row r="1255" spans="7:7" ht="13.2">
      <c r="G1255" s="5"/>
    </row>
    <row r="1256" spans="7:7" ht="13.2">
      <c r="G1256" s="5"/>
    </row>
    <row r="1257" spans="7:7" ht="13.2">
      <c r="G1257" s="5"/>
    </row>
    <row r="1258" spans="7:7" ht="13.2">
      <c r="G1258" s="5"/>
    </row>
    <row r="1259" spans="7:7" ht="13.2">
      <c r="G1259" s="5"/>
    </row>
    <row r="1260" spans="7:7" ht="13.2">
      <c r="G1260" s="5"/>
    </row>
    <row r="1261" spans="7:7" ht="13.2">
      <c r="G1261" s="5"/>
    </row>
    <row r="1262" spans="7:7" ht="13.2">
      <c r="G1262" s="5"/>
    </row>
    <row r="1263" spans="7:7" ht="13.2">
      <c r="G1263" s="5"/>
    </row>
    <row r="1264" spans="7:7" ht="13.2">
      <c r="G1264" s="5"/>
    </row>
    <row r="1265" spans="7:7" ht="13.2">
      <c r="G1265" s="5"/>
    </row>
    <row r="1266" spans="7:7" ht="13.2">
      <c r="G1266" s="5"/>
    </row>
    <row r="1267" spans="7:7" ht="13.2">
      <c r="G1267" s="5"/>
    </row>
    <row r="1268" spans="7:7" ht="13.2">
      <c r="G1268" s="5"/>
    </row>
    <row r="1269" spans="7:7" ht="13.2">
      <c r="G1269" s="5"/>
    </row>
    <row r="1270" spans="7:7" ht="13.2">
      <c r="G1270" s="5"/>
    </row>
    <row r="1271" spans="7:7" ht="13.2">
      <c r="G1271" s="5"/>
    </row>
    <row r="1272" spans="7:7" ht="13.2">
      <c r="G1272" s="5"/>
    </row>
    <row r="1273" spans="7:7" ht="13.2">
      <c r="G1273" s="5"/>
    </row>
    <row r="1274" spans="7:7" ht="13.2">
      <c r="G1274" s="5"/>
    </row>
    <row r="1275" spans="7:7" ht="13.2">
      <c r="G1275" s="5"/>
    </row>
    <row r="1276" spans="7:7" ht="13.2">
      <c r="G1276" s="5"/>
    </row>
    <row r="1277" spans="7:7" ht="13.2">
      <c r="G1277" s="5"/>
    </row>
    <row r="1278" spans="7:7" ht="13.2">
      <c r="G1278" s="5"/>
    </row>
    <row r="1279" spans="7:7" ht="13.2">
      <c r="G1279" s="5"/>
    </row>
    <row r="1280" spans="7:7" ht="13.2">
      <c r="G1280" s="5"/>
    </row>
    <row r="1281" spans="7:7" ht="13.2">
      <c r="G1281" s="5"/>
    </row>
    <row r="1282" spans="7:7" ht="13.2">
      <c r="G1282" s="5"/>
    </row>
    <row r="1283" spans="7:7" ht="13.2">
      <c r="G1283" s="5"/>
    </row>
    <row r="1284" spans="7:7" ht="13.2">
      <c r="G1284" s="5"/>
    </row>
    <row r="1285" spans="7:7" ht="13.2">
      <c r="G1285" s="5"/>
    </row>
    <row r="1286" spans="7:7" ht="13.2">
      <c r="G1286" s="5"/>
    </row>
    <row r="1287" spans="7:7" ht="13.2">
      <c r="G1287" s="5"/>
    </row>
    <row r="1288" spans="7:7" ht="13.2">
      <c r="G1288"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D9A93-F6D1-4F28-9570-CFCB8AE49857}">
  <sheetPr>
    <outlinePr summaryBelow="0" summaryRight="0"/>
  </sheetPr>
  <dimension ref="A1:AS1288"/>
  <sheetViews>
    <sheetView workbookViewId="0">
      <pane ySplit="1" topLeftCell="A336" activePane="bottomLeft" state="frozen"/>
      <selection pane="bottomLeft" activeCell="C352" sqref="C352"/>
    </sheetView>
  </sheetViews>
  <sheetFormatPr baseColWidth="10" defaultColWidth="12.6640625" defaultRowHeight="15.75" customHeight="1"/>
  <cols>
    <col min="1" max="1" width="25.21875" customWidth="1"/>
    <col min="5" max="5" width="28.88671875" customWidth="1"/>
    <col min="14" max="14" width="19.33203125" bestFit="1" customWidth="1"/>
  </cols>
  <sheetData>
    <row r="1" spans="1:45" ht="15.75" customHeight="1">
      <c r="A1" s="1" t="s">
        <v>419</v>
      </c>
      <c r="B1" s="1" t="s">
        <v>420</v>
      </c>
      <c r="C1" s="1" t="s">
        <v>421</v>
      </c>
      <c r="D1" s="1" t="s">
        <v>422</v>
      </c>
      <c r="E1" s="1" t="s">
        <v>423</v>
      </c>
      <c r="F1" s="1" t="s">
        <v>424</v>
      </c>
      <c r="G1" s="1" t="s">
        <v>425</v>
      </c>
      <c r="H1" s="1" t="s">
        <v>426</v>
      </c>
      <c r="I1" s="1" t="s">
        <v>427</v>
      </c>
      <c r="J1" s="1" t="s">
        <v>428</v>
      </c>
      <c r="K1" s="1" t="s">
        <v>429</v>
      </c>
      <c r="L1" s="1" t="s">
        <v>430</v>
      </c>
      <c r="M1" s="1" t="s">
        <v>431</v>
      </c>
      <c r="N1" t="s">
        <v>2028</v>
      </c>
      <c r="O1" s="3" t="s">
        <v>432</v>
      </c>
      <c r="P1" s="3" t="s">
        <v>433</v>
      </c>
      <c r="Q1" s="3" t="s">
        <v>434</v>
      </c>
      <c r="R1" s="3" t="s">
        <v>435</v>
      </c>
      <c r="S1" s="3" t="s">
        <v>436</v>
      </c>
      <c r="T1" s="3" t="s">
        <v>437</v>
      </c>
      <c r="U1" s="3" t="s">
        <v>438</v>
      </c>
      <c r="V1" s="3" t="s">
        <v>439</v>
      </c>
      <c r="W1" s="3" t="s">
        <v>440</v>
      </c>
      <c r="X1" s="3" t="s">
        <v>441</v>
      </c>
      <c r="Y1" s="3" t="s">
        <v>442</v>
      </c>
      <c r="Z1" s="3" t="s">
        <v>443</v>
      </c>
      <c r="AA1" s="3" t="s">
        <v>444</v>
      </c>
      <c r="AB1" s="3" t="s">
        <v>445</v>
      </c>
      <c r="AC1" s="3" t="s">
        <v>446</v>
      </c>
      <c r="AD1" s="3" t="s">
        <v>447</v>
      </c>
      <c r="AE1" s="3" t="s">
        <v>448</v>
      </c>
      <c r="AF1" s="3" t="s">
        <v>449</v>
      </c>
      <c r="AG1" s="3" t="s">
        <v>450</v>
      </c>
      <c r="AH1" s="3" t="s">
        <v>451</v>
      </c>
      <c r="AI1" s="3" t="s">
        <v>452</v>
      </c>
      <c r="AJ1" s="3" t="s">
        <v>453</v>
      </c>
      <c r="AK1" s="3" t="s">
        <v>454</v>
      </c>
      <c r="AL1" s="3" t="s">
        <v>455</v>
      </c>
      <c r="AM1" s="3" t="s">
        <v>456</v>
      </c>
      <c r="AN1" s="3" t="s">
        <v>457</v>
      </c>
      <c r="AO1" s="3" t="s">
        <v>458</v>
      </c>
      <c r="AP1" s="1" t="s">
        <v>459</v>
      </c>
      <c r="AS1" s="3"/>
    </row>
    <row r="2" spans="1:45" ht="15.75" customHeight="1">
      <c r="A2" s="4" t="s">
        <v>460</v>
      </c>
      <c r="B2" s="4" t="s">
        <v>461</v>
      </c>
      <c r="C2" s="4" t="s">
        <v>462</v>
      </c>
      <c r="D2" s="5" t="s">
        <v>463</v>
      </c>
      <c r="E2" s="3" t="s">
        <v>464</v>
      </c>
      <c r="F2" s="4" t="s">
        <v>465</v>
      </c>
      <c r="H2" s="4" t="s">
        <v>466</v>
      </c>
      <c r="I2" s="1" t="s">
        <v>467</v>
      </c>
      <c r="K2" s="1" t="s">
        <v>468</v>
      </c>
      <c r="M2" s="3" t="s">
        <v>469</v>
      </c>
      <c r="N2" s="3" t="str" cm="1">
        <f t="array" ref="N2">IF(ISNA(INDEX(O2:AP2,MATCH(FALSE,ISBLANK(O2:AP2),0))),"",INDEX(O2:AP2,MATCH(FALSE,ISBLANK(O2:AP2),0)))</f>
        <v>body mass</v>
      </c>
      <c r="O2" s="3" t="s">
        <v>469</v>
      </c>
      <c r="P2" s="1" t="s">
        <v>469</v>
      </c>
      <c r="T2" s="3" t="s">
        <v>469</v>
      </c>
      <c r="U2" s="1" t="s">
        <v>470</v>
      </c>
      <c r="V2" s="3" t="s">
        <v>469</v>
      </c>
      <c r="W2" s="1" t="s">
        <v>469</v>
      </c>
      <c r="Y2" s="1" t="s">
        <v>470</v>
      </c>
      <c r="Z2" s="1" t="s">
        <v>471</v>
      </c>
      <c r="AB2" s="1" t="s">
        <v>472</v>
      </c>
      <c r="AC2" s="1" t="s">
        <v>469</v>
      </c>
      <c r="AD2" s="3" t="s">
        <v>469</v>
      </c>
      <c r="AE2" s="1" t="s">
        <v>473</v>
      </c>
      <c r="AI2" s="1" t="s">
        <v>469</v>
      </c>
      <c r="AN2" s="1" t="s">
        <v>469</v>
      </c>
      <c r="AO2" s="3" t="s">
        <v>474</v>
      </c>
      <c r="AP2" s="3" t="s">
        <v>474</v>
      </c>
      <c r="AQ2" s="1"/>
    </row>
    <row r="3" spans="1:45" ht="15.75" customHeight="1">
      <c r="A3" s="4" t="s">
        <v>460</v>
      </c>
      <c r="B3" s="4" t="s">
        <v>461</v>
      </c>
      <c r="C3" s="4"/>
      <c r="D3" s="5"/>
      <c r="E3" s="3"/>
      <c r="F3" s="4"/>
      <c r="H3" s="4"/>
      <c r="M3" s="3"/>
      <c r="N3" s="3" t="str" cm="1">
        <f t="array" ref="N3">IF(ISNA(INDEX(O3:AP3,MATCH(FALSE,ISBLANK(O3:AP3),0))),"",INDEX(O3:AP3,MATCH(FALSE,ISBLANK(O3:AP3),0)))</f>
        <v>biomass</v>
      </c>
      <c r="O3" s="3"/>
      <c r="P3" s="1"/>
      <c r="T3" s="3"/>
      <c r="U3" s="1"/>
      <c r="V3" s="3"/>
      <c r="W3" s="1"/>
      <c r="Y3" s="1"/>
      <c r="Z3" s="1"/>
      <c r="AB3" s="1"/>
      <c r="AC3" s="1"/>
      <c r="AD3" s="3"/>
      <c r="AE3" s="1"/>
      <c r="AI3" s="1"/>
      <c r="AM3" s="1" t="s">
        <v>475</v>
      </c>
    </row>
    <row r="4" spans="1:45" ht="15.75" customHeight="1">
      <c r="A4" s="4" t="s">
        <v>460</v>
      </c>
      <c r="B4" s="4" t="s">
        <v>461</v>
      </c>
      <c r="C4" s="4"/>
      <c r="D4" s="5"/>
      <c r="E4" s="3"/>
      <c r="F4" s="4"/>
      <c r="H4" s="4" t="s">
        <v>476</v>
      </c>
      <c r="L4" s="1" t="s">
        <v>477</v>
      </c>
      <c r="N4" s="3" t="str" cm="1">
        <f t="array" ref="N4">IF(ISNA(INDEX(O4:AP4,MATCH(FALSE,ISBLANK(O4:AP4),0))),"",INDEX(O4:AP4,MATCH(FALSE,ISBLANK(O4:AP4),0)))</f>
        <v/>
      </c>
      <c r="O4" s="3"/>
      <c r="W4" s="3"/>
    </row>
    <row r="5" spans="1:45" ht="15.75" customHeight="1">
      <c r="A5" s="4" t="s">
        <v>460</v>
      </c>
      <c r="B5" s="4" t="s">
        <v>461</v>
      </c>
      <c r="C5" s="4"/>
      <c r="D5" s="5"/>
      <c r="E5" s="3"/>
      <c r="F5" s="4"/>
      <c r="H5" s="4" t="s">
        <v>478</v>
      </c>
      <c r="N5" s="3" t="str" cm="1">
        <f t="array" ref="N5">IF(ISNA(INDEX(O5:AP5,MATCH(FALSE,ISBLANK(O5:AP5),0))),"",INDEX(O5:AP5,MATCH(FALSE,ISBLANK(O5:AP5),0)))</f>
        <v/>
      </c>
      <c r="W5" s="3"/>
      <c r="AQ5" s="19"/>
    </row>
    <row r="6" spans="1:45" ht="15.75" customHeight="1">
      <c r="A6" s="4" t="s">
        <v>460</v>
      </c>
      <c r="B6" s="4" t="s">
        <v>461</v>
      </c>
      <c r="C6" s="4"/>
      <c r="D6" s="5"/>
      <c r="E6" s="3"/>
      <c r="F6" s="4"/>
      <c r="H6" s="4" t="s">
        <v>479</v>
      </c>
      <c r="N6" s="3" t="str" cm="1">
        <f t="array" ref="N6">IF(ISNA(INDEX(O6:AP6,MATCH(FALSE,ISBLANK(O6:AP6),0))),"",INDEX(O6:AP6,MATCH(FALSE,ISBLANK(O6:AP6),0)))</f>
        <v/>
      </c>
      <c r="W6" s="3"/>
      <c r="AQ6" s="19"/>
    </row>
    <row r="7" spans="1:45" ht="15.75" customHeight="1">
      <c r="A7" s="4" t="s">
        <v>460</v>
      </c>
      <c r="B7" s="4" t="s">
        <v>461</v>
      </c>
      <c r="C7" s="4"/>
      <c r="D7" s="5"/>
      <c r="E7" s="3"/>
      <c r="F7" s="4"/>
      <c r="H7" s="4"/>
      <c r="M7" s="3" t="s">
        <v>480</v>
      </c>
      <c r="N7" s="3" t="str" cm="1">
        <f t="array" ref="N7">IF(ISNA(INDEX(O7:AP7,MATCH(FALSE,ISBLANK(O7:AP7),0))),"",INDEX(O7:AP7,MATCH(FALSE,ISBLANK(O7:AP7),0)))</f>
        <v/>
      </c>
      <c r="W7" s="3"/>
      <c r="AQ7" s="19"/>
    </row>
    <row r="8" spans="1:45" ht="15.75" customHeight="1">
      <c r="A8" s="4" t="s">
        <v>460</v>
      </c>
      <c r="B8" s="4" t="s">
        <v>461</v>
      </c>
      <c r="C8" s="4" t="s">
        <v>481</v>
      </c>
      <c r="D8" s="5" t="s">
        <v>482</v>
      </c>
      <c r="E8" s="3" t="s">
        <v>483</v>
      </c>
      <c r="H8" s="4" t="s">
        <v>484</v>
      </c>
      <c r="I8" s="1" t="s">
        <v>485</v>
      </c>
      <c r="N8" s="3" t="str" cm="1">
        <f t="array" ref="N8">IF(ISNA(INDEX(O8:AP8,MATCH(FALSE,ISBLANK(O8:AP8),0))),"",INDEX(O8:AP8,MATCH(FALSE,ISBLANK(O8:AP8),0)))</f>
        <v>TL = Total length</v>
      </c>
      <c r="X8" s="1" t="s">
        <v>486</v>
      </c>
      <c r="AM8" s="1" t="s">
        <v>487</v>
      </c>
      <c r="AQ8" s="19"/>
    </row>
    <row r="9" spans="1:45" ht="15.75" customHeight="1">
      <c r="A9" s="4" t="s">
        <v>460</v>
      </c>
      <c r="B9" s="4" t="s">
        <v>461</v>
      </c>
      <c r="C9" s="4"/>
      <c r="D9" s="5"/>
      <c r="E9" s="3"/>
      <c r="H9" s="4" t="s">
        <v>488</v>
      </c>
      <c r="N9" s="3" t="str" cm="1">
        <f t="array" ref="N9">IF(ISNA(INDEX(O9:AP9,MATCH(FALSE,ISBLANK(O9:AP9),0))),"",INDEX(O9:AP9,MATCH(FALSE,ISBLANK(O9:AP9),0)))</f>
        <v/>
      </c>
      <c r="AQ9" s="19"/>
    </row>
    <row r="10" spans="1:45" ht="15.75" customHeight="1">
      <c r="A10" s="4" t="s">
        <v>460</v>
      </c>
      <c r="B10" s="4" t="s">
        <v>461</v>
      </c>
      <c r="C10" s="4"/>
      <c r="D10" s="5"/>
      <c r="E10" s="3" t="s">
        <v>489</v>
      </c>
      <c r="N10" s="3" t="str" cm="1">
        <f t="array" ref="N10">IF(ISNA(INDEX(O10:AP10,MATCH(FALSE,ISBLANK(O10:AP10),0))),"",INDEX(O10:AP10,MATCH(FALSE,ISBLANK(O10:AP10),0)))</f>
        <v/>
      </c>
      <c r="AP10" s="3"/>
      <c r="AQ10" s="19"/>
    </row>
    <row r="11" spans="1:45" ht="15.75" customHeight="1">
      <c r="A11" s="4" t="s">
        <v>460</v>
      </c>
      <c r="B11" s="4" t="s">
        <v>461</v>
      </c>
      <c r="C11" s="4"/>
      <c r="D11" s="5"/>
      <c r="E11" s="3"/>
      <c r="H11" s="4" t="s">
        <v>490</v>
      </c>
      <c r="I11" s="4"/>
      <c r="N11" s="3" t="str" cm="1">
        <f t="array" ref="N11">IF(ISNA(INDEX(O11:AP11,MATCH(FALSE,ISBLANK(O11:AP11),0))),"",INDEX(O11:AP11,MATCH(FALSE,ISBLANK(O11:AP11),0)))</f>
        <v/>
      </c>
      <c r="AQ11" s="19"/>
    </row>
    <row r="12" spans="1:45" ht="15.75" customHeight="1">
      <c r="A12" s="4" t="s">
        <v>460</v>
      </c>
      <c r="B12" s="4" t="s">
        <v>461</v>
      </c>
      <c r="C12" s="4"/>
      <c r="D12" s="5"/>
      <c r="E12" s="3"/>
      <c r="H12" s="4" t="s">
        <v>491</v>
      </c>
      <c r="I12" s="4"/>
      <c r="N12" s="3" t="str" cm="1">
        <f t="array" ref="N12">IF(ISNA(INDEX(O12:AP12,MATCH(FALSE,ISBLANK(O12:AP12),0))),"",INDEX(O12:AP12,MATCH(FALSE,ISBLANK(O12:AP12),0)))</f>
        <v/>
      </c>
      <c r="AQ12" s="19"/>
    </row>
    <row r="13" spans="1:45" ht="15.75" customHeight="1">
      <c r="A13" s="4" t="s">
        <v>460</v>
      </c>
      <c r="B13" s="4" t="s">
        <v>461</v>
      </c>
      <c r="C13" s="4" t="s">
        <v>492</v>
      </c>
      <c r="D13" s="5" t="s">
        <v>493</v>
      </c>
      <c r="E13" s="3" t="s">
        <v>494</v>
      </c>
      <c r="F13" s="4" t="s">
        <v>495</v>
      </c>
      <c r="I13" s="1" t="s">
        <v>496</v>
      </c>
      <c r="N13" s="3" t="str" cm="1">
        <f t="array" ref="N13">IF(ISNA(INDEX(O13:AP13,MATCH(FALSE,ISBLANK(O13:AP13),0))),"",INDEX(O13:AP13,MATCH(FALSE,ISBLANK(O13:AP13),0)))</f>
        <v>forearm length</v>
      </c>
      <c r="Q13" s="3" t="s">
        <v>497</v>
      </c>
      <c r="V13" s="3" t="s">
        <v>498</v>
      </c>
      <c r="W13" s="1" t="s">
        <v>497</v>
      </c>
      <c r="X13" s="3" t="s">
        <v>499</v>
      </c>
      <c r="Y13" s="1" t="s">
        <v>497</v>
      </c>
      <c r="Z13" s="3" t="s">
        <v>497</v>
      </c>
      <c r="AA13" s="1" t="s">
        <v>497</v>
      </c>
      <c r="AB13" s="3" t="s">
        <v>500</v>
      </c>
      <c r="AE13" s="1" t="s">
        <v>492</v>
      </c>
      <c r="AF13" s="1" t="s">
        <v>497</v>
      </c>
      <c r="AH13" s="6" t="s">
        <v>497</v>
      </c>
      <c r="AI13" s="3" t="s">
        <v>497</v>
      </c>
      <c r="AM13" s="1" t="s">
        <v>497</v>
      </c>
      <c r="AN13" s="1" t="s">
        <v>497</v>
      </c>
      <c r="AO13" s="1" t="s">
        <v>461</v>
      </c>
      <c r="AQ13" s="19"/>
    </row>
    <row r="14" spans="1:45" ht="15.75" customHeight="1">
      <c r="A14" s="4" t="s">
        <v>460</v>
      </c>
      <c r="B14" s="4" t="s">
        <v>461</v>
      </c>
      <c r="C14" s="4"/>
      <c r="D14" s="5"/>
      <c r="E14" s="3" t="s">
        <v>501</v>
      </c>
      <c r="N14" s="3" t="str" cm="1">
        <f t="array" ref="N14">IF(ISNA(INDEX(O14:AP14,MATCH(FALSE,ISBLANK(O14:AP14),0))),"",INDEX(O14:AP14,MATCH(FALSE,ISBLANK(O14:AP14),0)))</f>
        <v/>
      </c>
      <c r="AQ14" s="19"/>
    </row>
    <row r="15" spans="1:45" ht="15.75" customHeight="1">
      <c r="A15" s="4" t="s">
        <v>460</v>
      </c>
      <c r="B15" s="4" t="s">
        <v>502</v>
      </c>
      <c r="C15" s="4" t="s">
        <v>503</v>
      </c>
      <c r="D15" s="3"/>
      <c r="F15" s="4" t="s">
        <v>504</v>
      </c>
      <c r="N15" s="3" t="str" cm="1">
        <f t="array" ref="N15">IF(ISNA(INDEX(O15:AP15,MATCH(FALSE,ISBLANK(O15:AP15),0))),"",INDEX(O15:AP15,MATCH(FALSE,ISBLANK(O15:AP15),0)))</f>
        <v/>
      </c>
      <c r="AQ15" s="19"/>
    </row>
    <row r="16" spans="1:45" ht="15.75" customHeight="1">
      <c r="A16" s="4" t="s">
        <v>460</v>
      </c>
      <c r="B16" s="4" t="s">
        <v>502</v>
      </c>
      <c r="C16" s="4" t="s">
        <v>505</v>
      </c>
      <c r="D16" s="3"/>
      <c r="F16" s="4" t="s">
        <v>506</v>
      </c>
      <c r="N16" s="3" t="str" cm="1">
        <f t="array" ref="N16">IF(ISNA(INDEX(O16:AP16,MATCH(FALSE,ISBLANK(O16:AP16),0))),"",INDEX(O16:AP16,MATCH(FALSE,ISBLANK(O16:AP16),0)))</f>
        <v/>
      </c>
      <c r="AQ16" s="19"/>
    </row>
    <row r="17" spans="1:43" ht="15.75" customHeight="1">
      <c r="A17" s="4" t="s">
        <v>460</v>
      </c>
      <c r="B17" s="4" t="s">
        <v>502</v>
      </c>
      <c r="C17" s="4" t="s">
        <v>507</v>
      </c>
      <c r="D17" s="3"/>
      <c r="E17" s="3" t="s">
        <v>508</v>
      </c>
      <c r="F17" s="4" t="s">
        <v>509</v>
      </c>
      <c r="G17" s="1" t="s">
        <v>510</v>
      </c>
      <c r="N17" s="3" t="str" cm="1">
        <f t="array" ref="N17">IF(ISNA(INDEX(O17:AP17,MATCH(FALSE,ISBLANK(O17:AP17),0))),"",INDEX(O17:AP17,MATCH(FALSE,ISBLANK(O17:AP17),0)))</f>
        <v>wing loading</v>
      </c>
      <c r="U17" s="1" t="s">
        <v>511</v>
      </c>
      <c r="V17" s="3" t="s">
        <v>512</v>
      </c>
      <c r="W17" s="4" t="s">
        <v>511</v>
      </c>
      <c r="Y17" s="3" t="s">
        <v>511</v>
      </c>
      <c r="AB17" s="1" t="s">
        <v>511</v>
      </c>
      <c r="AE17" s="1" t="s">
        <v>507</v>
      </c>
      <c r="AI17" s="3" t="s">
        <v>513</v>
      </c>
      <c r="AK17" s="6" t="s">
        <v>511</v>
      </c>
      <c r="AN17" s="1" t="s">
        <v>511</v>
      </c>
      <c r="AO17" s="1" t="s">
        <v>511</v>
      </c>
      <c r="AQ17" s="19"/>
    </row>
    <row r="18" spans="1:43" ht="15.75" customHeight="1">
      <c r="A18" s="4" t="s">
        <v>460</v>
      </c>
      <c r="B18" s="4" t="s">
        <v>502</v>
      </c>
      <c r="C18" s="4"/>
      <c r="D18" s="3"/>
      <c r="E18" s="3"/>
      <c r="F18" s="4"/>
      <c r="G18" s="1" t="s">
        <v>514</v>
      </c>
      <c r="N18" s="3" t="str" cm="1">
        <f t="array" ref="N18">IF(ISNA(INDEX(O18:AP18,MATCH(FALSE,ISBLANK(O18:AP18),0))),"",INDEX(O18:AP18,MATCH(FALSE,ISBLANK(O18:AP18),0)))</f>
        <v/>
      </c>
      <c r="AQ18" s="19"/>
    </row>
    <row r="19" spans="1:43" ht="15.75" customHeight="1">
      <c r="A19" s="4" t="s">
        <v>460</v>
      </c>
      <c r="B19" s="4" t="s">
        <v>502</v>
      </c>
      <c r="C19" s="4"/>
      <c r="D19" s="3"/>
      <c r="E19" s="3"/>
      <c r="F19" s="4"/>
      <c r="G19" s="1" t="s">
        <v>515</v>
      </c>
      <c r="N19" s="3" t="str" cm="1">
        <f t="array" ref="N19">IF(ISNA(INDEX(O19:AP19,MATCH(FALSE,ISBLANK(O19:AP19),0))),"",INDEX(O19:AP19,MATCH(FALSE,ISBLANK(O19:AP19),0)))</f>
        <v>relative wing loading</v>
      </c>
      <c r="T19" s="1" t="s">
        <v>516</v>
      </c>
      <c r="AA19" s="1" t="s">
        <v>516</v>
      </c>
      <c r="AD19" s="1" t="s">
        <v>516</v>
      </c>
      <c r="AQ19" s="19"/>
    </row>
    <row r="20" spans="1:43" ht="15.75" customHeight="1">
      <c r="A20" s="4" t="s">
        <v>460</v>
      </c>
      <c r="B20" s="4" t="s">
        <v>502</v>
      </c>
      <c r="C20" s="4"/>
      <c r="D20" s="3"/>
      <c r="E20" s="3"/>
      <c r="F20" s="4"/>
      <c r="G20" s="1" t="s">
        <v>517</v>
      </c>
      <c r="N20" s="3" t="str" cm="1">
        <f t="array" ref="N20">IF(ISNA(INDEX(O20:AP20,MATCH(FALSE,ISBLANK(O20:AP20),0))),"",INDEX(O20:AP20,MATCH(FALSE,ISBLANK(O20:AP20),0)))</f>
        <v/>
      </c>
      <c r="AQ20" s="19"/>
    </row>
    <row r="21" spans="1:43" ht="15.75" customHeight="1">
      <c r="A21" s="4" t="s">
        <v>460</v>
      </c>
      <c r="B21" s="4" t="s">
        <v>502</v>
      </c>
      <c r="C21" s="4" t="s">
        <v>518</v>
      </c>
      <c r="D21" s="3"/>
      <c r="E21" s="3" t="s">
        <v>519</v>
      </c>
      <c r="F21" s="4" t="s">
        <v>520</v>
      </c>
      <c r="G21" s="1" t="s">
        <v>521</v>
      </c>
      <c r="N21" s="3" t="str" cm="1">
        <f t="array" ref="N21">IF(ISNA(INDEX(O21:AP21,MATCH(FALSE,ISBLANK(O21:AP21),0))),"",INDEX(O21:AP21,MATCH(FALSE,ISBLANK(O21:AP21),0)))</f>
        <v>aspect ratio</v>
      </c>
      <c r="O21" s="1" t="s">
        <v>522</v>
      </c>
      <c r="T21" s="1" t="s">
        <v>522</v>
      </c>
      <c r="U21" s="1" t="s">
        <v>522</v>
      </c>
      <c r="V21" s="3" t="s">
        <v>518</v>
      </c>
      <c r="W21" s="4" t="s">
        <v>523</v>
      </c>
      <c r="Y21" s="3" t="s">
        <v>518</v>
      </c>
      <c r="AA21" s="1" t="s">
        <v>523</v>
      </c>
      <c r="AB21" s="1" t="s">
        <v>522</v>
      </c>
      <c r="AD21" s="1" t="s">
        <v>522</v>
      </c>
      <c r="AE21" s="1" t="s">
        <v>518</v>
      </c>
      <c r="AI21" s="1" t="s">
        <v>524</v>
      </c>
      <c r="AK21" s="1" t="s">
        <v>522</v>
      </c>
      <c r="AN21" s="1" t="s">
        <v>523</v>
      </c>
      <c r="AO21" s="1" t="s">
        <v>522</v>
      </c>
      <c r="AP21" s="1" t="s">
        <v>525</v>
      </c>
      <c r="AQ21" s="19"/>
    </row>
    <row r="22" spans="1:43" ht="15.75" customHeight="1">
      <c r="A22" s="4" t="s">
        <v>460</v>
      </c>
      <c r="B22" s="4" t="s">
        <v>502</v>
      </c>
      <c r="D22" s="3"/>
      <c r="G22" s="1" t="s">
        <v>526</v>
      </c>
      <c r="N22" s="3" t="str" cm="1">
        <f t="array" ref="N22">IF(ISNA(INDEX(O22:AP22,MATCH(FALSE,ISBLANK(O22:AP22),0))),"",INDEX(O22:AP22,MATCH(FALSE,ISBLANK(O22:AP22),0)))</f>
        <v/>
      </c>
      <c r="AQ22" s="19"/>
    </row>
    <row r="23" spans="1:43" ht="15.75" customHeight="1">
      <c r="A23" s="4" t="s">
        <v>460</v>
      </c>
      <c r="B23" s="4" t="s">
        <v>502</v>
      </c>
      <c r="C23" s="4" t="s">
        <v>527</v>
      </c>
      <c r="D23" s="3"/>
      <c r="G23" s="1"/>
      <c r="N23" s="3" t="str" cm="1">
        <f t="array" ref="N23">IF(ISNA(INDEX(O23:AP23,MATCH(FALSE,ISBLANK(O23:AP23),0))),"",INDEX(O23:AP23,MATCH(FALSE,ISBLANK(O23:AP23),0)))</f>
        <v>wingtip shape index</v>
      </c>
      <c r="AK23" s="1" t="s">
        <v>528</v>
      </c>
      <c r="AQ23" s="19"/>
    </row>
    <row r="24" spans="1:43" ht="15.75" customHeight="1">
      <c r="A24" s="4" t="s">
        <v>460</v>
      </c>
      <c r="B24" s="4" t="s">
        <v>502</v>
      </c>
      <c r="C24" s="4" t="s">
        <v>529</v>
      </c>
      <c r="D24" s="3"/>
      <c r="E24" s="3" t="s">
        <v>530</v>
      </c>
      <c r="G24" s="1" t="s">
        <v>531</v>
      </c>
      <c r="N24" s="3" t="str" cm="1">
        <f t="array" ref="N24">IF(ISNA(INDEX(O24:AP24,MATCH(FALSE,ISBLANK(O24:AP24),0))),"",INDEX(O24:AP24,MATCH(FALSE,ISBLANK(O24:AP24),0)))</f>
        <v>wingspan</v>
      </c>
      <c r="AB24" s="3" t="s">
        <v>531</v>
      </c>
      <c r="AQ24" s="19"/>
    </row>
    <row r="25" spans="1:43" ht="15.75" customHeight="1">
      <c r="A25" s="4" t="s">
        <v>460</v>
      </c>
      <c r="B25" s="4" t="s">
        <v>502</v>
      </c>
      <c r="C25" s="4"/>
      <c r="D25" s="3"/>
      <c r="E25" s="3" t="s">
        <v>532</v>
      </c>
      <c r="N25" s="3" t="str" cm="1">
        <f t="array" ref="N25">IF(ISNA(INDEX(O25:AP25,MATCH(FALSE,ISBLANK(O25:AP25),0))),"",INDEX(O25:AP25,MATCH(FALSE,ISBLANK(O25:AP25),0)))</f>
        <v/>
      </c>
      <c r="AQ25" s="19"/>
    </row>
    <row r="26" spans="1:43" ht="15.75" customHeight="1">
      <c r="A26" s="4" t="s">
        <v>460</v>
      </c>
      <c r="B26" s="4" t="s">
        <v>502</v>
      </c>
      <c r="C26" s="4"/>
      <c r="D26" s="3"/>
      <c r="E26" s="3" t="s">
        <v>533</v>
      </c>
      <c r="G26" s="1" t="s">
        <v>534</v>
      </c>
      <c r="N26" s="3" t="str" cm="1">
        <f t="array" ref="N26">IF(ISNA(INDEX(O26:AP26,MATCH(FALSE,ISBLANK(O26:AP26),0))),"",INDEX(O26:AP26,MATCH(FALSE,ISBLANK(O26:AP26),0)))</f>
        <v>total wing area</v>
      </c>
      <c r="AB26" s="3" t="s">
        <v>535</v>
      </c>
      <c r="AQ26" s="19"/>
    </row>
    <row r="27" spans="1:43" ht="15.75" customHeight="1">
      <c r="A27" s="4" t="s">
        <v>460</v>
      </c>
      <c r="B27" s="4" t="s">
        <v>502</v>
      </c>
      <c r="C27" s="4"/>
      <c r="D27" s="3"/>
      <c r="E27" s="3"/>
      <c r="G27" s="1" t="s">
        <v>536</v>
      </c>
      <c r="N27" s="3" t="str" cm="1">
        <f t="array" ref="N27">IF(ISNA(INDEX(O27:AP27,MATCH(FALSE,ISBLANK(O27:AP27),0))),"",INDEX(O27:AP27,MATCH(FALSE,ISBLANK(O27:AP27),0)))</f>
        <v/>
      </c>
      <c r="AQ27" s="19"/>
    </row>
    <row r="28" spans="1:43" ht="15.75" customHeight="1">
      <c r="A28" s="4" t="s">
        <v>460</v>
      </c>
      <c r="B28" s="4" t="s">
        <v>502</v>
      </c>
      <c r="C28" s="4"/>
      <c r="D28" s="3"/>
      <c r="E28" s="3"/>
      <c r="G28" s="1" t="s">
        <v>537</v>
      </c>
      <c r="N28" s="3" t="str" cm="1">
        <f t="array" ref="N28">IF(ISNA(INDEX(O28:AP28,MATCH(FALSE,ISBLANK(O28:AP28),0))),"",INDEX(O28:AP28,MATCH(FALSE,ISBLANK(O28:AP28),0)))</f>
        <v/>
      </c>
      <c r="AQ28" s="19"/>
    </row>
    <row r="29" spans="1:43" ht="14.4">
      <c r="A29" s="4" t="s">
        <v>460</v>
      </c>
      <c r="B29" s="4" t="s">
        <v>538</v>
      </c>
      <c r="C29" s="4" t="s">
        <v>539</v>
      </c>
      <c r="D29" s="3"/>
      <c r="N29" s="3" t="str" cm="1">
        <f t="array" ref="N29">IF(ISNA(INDEX(O29:AP29,MATCH(FALSE,ISBLANK(O29:AP29),0))),"",INDEX(O29:AP29,MATCH(FALSE,ISBLANK(O29:AP29),0)))</f>
        <v/>
      </c>
      <c r="AQ29" s="19"/>
    </row>
    <row r="30" spans="1:43" ht="14.4">
      <c r="A30" s="4" t="s">
        <v>460</v>
      </c>
      <c r="B30" s="4" t="s">
        <v>538</v>
      </c>
      <c r="C30" s="4" t="s">
        <v>540</v>
      </c>
      <c r="D30" s="3"/>
      <c r="N30" s="3" t="str" cm="1">
        <f t="array" ref="N30">IF(ISNA(INDEX(O30:AP30,MATCH(FALSE,ISBLANK(O30:AP30),0))),"",INDEX(O30:AP30,MATCH(FALSE,ISBLANK(O30:AP30),0)))</f>
        <v/>
      </c>
      <c r="AQ30" s="19"/>
    </row>
    <row r="31" spans="1:43" ht="14.4">
      <c r="A31" s="4" t="s">
        <v>460</v>
      </c>
      <c r="B31" s="4" t="s">
        <v>541</v>
      </c>
      <c r="C31" s="4" t="s">
        <v>542</v>
      </c>
      <c r="D31" s="3"/>
      <c r="N31" s="3" t="str" cm="1">
        <f t="array" ref="N31">IF(ISNA(INDEX(O31:AP31,MATCH(FALSE,ISBLANK(O31:AP31),0))),"",INDEX(O31:AP31,MATCH(FALSE,ISBLANK(O31:AP31),0)))</f>
        <v/>
      </c>
      <c r="AQ31" s="19"/>
    </row>
    <row r="32" spans="1:43" ht="14.4">
      <c r="A32" s="4" t="s">
        <v>460</v>
      </c>
      <c r="B32" s="4" t="s">
        <v>541</v>
      </c>
      <c r="C32" s="4" t="s">
        <v>543</v>
      </c>
      <c r="D32" s="3"/>
      <c r="E32" s="3" t="s">
        <v>544</v>
      </c>
      <c r="N32" s="3" t="str" cm="1">
        <f t="array" ref="N32">IF(ISNA(INDEX(O32:AP32,MATCH(FALSE,ISBLANK(O32:AP32),0))),"",INDEX(O32:AP32,MATCH(FALSE,ISBLANK(O32:AP32),0)))</f>
        <v>hind foot length</v>
      </c>
      <c r="AM32" s="1" t="s">
        <v>545</v>
      </c>
      <c r="AQ32" s="19"/>
    </row>
    <row r="33" spans="1:43" ht="14.4">
      <c r="A33" s="4" t="s">
        <v>460</v>
      </c>
      <c r="B33" s="4" t="s">
        <v>541</v>
      </c>
      <c r="C33" s="4" t="s">
        <v>546</v>
      </c>
      <c r="D33" s="3"/>
      <c r="N33" s="3" t="str" cm="1">
        <f t="array" ref="N33">IF(ISNA(INDEX(O33:AP33,MATCH(FALSE,ISBLANK(O33:AP33),0))),"",INDEX(O33:AP33,MATCH(FALSE,ISBLANK(O33:AP33),0)))</f>
        <v/>
      </c>
      <c r="AQ33" s="19"/>
    </row>
    <row r="34" spans="1:43" ht="14.4">
      <c r="A34" s="4" t="s">
        <v>460</v>
      </c>
      <c r="B34" s="4" t="s">
        <v>541</v>
      </c>
      <c r="C34" s="4" t="s">
        <v>547</v>
      </c>
      <c r="D34" s="3"/>
      <c r="N34" s="3" t="str" cm="1">
        <f t="array" ref="N34">IF(ISNA(INDEX(O34:AP34,MATCH(FALSE,ISBLANK(O34:AP34),0))),"",INDEX(O34:AP34,MATCH(FALSE,ISBLANK(O34:AP34),0)))</f>
        <v/>
      </c>
      <c r="AQ34" s="19"/>
    </row>
    <row r="35" spans="1:43" ht="14.4">
      <c r="A35" s="4" t="s">
        <v>460</v>
      </c>
      <c r="B35" s="4" t="s">
        <v>548</v>
      </c>
      <c r="C35" s="4" t="s">
        <v>549</v>
      </c>
      <c r="D35" s="3"/>
      <c r="N35" s="3" t="str" cm="1">
        <f t="array" ref="N35">IF(ISNA(INDEX(O35:AP35,MATCH(FALSE,ISBLANK(O35:AP35),0))),"",INDEX(O35:AP35,MATCH(FALSE,ISBLANK(O35:AP35),0)))</f>
        <v>E = Ear length</v>
      </c>
      <c r="X35" s="1" t="s">
        <v>550</v>
      </c>
      <c r="AM35" s="1" t="s">
        <v>551</v>
      </c>
      <c r="AQ35" s="19"/>
    </row>
    <row r="36" spans="1:43" ht="14.4">
      <c r="A36" s="4" t="s">
        <v>460</v>
      </c>
      <c r="B36" s="4" t="s">
        <v>548</v>
      </c>
      <c r="C36" s="4" t="s">
        <v>552</v>
      </c>
      <c r="D36" s="3"/>
      <c r="N36" s="3" t="str" cm="1">
        <f t="array" ref="N36">IF(ISNA(INDEX(O36:AP36,MATCH(FALSE,ISBLANK(O36:AP36),0))),"",INDEX(O36:AP36,MATCH(FALSE,ISBLANK(O36:AP36),0)))</f>
        <v/>
      </c>
      <c r="AQ36" s="19"/>
    </row>
    <row r="37" spans="1:43" ht="14.4">
      <c r="A37" s="4" t="s">
        <v>460</v>
      </c>
      <c r="B37" s="4" t="s">
        <v>548</v>
      </c>
      <c r="C37" s="4" t="s">
        <v>553</v>
      </c>
      <c r="D37" s="3"/>
      <c r="N37" s="3" t="str" cm="1">
        <f t="array" ref="N37">IF(ISNA(INDEX(O37:AP37,MATCH(FALSE,ISBLANK(O37:AP37),0))),"",INDEX(O37:AP37,MATCH(FALSE,ISBLANK(O37:AP37),0)))</f>
        <v/>
      </c>
      <c r="AQ37" s="19"/>
    </row>
    <row r="38" spans="1:43" ht="14.4">
      <c r="A38" s="4" t="s">
        <v>460</v>
      </c>
      <c r="B38" s="4" t="s">
        <v>548</v>
      </c>
      <c r="C38" s="4" t="s">
        <v>554</v>
      </c>
      <c r="D38" s="3"/>
      <c r="N38" s="3" t="str" cm="1">
        <f t="array" ref="N38">IF(ISNA(INDEX(O38:AP38,MATCH(FALSE,ISBLANK(O38:AP38),0))),"",INDEX(O38:AP38,MATCH(FALSE,ISBLANK(O38:AP38),0)))</f>
        <v/>
      </c>
      <c r="AQ38" s="19"/>
    </row>
    <row r="39" spans="1:43" ht="14.4">
      <c r="A39" s="4" t="s">
        <v>460</v>
      </c>
      <c r="B39" s="4" t="s">
        <v>548</v>
      </c>
      <c r="C39" s="4"/>
      <c r="D39" s="5" t="s">
        <v>555</v>
      </c>
      <c r="M39" s="3" t="s">
        <v>556</v>
      </c>
      <c r="N39" s="3" t="str" cm="1">
        <f t="array" ref="N39">IF(ISNA(INDEX(O39:AP39,MATCH(FALSE,ISBLANK(O39:AP39),0))),"",INDEX(O39:AP39,MATCH(FALSE,ISBLANK(O39:AP39),0)))</f>
        <v/>
      </c>
      <c r="AQ39" s="19"/>
    </row>
    <row r="40" spans="1:43" ht="14.4">
      <c r="A40" s="4" t="s">
        <v>460</v>
      </c>
      <c r="B40" s="4" t="s">
        <v>548</v>
      </c>
      <c r="C40" s="4"/>
      <c r="D40" s="5"/>
      <c r="M40" s="3" t="s">
        <v>557</v>
      </c>
      <c r="N40" s="3" t="str" cm="1">
        <f t="array" ref="N40">IF(ISNA(INDEX(O40:AP40,MATCH(FALSE,ISBLANK(O40:AP40),0))),"",INDEX(O40:AP40,MATCH(FALSE,ISBLANK(O40:AP40),0)))</f>
        <v/>
      </c>
      <c r="AQ40" s="19"/>
    </row>
    <row r="41" spans="1:43" ht="14.4">
      <c r="A41" s="4" t="s">
        <v>460</v>
      </c>
      <c r="B41" s="4" t="s">
        <v>548</v>
      </c>
      <c r="C41" s="4"/>
      <c r="D41" s="5"/>
      <c r="E41" s="3"/>
      <c r="H41" s="4"/>
      <c r="I41" s="4"/>
      <c r="N41" s="3" t="str" cm="1">
        <f t="array" ref="N41">IF(ISNA(INDEX(O41:AP41,MATCH(FALSE,ISBLANK(O41:AP41),0))),"",INDEX(O41:AP41,MATCH(FALSE,ISBLANK(O41:AP41),0)))</f>
        <v>Inter = Narrowest breadth of skull</v>
      </c>
      <c r="O41" s="3"/>
      <c r="Q41" s="1"/>
      <c r="R41" s="1"/>
      <c r="W41" s="1"/>
      <c r="X41" s="1" t="s">
        <v>558</v>
      </c>
      <c r="Y41" s="1"/>
      <c r="AQ41" s="19"/>
    </row>
    <row r="42" spans="1:43" ht="14.4">
      <c r="A42" s="4" t="s">
        <v>460</v>
      </c>
      <c r="B42" s="4" t="s">
        <v>548</v>
      </c>
      <c r="C42" s="4"/>
      <c r="D42" s="5"/>
      <c r="E42" s="3"/>
      <c r="H42" s="4"/>
      <c r="I42" s="4"/>
      <c r="N42" s="3" t="str" cm="1">
        <f t="array" ref="N42">IF(ISNA(INDEX(O42:AP42,MATCH(FALSE,ISBLANK(O42:AP42),0))),"",INDEX(O42:AP42,MATCH(FALSE,ISBLANK(O42:AP42),0)))</f>
        <v>greatest skull length</v>
      </c>
      <c r="O42" s="3" t="s">
        <v>559</v>
      </c>
      <c r="Q42" s="1" t="s">
        <v>560</v>
      </c>
      <c r="R42" s="1" t="s">
        <v>561</v>
      </c>
      <c r="W42" s="1" t="s">
        <v>560</v>
      </c>
      <c r="X42" s="1" t="s">
        <v>562</v>
      </c>
      <c r="Y42" s="1" t="s">
        <v>560</v>
      </c>
      <c r="AE42" s="1" t="s">
        <v>563</v>
      </c>
      <c r="AF42" s="1" t="s">
        <v>560</v>
      </c>
      <c r="AH42" s="1" t="s">
        <v>560</v>
      </c>
      <c r="AN42" s="1" t="s">
        <v>564</v>
      </c>
      <c r="AQ42" s="19"/>
    </row>
    <row r="43" spans="1:43" ht="14.4">
      <c r="A43" s="4" t="s">
        <v>460</v>
      </c>
      <c r="B43" s="4" t="s">
        <v>548</v>
      </c>
      <c r="C43" s="4"/>
      <c r="D43" s="5"/>
      <c r="E43" s="3"/>
      <c r="H43" s="4"/>
      <c r="I43" s="4"/>
      <c r="N43" s="3" t="str" cm="1">
        <f t="array" ref="N43">IF(ISNA(INDEX(O43:AP43,MATCH(FALSE,ISBLANK(O43:AP43),0))),"",INDEX(O43:AP43,MATCH(FALSE,ISBLANK(O43:AP43),0)))</f>
        <v>braincase breadth</v>
      </c>
      <c r="O43" s="3" t="s">
        <v>565</v>
      </c>
      <c r="Q43" s="1" t="s">
        <v>566</v>
      </c>
      <c r="W43" s="1" t="s">
        <v>566</v>
      </c>
      <c r="X43" s="1" t="s">
        <v>567</v>
      </c>
      <c r="Y43" s="3" t="s">
        <v>566</v>
      </c>
      <c r="AE43" s="1" t="s">
        <v>568</v>
      </c>
      <c r="AF43" s="1" t="s">
        <v>566</v>
      </c>
      <c r="AH43" s="1" t="s">
        <v>566</v>
      </c>
      <c r="AN43" s="1" t="s">
        <v>566</v>
      </c>
      <c r="AQ43" s="19"/>
    </row>
    <row r="44" spans="1:43" ht="14.4">
      <c r="A44" s="4" t="s">
        <v>460</v>
      </c>
      <c r="B44" s="4" t="s">
        <v>548</v>
      </c>
      <c r="C44" s="4"/>
      <c r="D44" s="5"/>
      <c r="E44" s="3"/>
      <c r="H44" s="4"/>
      <c r="I44" s="4"/>
      <c r="N44" s="3" t="str" cm="1">
        <f t="array" ref="N44">IF(ISNA(INDEX(O44:AP44,MATCH(FALSE,ISBLANK(O44:AP44),0))),"",INDEX(O44:AP44,MATCH(FALSE,ISBLANK(O44:AP44),0)))</f>
        <v>zygomatic breadth</v>
      </c>
      <c r="O44" s="3" t="s">
        <v>569</v>
      </c>
      <c r="R44" s="1" t="s">
        <v>570</v>
      </c>
      <c r="X44" s="1" t="s">
        <v>571</v>
      </c>
      <c r="AQ44" s="19"/>
    </row>
    <row r="45" spans="1:43" ht="14.4">
      <c r="A45" s="4" t="s">
        <v>460</v>
      </c>
      <c r="B45" s="4" t="s">
        <v>548</v>
      </c>
      <c r="C45" s="4"/>
      <c r="D45" s="5"/>
      <c r="E45" s="3"/>
      <c r="H45" s="4"/>
      <c r="I45" s="4"/>
      <c r="N45" s="3" t="str" cm="1">
        <f t="array" ref="N45">IF(ISNA(INDEX(O45:AP45,MATCH(FALSE,ISBLANK(O45:AP45),0))),"",INDEX(O45:AP45,MATCH(FALSE,ISBLANK(O45:AP45),0)))</f>
        <v>Mast = Mastoid breadth</v>
      </c>
      <c r="O45" s="3"/>
      <c r="R45" s="1"/>
      <c r="X45" s="1" t="s">
        <v>572</v>
      </c>
      <c r="Y45" s="1"/>
      <c r="AQ45" s="19"/>
    </row>
    <row r="46" spans="1:43" ht="14.4">
      <c r="A46" s="4" t="s">
        <v>460</v>
      </c>
      <c r="B46" s="4" t="s">
        <v>548</v>
      </c>
      <c r="C46" s="4"/>
      <c r="D46" s="5"/>
      <c r="E46" s="3"/>
      <c r="H46" s="4"/>
      <c r="I46" s="4"/>
      <c r="N46" s="3" t="str" cm="1">
        <f t="array" ref="N46">IF(ISNA(INDEX(O46:AP46,MATCH(FALSE,ISBLANK(O46:AP46),0))),"",INDEX(O46:AP46,MATCH(FALSE,ISBLANK(O46:AP46),0)))</f>
        <v>condylobasal length</v>
      </c>
      <c r="O46" s="3"/>
      <c r="Q46" s="1" t="s">
        <v>573</v>
      </c>
      <c r="W46" s="1" t="s">
        <v>573</v>
      </c>
      <c r="Y46" s="1" t="s">
        <v>573</v>
      </c>
      <c r="AE46" s="1" t="s">
        <v>574</v>
      </c>
      <c r="AF46" s="1" t="s">
        <v>573</v>
      </c>
      <c r="AH46" s="1" t="s">
        <v>573</v>
      </c>
      <c r="AN46" s="1" t="s">
        <v>573</v>
      </c>
      <c r="AQ46" s="19"/>
    </row>
    <row r="47" spans="1:43" ht="14.4">
      <c r="A47" s="4" t="s">
        <v>460</v>
      </c>
      <c r="B47" s="4" t="s">
        <v>548</v>
      </c>
      <c r="C47" s="4"/>
      <c r="D47" s="5"/>
      <c r="E47" s="3"/>
      <c r="H47" s="4"/>
      <c r="I47" s="4"/>
      <c r="N47" s="3" t="str" cm="1">
        <f t="array" ref="N47">IF(ISNA(INDEX(O47:AP47,MATCH(FALSE,ISBLANK(O47:AP47),0))),"",INDEX(O47:AP47,MATCH(FALSE,ISBLANK(O47:AP47),0)))</f>
        <v>length of maxillary toothrow</v>
      </c>
      <c r="O47" s="3"/>
      <c r="Q47" s="1" t="s">
        <v>575</v>
      </c>
      <c r="R47" s="1" t="s">
        <v>576</v>
      </c>
      <c r="T47" s="1"/>
      <c r="W47" s="1" t="s">
        <v>577</v>
      </c>
      <c r="X47" s="1" t="s">
        <v>578</v>
      </c>
      <c r="AE47" s="1" t="s">
        <v>579</v>
      </c>
      <c r="AF47" s="1" t="s">
        <v>575</v>
      </c>
      <c r="AH47" s="1" t="s">
        <v>575</v>
      </c>
      <c r="AN47" s="1" t="s">
        <v>580</v>
      </c>
      <c r="AQ47" s="19"/>
    </row>
    <row r="48" spans="1:43" ht="14.4">
      <c r="A48" s="4" t="s">
        <v>460</v>
      </c>
      <c r="B48" s="4" t="s">
        <v>548</v>
      </c>
      <c r="C48" s="4"/>
      <c r="D48" s="5"/>
      <c r="E48" s="3"/>
      <c r="H48" s="4"/>
      <c r="I48" s="4"/>
      <c r="N48" s="3" t="str" cm="1">
        <f t="array" ref="N48">IF(ISNA(INDEX(O48:AP48,MATCH(FALSE,ISBLANK(O48:AP48),0))),"",INDEX(O48:AP48,MATCH(FALSE,ISBLANK(O48:AP48),0)))</f>
        <v>breadth of post-orbital constriction</v>
      </c>
      <c r="O48" s="3"/>
      <c r="Q48" s="1" t="s">
        <v>581</v>
      </c>
      <c r="W48" s="1" t="s">
        <v>582</v>
      </c>
      <c r="Y48" s="3" t="s">
        <v>582</v>
      </c>
      <c r="AE48" s="1" t="s">
        <v>583</v>
      </c>
      <c r="AF48" s="1" t="s">
        <v>581</v>
      </c>
      <c r="AH48" s="1" t="s">
        <v>581</v>
      </c>
      <c r="AN48" s="1" t="s">
        <v>582</v>
      </c>
      <c r="AQ48" s="19"/>
    </row>
    <row r="49" spans="1:43" ht="14.4">
      <c r="A49" s="4" t="s">
        <v>460</v>
      </c>
      <c r="B49" s="4" t="s">
        <v>548</v>
      </c>
      <c r="C49" s="4"/>
      <c r="D49" s="5"/>
      <c r="E49" s="3"/>
      <c r="H49" s="4"/>
      <c r="I49" s="4"/>
      <c r="N49" s="3" t="str" cm="1">
        <f t="array" ref="N49">IF(ISNA(INDEX(O49:AP49,MATCH(FALSE,ISBLANK(O49:AP49),0))),"",INDEX(O49:AP49,MATCH(FALSE,ISBLANK(O49:AP49),0)))</f>
        <v>breadth across upper molars</v>
      </c>
      <c r="O49" s="3"/>
      <c r="Q49" s="1" t="s">
        <v>584</v>
      </c>
      <c r="W49" s="1" t="s">
        <v>584</v>
      </c>
      <c r="Y49" s="3" t="s">
        <v>585</v>
      </c>
      <c r="AE49" s="1" t="s">
        <v>586</v>
      </c>
      <c r="AF49" s="1" t="s">
        <v>584</v>
      </c>
      <c r="AH49" s="1" t="s">
        <v>584</v>
      </c>
      <c r="AN49" s="1" t="s">
        <v>585</v>
      </c>
      <c r="AQ49" s="19"/>
    </row>
    <row r="50" spans="1:43" ht="14.4">
      <c r="A50" s="4" t="s">
        <v>460</v>
      </c>
      <c r="B50" s="4" t="s">
        <v>548</v>
      </c>
      <c r="C50" s="4"/>
      <c r="D50" s="5"/>
      <c r="E50" s="3"/>
      <c r="H50" s="4"/>
      <c r="I50" s="4"/>
      <c r="N50" s="3" t="str" cm="1">
        <f t="array" ref="N50">IF(ISNA(INDEX(O50:AP50,MATCH(FALSE,ISBLANK(O50:AP50),0))),"",INDEX(O50:AP50,MATCH(FALSE,ISBLANK(O50:AP50),0)))</f>
        <v>Postorbital Width (PW)</v>
      </c>
      <c r="O50" s="3"/>
      <c r="Q50" s="1"/>
      <c r="R50" s="1" t="s">
        <v>587</v>
      </c>
      <c r="T50" s="1"/>
      <c r="AQ50" s="19"/>
    </row>
    <row r="51" spans="1:43" ht="14.4">
      <c r="A51" s="4" t="s">
        <v>460</v>
      </c>
      <c r="B51" s="4" t="s">
        <v>548</v>
      </c>
      <c r="C51" s="4"/>
      <c r="D51" s="5"/>
      <c r="E51" s="3"/>
      <c r="H51" s="4"/>
      <c r="I51" s="4"/>
      <c r="N51" s="3" t="str" cm="1">
        <f t="array" ref="N51">IF(ISNA(INDEX(O51:AP51,MATCH(FALSE,ISBLANK(O51:AP51),0))),"",INDEX(O51:AP51,MATCH(FALSE,ISBLANK(O51:AP51),0)))</f>
        <v>Posterior Skull width (PSW)</v>
      </c>
      <c r="O51" s="3"/>
      <c r="Q51" s="1"/>
      <c r="R51" s="1" t="s">
        <v>588</v>
      </c>
      <c r="T51" s="1"/>
      <c r="AQ51" s="19"/>
    </row>
    <row r="52" spans="1:43" ht="14.4">
      <c r="A52" s="4" t="s">
        <v>460</v>
      </c>
      <c r="B52" s="4" t="s">
        <v>548</v>
      </c>
      <c r="C52" s="4"/>
      <c r="D52" s="5"/>
      <c r="E52" s="3"/>
      <c r="H52" s="4"/>
      <c r="I52" s="4"/>
      <c r="N52" s="3" t="str" cm="1">
        <f t="array" ref="N52">IF(ISNA(INDEX(O52:AP52,MATCH(FALSE,ISBLANK(O52:AP52),0))),"",INDEX(O52:AP52,MATCH(FALSE,ISBLANK(O52:AP52),0)))</f>
        <v>Palatal Width at canines (PW)</v>
      </c>
      <c r="O52" s="3"/>
      <c r="Q52" s="1"/>
      <c r="R52" s="1" t="s">
        <v>589</v>
      </c>
      <c r="T52" s="1"/>
      <c r="X52" s="1" t="s">
        <v>590</v>
      </c>
      <c r="AQ52" s="19"/>
    </row>
    <row r="53" spans="1:43" ht="14.4">
      <c r="A53" s="4" t="s">
        <v>460</v>
      </c>
      <c r="B53" s="4" t="s">
        <v>548</v>
      </c>
      <c r="C53" s="4"/>
      <c r="D53" s="5"/>
      <c r="E53" s="3"/>
      <c r="H53" s="4"/>
      <c r="I53" s="4"/>
      <c r="N53" s="3" t="str" cm="1">
        <f t="array" ref="N53">IF(ISNA(INDEX(O53:AP53,MATCH(FALSE,ISBLANK(O53:AP53),0))),"",INDEX(O53:AP53,MATCH(FALSE,ISBLANK(O53:AP53),0)))</f>
        <v>Palatal Width at first molar (PW1)</v>
      </c>
      <c r="O53" s="3"/>
      <c r="Q53" s="1"/>
      <c r="R53" s="1" t="s">
        <v>591</v>
      </c>
      <c r="T53" s="1"/>
      <c r="X53" s="1" t="s">
        <v>592</v>
      </c>
      <c r="AQ53" s="19"/>
    </row>
    <row r="54" spans="1:43" ht="14.4">
      <c r="A54" s="4" t="s">
        <v>460</v>
      </c>
      <c r="B54" s="4" t="s">
        <v>548</v>
      </c>
      <c r="C54" s="4"/>
      <c r="D54" s="5"/>
      <c r="E54" s="3"/>
      <c r="H54" s="4"/>
      <c r="I54" s="4"/>
      <c r="N54" s="3" t="str" cm="1">
        <f t="array" ref="N54">IF(ISNA(INDEX(O54:AP54,MATCH(FALSE,ISBLANK(O54:AP54),0))),"",INDEX(O54:AP54,MATCH(FALSE,ISBLANK(O54:AP54),0)))</f>
        <v>Total Palate Length (TPL)</v>
      </c>
      <c r="O54" s="3"/>
      <c r="Q54" s="1"/>
      <c r="R54" s="1" t="s">
        <v>593</v>
      </c>
      <c r="T54" s="1"/>
      <c r="AQ54" s="19"/>
    </row>
    <row r="55" spans="1:43" ht="14.4">
      <c r="A55" s="4" t="s">
        <v>460</v>
      </c>
      <c r="B55" s="4" t="s">
        <v>548</v>
      </c>
      <c r="C55" s="4"/>
      <c r="D55" s="5"/>
      <c r="E55" s="3"/>
      <c r="H55" s="4"/>
      <c r="I55" s="4"/>
      <c r="N55" s="3" t="str" cm="1">
        <f t="array" ref="N55">IF(ISNA(INDEX(O55:AP55,MATCH(FALSE,ISBLANK(O55:AP55),0))),"",INDEX(O55:AP55,MATCH(FALSE,ISBLANK(O55:AP55),0)))</f>
        <v>Anterior Skull Length (ASL)</v>
      </c>
      <c r="O55" s="3"/>
      <c r="Q55" s="1"/>
      <c r="R55" s="1" t="s">
        <v>594</v>
      </c>
      <c r="T55" s="1"/>
      <c r="AQ55" s="19"/>
    </row>
    <row r="56" spans="1:43" ht="14.4">
      <c r="A56" s="4" t="s">
        <v>460</v>
      </c>
      <c r="B56" s="4" t="s">
        <v>548</v>
      </c>
      <c r="C56" s="4"/>
      <c r="D56" s="5"/>
      <c r="E56" s="3"/>
      <c r="H56" s="4"/>
      <c r="I56" s="4"/>
      <c r="N56" s="3" t="str" cm="1">
        <f t="array" ref="N56">IF(ISNA(INDEX(O56:AP56,MATCH(FALSE,ISBLANK(O56:AP56),0))),"",INDEX(O56:AP56,MATCH(FALSE,ISBLANK(O56:AP56),0)))</f>
        <v>Post-Palatal length (PPL)</v>
      </c>
      <c r="O56" s="3"/>
      <c r="Q56" s="1"/>
      <c r="R56" s="1" t="s">
        <v>595</v>
      </c>
      <c r="T56" s="1"/>
      <c r="AQ56" s="19"/>
    </row>
    <row r="57" spans="1:43" ht="14.4">
      <c r="A57" s="4" t="s">
        <v>460</v>
      </c>
      <c r="B57" s="4" t="s">
        <v>548</v>
      </c>
      <c r="C57" s="4"/>
      <c r="D57" s="5"/>
      <c r="E57" s="3"/>
      <c r="H57" s="4"/>
      <c r="I57" s="4"/>
      <c r="N57" s="3" t="str" cm="1">
        <f t="array" ref="N57">IF(ISNA(INDEX(O57:AP57,MATCH(FALSE,ISBLANK(O57:AP57),0))),"",INDEX(O57:AP57,MATCH(FALSE,ISBLANK(O57:AP57),0)))</f>
        <v>Dentary Depth under first molar (DD)</v>
      </c>
      <c r="O57" s="3"/>
      <c r="Q57" s="1"/>
      <c r="R57" s="1" t="s">
        <v>596</v>
      </c>
      <c r="T57" s="1"/>
      <c r="AQ57" s="19"/>
    </row>
    <row r="58" spans="1:43" ht="14.4">
      <c r="A58" s="4" t="s">
        <v>460</v>
      </c>
      <c r="B58" s="4" t="s">
        <v>548</v>
      </c>
      <c r="C58" s="4"/>
      <c r="D58" s="5"/>
      <c r="E58" s="3"/>
      <c r="H58" s="4"/>
      <c r="I58" s="4"/>
      <c r="N58" s="3" t="str" cm="1">
        <f t="array" ref="N58">IF(ISNA(INDEX(O58:AP58,MATCH(FALSE,ISBLANK(O58:AP58),0))),"",INDEX(O58:AP58,MATCH(FALSE,ISBLANK(O58:AP58),0)))</f>
        <v>Coronoid Process Height (CPH)</v>
      </c>
      <c r="O58" s="3"/>
      <c r="Q58" s="1"/>
      <c r="R58" s="1" t="s">
        <v>597</v>
      </c>
      <c r="T58" s="1"/>
      <c r="AQ58" s="19"/>
    </row>
    <row r="59" spans="1:43" ht="14.4">
      <c r="A59" s="4" t="s">
        <v>460</v>
      </c>
      <c r="B59" s="4" t="s">
        <v>548</v>
      </c>
      <c r="C59" s="4"/>
      <c r="D59" s="5"/>
      <c r="E59" s="3"/>
      <c r="H59" s="4"/>
      <c r="I59" s="4"/>
      <c r="N59" s="3" t="str" cm="1">
        <f t="array" ref="N59">IF(ISNA(INDEX(O59:AP59,MATCH(FALSE,ISBLANK(O59:AP59),0))),"",INDEX(O59:AP59,MATCH(FALSE,ISBLANK(O59:AP59),0)))</f>
        <v>Condyle height (CH)</v>
      </c>
      <c r="O59" s="3"/>
      <c r="Q59" s="1"/>
      <c r="R59" s="1" t="s">
        <v>598</v>
      </c>
      <c r="T59" s="1"/>
      <c r="AQ59" s="19"/>
    </row>
    <row r="60" spans="1:43" ht="14.4">
      <c r="A60" s="4" t="s">
        <v>460</v>
      </c>
      <c r="B60" s="4" t="s">
        <v>548</v>
      </c>
      <c r="C60" s="4"/>
      <c r="D60" s="5"/>
      <c r="E60" s="3"/>
      <c r="H60" s="4"/>
      <c r="I60" s="4"/>
      <c r="N60" s="3" t="str" cm="1">
        <f t="array" ref="N60">IF(ISNA(INDEX(O60:AP60,MATCH(FALSE,ISBLANK(O60:AP60),0))),"",INDEX(O60:AP60,MATCH(FALSE,ISBLANK(O60:AP60),0)))</f>
        <v>CI = Condylo-incisive length</v>
      </c>
      <c r="O60" s="3"/>
      <c r="Q60" s="1"/>
      <c r="R60" s="1"/>
      <c r="T60" s="1"/>
      <c r="X60" s="1" t="s">
        <v>599</v>
      </c>
      <c r="AQ60" s="19"/>
    </row>
    <row r="61" spans="1:43" ht="14.4">
      <c r="A61" s="4" t="s">
        <v>460</v>
      </c>
      <c r="B61" s="4" t="s">
        <v>548</v>
      </c>
      <c r="C61" s="4"/>
      <c r="D61" s="5"/>
      <c r="E61" s="3"/>
      <c r="H61" s="4"/>
      <c r="I61" s="4"/>
      <c r="N61" s="3" t="str" cm="1">
        <f t="array" ref="N61">IF(ISNA(INDEX(O61:AP61,MATCH(FALSE,ISBLANK(O61:AP61),0))),"",INDEX(O61:AP61,MATCH(FALSE,ISBLANK(O61:AP61),0)))</f>
        <v>Condyle to Canine bite point distance (CC)</v>
      </c>
      <c r="O61" s="3"/>
      <c r="Q61" s="1"/>
      <c r="R61" s="1" t="s">
        <v>600</v>
      </c>
      <c r="T61" s="1"/>
      <c r="X61" s="1" t="s">
        <v>601</v>
      </c>
      <c r="AQ61" s="19"/>
    </row>
    <row r="62" spans="1:43" ht="14.4">
      <c r="A62" s="4" t="s">
        <v>460</v>
      </c>
      <c r="B62" s="4" t="s">
        <v>548</v>
      </c>
      <c r="C62" s="4"/>
      <c r="D62" s="5"/>
      <c r="E62" s="3"/>
      <c r="H62" s="4"/>
      <c r="I62" s="4"/>
      <c r="N62" s="3" t="str" cm="1">
        <f t="array" ref="N62">IF(ISNA(INDEX(O62:AP62,MATCH(FALSE,ISBLANK(O62:AP62),0))),"",INDEX(O62:AP62,MATCH(FALSE,ISBLANK(O62:AP62),0)))</f>
        <v>Condyle to first molar point distance (Cm1)</v>
      </c>
      <c r="O62" s="3"/>
      <c r="Q62" s="1"/>
      <c r="R62" s="1" t="s">
        <v>602</v>
      </c>
      <c r="T62" s="1"/>
      <c r="AQ62" s="19"/>
    </row>
    <row r="63" spans="1:43" ht="14.4">
      <c r="A63" s="4" t="s">
        <v>460</v>
      </c>
      <c r="B63" s="4" t="s">
        <v>548</v>
      </c>
      <c r="C63" s="4"/>
      <c r="D63" s="5"/>
      <c r="E63" s="3"/>
      <c r="F63" s="4" t="s">
        <v>603</v>
      </c>
      <c r="H63" s="4"/>
      <c r="I63" s="4"/>
      <c r="N63" s="3" t="str" cm="1">
        <f t="array" ref="N63">IF(ISNA(INDEX(O63:AP63,MATCH(FALSE,ISBLANK(O63:AP63),0))),"",INDEX(O63:AP63,MATCH(FALSE,ISBLANK(O63:AP63),0)))</f>
        <v>Condyle to last molar point distance (Cm3)</v>
      </c>
      <c r="O63" s="3"/>
      <c r="Q63" s="1"/>
      <c r="R63" s="1" t="s">
        <v>604</v>
      </c>
      <c r="T63" s="1"/>
      <c r="AQ63" s="19"/>
    </row>
    <row r="64" spans="1:43" ht="14.4">
      <c r="A64" s="4" t="s">
        <v>460</v>
      </c>
      <c r="B64" s="4" t="s">
        <v>548</v>
      </c>
      <c r="C64" s="4"/>
      <c r="D64" s="5"/>
      <c r="E64" s="3"/>
      <c r="H64" s="4"/>
      <c r="I64" s="4"/>
      <c r="N64" s="3" t="str" cm="1">
        <f t="array" ref="N64">IF(ISNA(INDEX(O64:AP64,MATCH(FALSE,ISBLANK(O64:AP64),0))),"",INDEX(O64:AP64,MATCH(FALSE,ISBLANK(O64:AP64),0)))</f>
        <v>Total Dentary Length (TDL)</v>
      </c>
      <c r="O64" s="3"/>
      <c r="Q64" s="1"/>
      <c r="R64" s="1" t="s">
        <v>605</v>
      </c>
      <c r="T64" s="1"/>
      <c r="AQ64" s="19"/>
    </row>
    <row r="65" spans="1:43" ht="14.4">
      <c r="A65" s="4" t="s">
        <v>460</v>
      </c>
      <c r="B65" s="4" t="s">
        <v>548</v>
      </c>
      <c r="C65" s="4"/>
      <c r="D65" s="5"/>
      <c r="E65" s="3"/>
      <c r="H65" s="4"/>
      <c r="I65" s="4"/>
      <c r="N65" s="3" t="str" cm="1">
        <f t="array" ref="N65">IF(ISNA(INDEX(O65:AP65,MATCH(FALSE,ISBLANK(O65:AP65),0))),"",INDEX(O65:AP65,MATCH(FALSE,ISBLANK(O65:AP65),0)))</f>
        <v>Condyle-Coronoid Length (CCL)</v>
      </c>
      <c r="O65" s="3"/>
      <c r="Q65" s="1"/>
      <c r="R65" s="1" t="s">
        <v>606</v>
      </c>
      <c r="T65" s="1"/>
      <c r="AQ65" s="19"/>
    </row>
    <row r="66" spans="1:43" ht="14.4">
      <c r="A66" s="4" t="s">
        <v>460</v>
      </c>
      <c r="B66" s="4" t="s">
        <v>548</v>
      </c>
      <c r="C66" s="4"/>
      <c r="D66" s="5"/>
      <c r="E66" s="3"/>
      <c r="H66" s="4"/>
      <c r="I66" s="4"/>
      <c r="N66" s="3" t="str" cm="1">
        <f t="array" ref="N66">IF(ISNA(INDEX(O66:AP66,MATCH(FALSE,ISBLANK(O66:AP66),0))),"",INDEX(O66:AP66,MATCH(FALSE,ISBLANK(O66:AP66),0)))</f>
        <v>Coronoid-Angular Length (CAL)</v>
      </c>
      <c r="O66" s="3"/>
      <c r="Q66" s="1"/>
      <c r="R66" s="1" t="s">
        <v>607</v>
      </c>
      <c r="T66" s="1"/>
      <c r="AQ66" s="19"/>
    </row>
    <row r="67" spans="1:43" ht="14.4">
      <c r="A67" s="4" t="s">
        <v>460</v>
      </c>
      <c r="B67" s="4" t="s">
        <v>548</v>
      </c>
      <c r="C67" s="4"/>
      <c r="D67" s="5"/>
      <c r="E67" s="3"/>
      <c r="H67" s="4"/>
      <c r="I67" s="4"/>
      <c r="N67" s="3" t="str" cm="1">
        <f t="array" ref="N67">IF(ISNA(INDEX(O67:AP67,MATCH(FALSE,ISBLANK(O67:AP67),0))),"",INDEX(O67:AP67,MATCH(FALSE,ISBLANK(O67:AP67),0)))</f>
        <v>Mandibular toothrow length (MAN)</v>
      </c>
      <c r="O67" s="3"/>
      <c r="Q67" s="1"/>
      <c r="R67" s="1" t="s">
        <v>608</v>
      </c>
      <c r="T67" s="1"/>
      <c r="X67" s="1" t="s">
        <v>609</v>
      </c>
      <c r="Y67" s="3" t="s">
        <v>580</v>
      </c>
      <c r="AQ67" s="19"/>
    </row>
    <row r="68" spans="1:43" ht="14.4">
      <c r="A68" s="4" t="s">
        <v>460</v>
      </c>
      <c r="B68" s="4" t="s">
        <v>548</v>
      </c>
      <c r="C68" s="4"/>
      <c r="D68" s="5"/>
      <c r="E68" s="3"/>
      <c r="H68" s="4"/>
      <c r="I68" s="4"/>
      <c r="N68" s="3" t="str" cm="1">
        <f t="array" ref="N68">IF(ISNA(INDEX(O68:AP68,MATCH(FALSE,ISBLANK(O68:AP68),0))),"",INDEX(O68:AP68,MATCH(FALSE,ISBLANK(O68:AP68),0)))</f>
        <v>Mand = Mandibular length</v>
      </c>
      <c r="O68" s="3"/>
      <c r="Q68" s="1"/>
      <c r="R68" s="1"/>
      <c r="T68" s="1"/>
      <c r="X68" s="1" t="s">
        <v>610</v>
      </c>
      <c r="AQ68" s="19"/>
    </row>
    <row r="69" spans="1:43" ht="14.4">
      <c r="A69" s="4" t="s">
        <v>460</v>
      </c>
      <c r="B69" s="4" t="s">
        <v>548</v>
      </c>
      <c r="C69" s="4"/>
      <c r="D69" s="5"/>
      <c r="E69" s="3"/>
      <c r="F69" s="4" t="s">
        <v>611</v>
      </c>
      <c r="N69" s="3" t="str" cm="1">
        <f t="array" ref="N69">IF(ISNA(INDEX(O69:AP69,MATCH(FALSE,ISBLANK(O69:AP69),0))),"",INDEX(O69:AP69,MATCH(FALSE,ISBLANK(O69:AP69),0)))</f>
        <v/>
      </c>
      <c r="AQ69" s="19"/>
    </row>
    <row r="70" spans="1:43" ht="14.4">
      <c r="A70" s="4" t="s">
        <v>460</v>
      </c>
      <c r="B70" s="4" t="s">
        <v>612</v>
      </c>
      <c r="C70" s="4" t="s">
        <v>613</v>
      </c>
      <c r="D70" s="3"/>
      <c r="E70" s="3" t="s">
        <v>614</v>
      </c>
      <c r="I70" s="1" t="s">
        <v>615</v>
      </c>
      <c r="N70" s="3" t="str" cm="1">
        <f t="array" ref="N70">IF(ISNA(INDEX(O70:AP70,MATCH(FALSE,ISBLANK(O70:AP70),0))),"",INDEX(O70:AP70,MATCH(FALSE,ISBLANK(O70:AP70),0)))</f>
        <v>T = Tail length</v>
      </c>
      <c r="X70" s="1" t="s">
        <v>616</v>
      </c>
      <c r="AM70" s="1" t="s">
        <v>617</v>
      </c>
      <c r="AQ70" s="19"/>
    </row>
    <row r="71" spans="1:43" ht="14.4">
      <c r="A71" s="4" t="s">
        <v>460</v>
      </c>
      <c r="B71" s="4" t="s">
        <v>612</v>
      </c>
      <c r="C71" s="4" t="s">
        <v>618</v>
      </c>
      <c r="D71" s="3"/>
      <c r="N71" s="3" t="str" cm="1">
        <f t="array" ref="N71">IF(ISNA(INDEX(O71:AP71,MATCH(FALSE,ISBLANK(O71:AP71),0))),"",INDEX(O71:AP71,MATCH(FALSE,ISBLANK(O71:AP71),0)))</f>
        <v/>
      </c>
      <c r="AQ71" s="19"/>
    </row>
    <row r="72" spans="1:43" ht="14.4">
      <c r="A72" s="4" t="s">
        <v>619</v>
      </c>
      <c r="B72" s="4" t="s">
        <v>620</v>
      </c>
      <c r="C72" s="4" t="s">
        <v>621</v>
      </c>
      <c r="D72" s="5" t="s">
        <v>622</v>
      </c>
      <c r="E72" s="3" t="s">
        <v>623</v>
      </c>
      <c r="H72" s="4" t="s">
        <v>624</v>
      </c>
      <c r="L72" s="1" t="s">
        <v>625</v>
      </c>
      <c r="N72" s="3" t="str" cm="1">
        <f t="array" ref="N72">IF(ISNA(INDEX(O72:AP72,MATCH(FALSE,ISBLANK(O72:AP72),0))),"",INDEX(O72:AP72,MATCH(FALSE,ISBLANK(O72:AP72),0)))</f>
        <v/>
      </c>
      <c r="AQ72" s="19"/>
    </row>
    <row r="73" spans="1:43" ht="14.4">
      <c r="A73" s="4" t="s">
        <v>619</v>
      </c>
      <c r="B73" s="4" t="s">
        <v>620</v>
      </c>
      <c r="C73" s="4" t="s">
        <v>626</v>
      </c>
      <c r="D73" s="5" t="s">
        <v>627</v>
      </c>
      <c r="E73" s="3" t="s">
        <v>626</v>
      </c>
      <c r="F73" s="4" t="s">
        <v>628</v>
      </c>
      <c r="H73" s="4" t="s">
        <v>629</v>
      </c>
      <c r="N73" s="3" t="str" cm="1">
        <f t="array" ref="N73">IF(ISNA(INDEX(O73:AP73,MATCH(FALSE,ISBLANK(O73:AP73),0))),"",INDEX(O73:AP73,MATCH(FALSE,ISBLANK(O73:AP73),0)))</f>
        <v>female fecundity</v>
      </c>
      <c r="P73" s="1" t="s">
        <v>630</v>
      </c>
      <c r="AC73" s="1" t="s">
        <v>631</v>
      </c>
      <c r="AQ73" s="19"/>
    </row>
    <row r="74" spans="1:43" ht="14.4">
      <c r="A74" s="4" t="s">
        <v>619</v>
      </c>
      <c r="B74" s="4" t="s">
        <v>620</v>
      </c>
      <c r="C74" s="4" t="s">
        <v>632</v>
      </c>
      <c r="D74" s="5" t="s">
        <v>633</v>
      </c>
      <c r="E74" s="3" t="s">
        <v>634</v>
      </c>
      <c r="F74" s="4" t="s">
        <v>635</v>
      </c>
      <c r="H74" s="4" t="s">
        <v>636</v>
      </c>
      <c r="N74" s="3" t="str" cm="1">
        <f t="array" ref="N74">IF(ISNA(INDEX(O74:AP74,MATCH(FALSE,ISBLANK(O74:AP74),0))),"",INDEX(O74:AP74,MATCH(FALSE,ISBLANK(O74:AP74),0)))</f>
        <v/>
      </c>
      <c r="AQ74" s="19"/>
    </row>
    <row r="75" spans="1:43" ht="14.4">
      <c r="A75" s="4" t="s">
        <v>619</v>
      </c>
      <c r="B75" s="4" t="s">
        <v>620</v>
      </c>
      <c r="C75" s="4"/>
      <c r="D75" s="5"/>
      <c r="E75" s="3" t="s">
        <v>637</v>
      </c>
      <c r="N75" s="3" t="str" cm="1">
        <f t="array" ref="N75">IF(ISNA(INDEX(O75:AP75,MATCH(FALSE,ISBLANK(O75:AP75),0))),"",INDEX(O75:AP75,MATCH(FALSE,ISBLANK(O75:AP75),0)))</f>
        <v/>
      </c>
      <c r="AQ75" s="19"/>
    </row>
    <row r="76" spans="1:43" ht="14.4">
      <c r="A76" s="4" t="s">
        <v>619</v>
      </c>
      <c r="B76" s="4" t="s">
        <v>620</v>
      </c>
      <c r="C76" s="4" t="s">
        <v>638</v>
      </c>
      <c r="D76" s="3"/>
      <c r="E76" s="3" t="s">
        <v>639</v>
      </c>
      <c r="N76" s="3" t="str" cm="1">
        <f t="array" ref="N76">IF(ISNA(INDEX(O76:AP76,MATCH(FALSE,ISBLANK(O76:AP76),0))),"",INDEX(O76:AP76,MATCH(FALSE,ISBLANK(O76:AP76),0)))</f>
        <v/>
      </c>
      <c r="AQ76" s="19"/>
    </row>
    <row r="77" spans="1:43" ht="14.4">
      <c r="A77" s="4" t="s">
        <v>619</v>
      </c>
      <c r="B77" s="4" t="s">
        <v>620</v>
      </c>
      <c r="C77" s="4"/>
      <c r="D77" s="5" t="s">
        <v>640</v>
      </c>
      <c r="N77" s="3" t="str" cm="1">
        <f t="array" ref="N77">IF(ISNA(INDEX(O77:AP77,MATCH(FALSE,ISBLANK(O77:AP77),0))),"",INDEX(O77:AP77,MATCH(FALSE,ISBLANK(O77:AP77),0)))</f>
        <v/>
      </c>
      <c r="AQ77" s="19"/>
    </row>
    <row r="78" spans="1:43" ht="14.4">
      <c r="A78" s="4" t="s">
        <v>619</v>
      </c>
      <c r="B78" s="4" t="s">
        <v>620</v>
      </c>
      <c r="C78" s="4"/>
      <c r="D78" s="5" t="s">
        <v>641</v>
      </c>
      <c r="E78" s="3" t="s">
        <v>642</v>
      </c>
      <c r="H78" s="4" t="s">
        <v>643</v>
      </c>
      <c r="N78" s="3" t="str" cm="1">
        <f t="array" ref="N78">IF(ISNA(INDEX(O78:AP78,MATCH(FALSE,ISBLANK(O78:AP78),0))),"",INDEX(O78:AP78,MATCH(FALSE,ISBLANK(O78:AP78),0)))</f>
        <v/>
      </c>
      <c r="AQ78" s="19"/>
    </row>
    <row r="79" spans="1:43" ht="14.4">
      <c r="A79" s="4" t="s">
        <v>619</v>
      </c>
      <c r="B79" s="4" t="s">
        <v>620</v>
      </c>
      <c r="C79" s="4"/>
      <c r="D79" s="5"/>
      <c r="E79" s="3" t="s">
        <v>644</v>
      </c>
      <c r="H79" s="4" t="s">
        <v>645</v>
      </c>
      <c r="N79" s="3" t="str" cm="1">
        <f t="array" ref="N79">IF(ISNA(INDEX(O79:AP79,MATCH(FALSE,ISBLANK(O79:AP79),0))),"",INDEX(O79:AP79,MATCH(FALSE,ISBLANK(O79:AP79),0)))</f>
        <v/>
      </c>
      <c r="AQ79" s="19"/>
    </row>
    <row r="80" spans="1:43" ht="14.4">
      <c r="A80" s="4" t="s">
        <v>619</v>
      </c>
      <c r="B80" s="4" t="s">
        <v>620</v>
      </c>
      <c r="C80" s="4"/>
      <c r="D80" s="5" t="s">
        <v>646</v>
      </c>
      <c r="E80" s="3" t="s">
        <v>647</v>
      </c>
      <c r="F80" s="4" t="s">
        <v>648</v>
      </c>
      <c r="H80" s="4" t="s">
        <v>649</v>
      </c>
      <c r="N80" s="3" t="str" cm="1">
        <f t="array" ref="N80">IF(ISNA(INDEX(O80:AP80,MATCH(FALSE,ISBLANK(O80:AP80),0))),"",INDEX(O80:AP80,MATCH(FALSE,ISBLANK(O80:AP80),0)))</f>
        <v/>
      </c>
      <c r="AQ80" s="19"/>
    </row>
    <row r="81" spans="1:43" ht="14.4">
      <c r="A81" s="4" t="s">
        <v>619</v>
      </c>
      <c r="B81" s="4" t="s">
        <v>620</v>
      </c>
      <c r="C81" s="4"/>
      <c r="D81" s="5" t="s">
        <v>650</v>
      </c>
      <c r="E81" s="3" t="s">
        <v>651</v>
      </c>
      <c r="H81" s="4" t="s">
        <v>652</v>
      </c>
      <c r="N81" s="3" t="str" cm="1">
        <f t="array" ref="N81">IF(ISNA(INDEX(O81:AP81,MATCH(FALSE,ISBLANK(O81:AP81),0))),"",INDEX(O81:AP81,MATCH(FALSE,ISBLANK(O81:AP81),0)))</f>
        <v/>
      </c>
      <c r="AQ81" s="19"/>
    </row>
    <row r="82" spans="1:43" ht="14.4">
      <c r="A82" s="4" t="s">
        <v>619</v>
      </c>
      <c r="B82" s="4" t="s">
        <v>620</v>
      </c>
      <c r="C82" s="4"/>
      <c r="D82" s="5"/>
      <c r="E82" s="3" t="s">
        <v>653</v>
      </c>
      <c r="N82" s="3" t="str" cm="1">
        <f t="array" ref="N82">IF(ISNA(INDEX(O82:AP82,MATCH(FALSE,ISBLANK(O82:AP82),0))),"",INDEX(O82:AP82,MATCH(FALSE,ISBLANK(O82:AP82),0)))</f>
        <v/>
      </c>
      <c r="AQ82" s="19"/>
    </row>
    <row r="83" spans="1:43" ht="14.4">
      <c r="A83" s="4" t="s">
        <v>619</v>
      </c>
      <c r="B83" s="4" t="s">
        <v>620</v>
      </c>
      <c r="C83" s="4"/>
      <c r="D83" s="5" t="s">
        <v>654</v>
      </c>
      <c r="K83" s="1" t="s">
        <v>655</v>
      </c>
      <c r="N83" s="3" t="str" cm="1">
        <f t="array" ref="N83">IF(ISNA(INDEX(O83:AP83,MATCH(FALSE,ISBLANK(O83:AP83),0))),"",INDEX(O83:AP83,MATCH(FALSE,ISBLANK(O83:AP83),0)))</f>
        <v/>
      </c>
      <c r="AQ83" s="19"/>
    </row>
    <row r="84" spans="1:43" ht="14.4">
      <c r="A84" s="4" t="s">
        <v>619</v>
      </c>
      <c r="B84" s="4" t="s">
        <v>620</v>
      </c>
      <c r="C84" s="4" t="s">
        <v>656</v>
      </c>
      <c r="D84" s="3"/>
      <c r="I84" s="1" t="s">
        <v>657</v>
      </c>
      <c r="N84" s="3" t="str" cm="1">
        <f t="array" ref="N84">IF(ISNA(INDEX(O84:AP84,MATCH(FALSE,ISBLANK(O84:AP84),0))),"",INDEX(O84:AP84,MATCH(FALSE,ISBLANK(O84:AP84),0)))</f>
        <v/>
      </c>
      <c r="AQ84" s="19"/>
    </row>
    <row r="85" spans="1:43" ht="14.4">
      <c r="A85" s="4" t="s">
        <v>619</v>
      </c>
      <c r="B85" s="4" t="s">
        <v>620</v>
      </c>
      <c r="C85" s="4"/>
      <c r="D85" s="3"/>
      <c r="I85" s="1" t="s">
        <v>44</v>
      </c>
      <c r="M85" s="3" t="s">
        <v>44</v>
      </c>
      <c r="N85" s="3" t="str" cm="1">
        <f t="array" ref="N85">IF(ISNA(INDEX(O85:AP85,MATCH(FALSE,ISBLANK(O85:AP85),0))),"",INDEX(O85:AP85,MATCH(FALSE,ISBLANK(O85:AP85),0)))</f>
        <v/>
      </c>
      <c r="AQ85" s="19"/>
    </row>
    <row r="86" spans="1:43" ht="14.4">
      <c r="A86" s="4" t="s">
        <v>619</v>
      </c>
      <c r="B86" s="4" t="s">
        <v>620</v>
      </c>
      <c r="C86" s="4"/>
      <c r="D86" s="3"/>
      <c r="E86" s="3" t="s">
        <v>658</v>
      </c>
      <c r="N86" s="3" t="str" cm="1">
        <f t="array" ref="N86">IF(ISNA(INDEX(O86:AP86,MATCH(FALSE,ISBLANK(O86:AP86),0))),"",INDEX(O86:AP86,MATCH(FALSE,ISBLANK(O86:AP86),0)))</f>
        <v/>
      </c>
      <c r="AQ86" s="19"/>
    </row>
    <row r="87" spans="1:43" ht="14.4">
      <c r="A87" s="4" t="s">
        <v>619</v>
      </c>
      <c r="B87" s="4" t="s">
        <v>620</v>
      </c>
      <c r="C87" s="4"/>
      <c r="D87" s="5" t="s">
        <v>659</v>
      </c>
      <c r="E87" s="3" t="s">
        <v>660</v>
      </c>
      <c r="N87" s="3" t="str" cm="1">
        <f t="array" ref="N87">IF(ISNA(INDEX(O87:AP87,MATCH(FALSE,ISBLANK(O87:AP87),0))),"",INDEX(O87:AP87,MATCH(FALSE,ISBLANK(O87:AP87),0)))</f>
        <v/>
      </c>
      <c r="AQ87" s="19"/>
    </row>
    <row r="88" spans="1:43" ht="14.4">
      <c r="A88" s="4" t="s">
        <v>619</v>
      </c>
      <c r="B88" s="4" t="s">
        <v>620</v>
      </c>
      <c r="C88" s="4"/>
      <c r="D88" s="5" t="s">
        <v>661</v>
      </c>
      <c r="E88" s="3" t="s">
        <v>662</v>
      </c>
      <c r="H88" s="4" t="s">
        <v>663</v>
      </c>
      <c r="N88" s="3" t="str" cm="1">
        <f t="array" ref="N88">IF(ISNA(INDEX(O88:AP88,MATCH(FALSE,ISBLANK(O88:AP88),0))),"",INDEX(O88:AP88,MATCH(FALSE,ISBLANK(O88:AP88),0)))</f>
        <v/>
      </c>
      <c r="AQ88" s="19"/>
    </row>
    <row r="89" spans="1:43" ht="14.4">
      <c r="A89" s="4" t="s">
        <v>619</v>
      </c>
      <c r="B89" s="4" t="s">
        <v>620</v>
      </c>
      <c r="C89" s="4"/>
      <c r="D89" s="5"/>
      <c r="E89" s="3"/>
      <c r="H89" s="4"/>
      <c r="N89" s="3" t="str" cm="1">
        <f t="array" ref="N89">IF(ISNA(INDEX(O89:AP89,MATCH(FALSE,ISBLANK(O89:AP89),0))),"",INDEX(O89:AP89,MATCH(FALSE,ISBLANK(O89:AP89),0)))</f>
        <v>mean birth date</v>
      </c>
      <c r="P89" s="1" t="s">
        <v>664</v>
      </c>
      <c r="AC89" s="1" t="s">
        <v>665</v>
      </c>
      <c r="AQ89" s="19"/>
    </row>
    <row r="90" spans="1:43" ht="14.4">
      <c r="A90" s="4" t="s">
        <v>619</v>
      </c>
      <c r="B90" s="4" t="s">
        <v>620</v>
      </c>
      <c r="C90" s="4"/>
      <c r="D90" s="5"/>
      <c r="E90" s="3" t="s">
        <v>666</v>
      </c>
      <c r="N90" s="3" t="str" cm="1">
        <f t="array" ref="N90">IF(ISNA(INDEX(O90:AP90,MATCH(FALSE,ISBLANK(O90:AP90),0))),"",INDEX(O90:AP90,MATCH(FALSE,ISBLANK(O90:AP90),0)))</f>
        <v/>
      </c>
      <c r="AQ90" s="19"/>
    </row>
    <row r="91" spans="1:43" ht="14.4">
      <c r="A91" s="4" t="s">
        <v>619</v>
      </c>
      <c r="B91" s="4" t="s">
        <v>620</v>
      </c>
      <c r="C91" s="4"/>
      <c r="D91" s="5"/>
      <c r="E91" s="3" t="s">
        <v>667</v>
      </c>
      <c r="N91" s="3" t="str" cm="1">
        <f t="array" ref="N91">IF(ISNA(INDEX(O91:AP91,MATCH(FALSE,ISBLANK(O91:AP91),0))),"",INDEX(O91:AP91,MATCH(FALSE,ISBLANK(O91:AP91),0)))</f>
        <v/>
      </c>
      <c r="AQ91" s="19"/>
    </row>
    <row r="92" spans="1:43" ht="14.4">
      <c r="A92" s="4" t="s">
        <v>619</v>
      </c>
      <c r="B92" s="4" t="s">
        <v>620</v>
      </c>
      <c r="C92" s="4"/>
      <c r="D92" s="5"/>
      <c r="E92" s="3" t="s">
        <v>668</v>
      </c>
      <c r="N92" s="3" t="str" cm="1">
        <f t="array" ref="N92">IF(ISNA(INDEX(O92:AP92,MATCH(FALSE,ISBLANK(O92:AP92),0))),"",INDEX(O92:AP92,MATCH(FALSE,ISBLANK(O92:AP92),0)))</f>
        <v/>
      </c>
      <c r="AQ92" s="19"/>
    </row>
    <row r="93" spans="1:43" ht="14.4">
      <c r="A93" s="4" t="s">
        <v>619</v>
      </c>
      <c r="B93" s="4" t="s">
        <v>620</v>
      </c>
      <c r="C93" s="4"/>
      <c r="D93" s="5" t="s">
        <v>669</v>
      </c>
      <c r="F93" s="4" t="s">
        <v>670</v>
      </c>
      <c r="H93" s="4" t="s">
        <v>671</v>
      </c>
      <c r="N93" s="3" t="str" cm="1">
        <f t="array" ref="N93">IF(ISNA(INDEX(O93:AP93,MATCH(FALSE,ISBLANK(O93:AP93),0))),"",INDEX(O93:AP93,MATCH(FALSE,ISBLANK(O93:AP93),0)))</f>
        <v/>
      </c>
      <c r="AQ93" s="19"/>
    </row>
    <row r="94" spans="1:43" ht="14.4">
      <c r="A94" s="4" t="s">
        <v>619</v>
      </c>
      <c r="B94" s="4" t="s">
        <v>620</v>
      </c>
      <c r="C94" s="4"/>
      <c r="D94" s="5"/>
      <c r="F94" s="4"/>
      <c r="H94" s="4" t="s">
        <v>672</v>
      </c>
      <c r="K94" s="4"/>
      <c r="L94" s="1" t="s">
        <v>673</v>
      </c>
      <c r="N94" s="3" t="str" cm="1">
        <f t="array" ref="N94">IF(ISNA(INDEX(O94:AP94,MATCH(FALSE,ISBLANK(O94:AP94),0))),"",INDEX(O94:AP94,MATCH(FALSE,ISBLANK(O94:AP94),0)))</f>
        <v/>
      </c>
      <c r="AQ94" s="19"/>
    </row>
    <row r="95" spans="1:43" ht="14.4">
      <c r="A95" s="4" t="s">
        <v>619</v>
      </c>
      <c r="B95" s="4" t="s">
        <v>620</v>
      </c>
      <c r="C95" s="4"/>
      <c r="D95" s="5"/>
      <c r="E95" s="3" t="s">
        <v>674</v>
      </c>
      <c r="K95" s="3"/>
      <c r="N95" s="3" t="str" cm="1">
        <f t="array" ref="N95">IF(ISNA(INDEX(O95:AP95,MATCH(FALSE,ISBLANK(O95:AP95),0))),"",INDEX(O95:AP95,MATCH(FALSE,ISBLANK(O95:AP95),0)))</f>
        <v/>
      </c>
      <c r="AQ95" s="19"/>
    </row>
    <row r="96" spans="1:43" ht="14.4">
      <c r="A96" s="4" t="s">
        <v>619</v>
      </c>
      <c r="B96" s="4" t="s">
        <v>620</v>
      </c>
      <c r="C96" s="4"/>
      <c r="D96" s="5"/>
      <c r="E96" s="3" t="s">
        <v>675</v>
      </c>
      <c r="K96" s="3"/>
      <c r="N96" s="3" t="str" cm="1">
        <f t="array" ref="N96">IF(ISNA(INDEX(O96:AP96,MATCH(FALSE,ISBLANK(O96:AP96),0))),"",INDEX(O96:AP96,MATCH(FALSE,ISBLANK(O96:AP96),0)))</f>
        <v/>
      </c>
      <c r="AQ96" s="19"/>
    </row>
    <row r="97" spans="1:43" ht="14.4">
      <c r="A97" s="4" t="s">
        <v>619</v>
      </c>
      <c r="B97" s="4" t="s">
        <v>620</v>
      </c>
      <c r="C97" s="4"/>
      <c r="D97" s="5"/>
      <c r="E97" s="3"/>
      <c r="I97" s="1" t="s">
        <v>46</v>
      </c>
      <c r="K97" s="3"/>
      <c r="N97" s="3" t="str" cm="1">
        <f t="array" ref="N97">IF(ISNA(INDEX(O97:AP97,MATCH(FALSE,ISBLANK(O97:AP97),0))),"",INDEX(O97:AP97,MATCH(FALSE,ISBLANK(O97:AP97),0)))</f>
        <v/>
      </c>
      <c r="AQ97" s="19"/>
    </row>
    <row r="98" spans="1:43" ht="14.4">
      <c r="A98" s="4" t="s">
        <v>619</v>
      </c>
      <c r="B98" s="4" t="s">
        <v>620</v>
      </c>
      <c r="C98" s="4"/>
      <c r="D98" s="5"/>
      <c r="E98" s="3"/>
      <c r="I98" s="1" t="s">
        <v>676</v>
      </c>
      <c r="K98" s="3"/>
      <c r="N98" s="3" t="str" cm="1">
        <f t="array" ref="N98">IF(ISNA(INDEX(O98:AP98,MATCH(FALSE,ISBLANK(O98:AP98),0))),"",INDEX(O98:AP98,MATCH(FALSE,ISBLANK(O98:AP98),0)))</f>
        <v/>
      </c>
      <c r="AQ98" s="19"/>
    </row>
    <row r="99" spans="1:43" ht="14.4">
      <c r="A99" s="4" t="s">
        <v>619</v>
      </c>
      <c r="B99" s="4" t="s">
        <v>620</v>
      </c>
      <c r="C99" s="4" t="s">
        <v>677</v>
      </c>
      <c r="D99" s="5" t="s">
        <v>678</v>
      </c>
      <c r="E99" s="3" t="s">
        <v>679</v>
      </c>
      <c r="H99" s="4" t="s">
        <v>680</v>
      </c>
      <c r="N99" s="3" t="str" cm="1">
        <f t="array" ref="N99">IF(ISNA(INDEX(O99:AP99,MATCH(FALSE,ISBLANK(O99:AP99),0))),"",INDEX(O99:AP99,MATCH(FALSE,ISBLANK(O99:AP99),0)))</f>
        <v/>
      </c>
      <c r="AQ99" s="19"/>
    </row>
    <row r="100" spans="1:43" ht="14.4">
      <c r="A100" s="4" t="s">
        <v>619</v>
      </c>
      <c r="B100" s="4" t="s">
        <v>620</v>
      </c>
      <c r="C100" s="4"/>
      <c r="D100" s="5" t="s">
        <v>681</v>
      </c>
      <c r="F100" s="4" t="s">
        <v>682</v>
      </c>
      <c r="H100" s="4" t="s">
        <v>683</v>
      </c>
      <c r="N100" s="3" t="str" cm="1">
        <f t="array" ref="N100">IF(ISNA(INDEX(O100:AP100,MATCH(FALSE,ISBLANK(O100:AP100),0))),"",INDEX(O100:AP100,MATCH(FALSE,ISBLANK(O100:AP100),0)))</f>
        <v/>
      </c>
      <c r="AQ100" s="19"/>
    </row>
    <row r="101" spans="1:43" ht="14.4">
      <c r="A101" s="4" t="s">
        <v>619</v>
      </c>
      <c r="B101" s="4" t="s">
        <v>620</v>
      </c>
      <c r="C101" s="4"/>
      <c r="D101" s="5" t="s">
        <v>684</v>
      </c>
      <c r="F101" s="4" t="s">
        <v>685</v>
      </c>
      <c r="H101" s="4" t="s">
        <v>686</v>
      </c>
      <c r="N101" s="3" t="str" cm="1">
        <f t="array" ref="N101">IF(ISNA(INDEX(O101:AP101,MATCH(FALSE,ISBLANK(O101:AP101),0))),"",INDEX(O101:AP101,MATCH(FALSE,ISBLANK(O101:AP101),0)))</f>
        <v/>
      </c>
      <c r="AQ101" s="19"/>
    </row>
    <row r="102" spans="1:43" ht="14.4">
      <c r="A102" s="4" t="s">
        <v>619</v>
      </c>
      <c r="B102" s="4" t="s">
        <v>620</v>
      </c>
      <c r="C102" s="4"/>
      <c r="D102" s="5"/>
      <c r="F102" s="4"/>
      <c r="H102" s="4" t="s">
        <v>687</v>
      </c>
      <c r="N102" s="3" t="str" cm="1">
        <f t="array" ref="N102">IF(ISNA(INDEX(O102:AP102,MATCH(FALSE,ISBLANK(O102:AP102),0))),"",INDEX(O102:AP102,MATCH(FALSE,ISBLANK(O102:AP102),0)))</f>
        <v/>
      </c>
      <c r="AQ102" s="19"/>
    </row>
    <row r="103" spans="1:43" ht="14.4">
      <c r="A103" s="4" t="s">
        <v>619</v>
      </c>
      <c r="B103" s="4" t="s">
        <v>620</v>
      </c>
      <c r="C103" s="4"/>
      <c r="D103" s="5"/>
      <c r="F103" s="4"/>
      <c r="H103" s="4" t="s">
        <v>688</v>
      </c>
      <c r="N103" s="3" t="str" cm="1">
        <f t="array" ref="N103">IF(ISNA(INDEX(O103:AP103,MATCH(FALSE,ISBLANK(O103:AP103),0))),"",INDEX(O103:AP103,MATCH(FALSE,ISBLANK(O103:AP103),0)))</f>
        <v/>
      </c>
      <c r="AQ103" s="19"/>
    </row>
    <row r="104" spans="1:43" ht="14.4">
      <c r="A104" s="4" t="s">
        <v>619</v>
      </c>
      <c r="B104" s="4" t="s">
        <v>620</v>
      </c>
      <c r="C104" s="4" t="s">
        <v>689</v>
      </c>
      <c r="D104" s="3"/>
      <c r="N104" s="3" t="str" cm="1">
        <f t="array" ref="N104">IF(ISNA(INDEX(O104:AP104,MATCH(FALSE,ISBLANK(O104:AP104),0))),"",INDEX(O104:AP104,MATCH(FALSE,ISBLANK(O104:AP104),0)))</f>
        <v/>
      </c>
      <c r="AQ104" s="19"/>
    </row>
    <row r="105" spans="1:43" ht="14.4">
      <c r="A105" s="4" t="s">
        <v>619</v>
      </c>
      <c r="B105" s="4" t="s">
        <v>620</v>
      </c>
      <c r="C105" s="4"/>
      <c r="D105" s="3"/>
      <c r="E105" s="3" t="s">
        <v>690</v>
      </c>
      <c r="N105" s="3" t="str" cm="1">
        <f t="array" ref="N105">IF(ISNA(INDEX(O105:AP105,MATCH(FALSE,ISBLANK(O105:AP105),0))),"",INDEX(O105:AP105,MATCH(FALSE,ISBLANK(O105:AP105),0)))</f>
        <v/>
      </c>
      <c r="AQ105" s="19"/>
    </row>
    <row r="106" spans="1:43" ht="14.4">
      <c r="A106" s="4" t="s">
        <v>619</v>
      </c>
      <c r="B106" s="4" t="s">
        <v>620</v>
      </c>
      <c r="C106" s="4"/>
      <c r="D106" s="3"/>
      <c r="E106" s="3" t="s">
        <v>691</v>
      </c>
      <c r="N106" s="3" t="str" cm="1">
        <f t="array" ref="N106">IF(ISNA(INDEX(O106:AP106,MATCH(FALSE,ISBLANK(O106:AP106),0))),"",INDEX(O106:AP106,MATCH(FALSE,ISBLANK(O106:AP106),0)))</f>
        <v/>
      </c>
      <c r="AQ106" s="19"/>
    </row>
    <row r="107" spans="1:43" ht="14.4">
      <c r="A107" s="4" t="s">
        <v>619</v>
      </c>
      <c r="B107" s="4" t="s">
        <v>620</v>
      </c>
      <c r="C107" s="4"/>
      <c r="D107" s="3"/>
      <c r="E107" s="3" t="s">
        <v>692</v>
      </c>
      <c r="N107" s="3" t="str" cm="1">
        <f t="array" ref="N107">IF(ISNA(INDEX(O107:AP107,MATCH(FALSE,ISBLANK(O107:AP107),0))),"",INDEX(O107:AP107,MATCH(FALSE,ISBLANK(O107:AP107),0)))</f>
        <v/>
      </c>
      <c r="AQ107" s="19"/>
    </row>
    <row r="108" spans="1:43" ht="14.4">
      <c r="A108" s="4" t="s">
        <v>619</v>
      </c>
      <c r="B108" s="4" t="s">
        <v>620</v>
      </c>
      <c r="C108" s="4"/>
      <c r="D108" s="3"/>
      <c r="E108" s="3" t="s">
        <v>693</v>
      </c>
      <c r="N108" s="3" t="str" cm="1">
        <f t="array" ref="N108">IF(ISNA(INDEX(O108:AP108,MATCH(FALSE,ISBLANK(O108:AP108),0))),"",INDEX(O108:AP108,MATCH(FALSE,ISBLANK(O108:AP108),0)))</f>
        <v/>
      </c>
      <c r="AQ108" s="19"/>
    </row>
    <row r="109" spans="1:43" ht="14.4">
      <c r="A109" s="4" t="s">
        <v>619</v>
      </c>
      <c r="B109" s="4" t="s">
        <v>694</v>
      </c>
      <c r="C109" s="4" t="s">
        <v>695</v>
      </c>
      <c r="D109" s="3"/>
      <c r="N109" s="3" t="str" cm="1">
        <f t="array" ref="N109">IF(ISNA(INDEX(O109:AP109,MATCH(FALSE,ISBLANK(O109:AP109),0))),"",INDEX(O109:AP109,MATCH(FALSE,ISBLANK(O109:AP109),0)))</f>
        <v/>
      </c>
      <c r="AQ109" s="19"/>
    </row>
    <row r="110" spans="1:43" ht="14.4">
      <c r="A110" s="4" t="s">
        <v>619</v>
      </c>
      <c r="B110" s="4" t="s">
        <v>694</v>
      </c>
      <c r="C110" s="4"/>
      <c r="D110" s="3"/>
      <c r="F110" s="4" t="s">
        <v>696</v>
      </c>
      <c r="H110" s="4"/>
      <c r="N110" s="3" t="str" cm="1">
        <f t="array" ref="N110">IF(ISNA(INDEX(O110:AP110,MATCH(FALSE,ISBLANK(O110:AP110),0))),"",INDEX(O110:AP110,MATCH(FALSE,ISBLANK(O110:AP110),0)))</f>
        <v/>
      </c>
      <c r="AQ110" s="19"/>
    </row>
    <row r="111" spans="1:43" ht="14.4">
      <c r="A111" s="4" t="s">
        <v>619</v>
      </c>
      <c r="B111" s="4" t="s">
        <v>694</v>
      </c>
      <c r="C111" s="4" t="s">
        <v>697</v>
      </c>
      <c r="D111" s="3"/>
      <c r="N111" s="3" t="str" cm="1">
        <f t="array" ref="N111">IF(ISNA(INDEX(O111:AP111,MATCH(FALSE,ISBLANK(O111:AP111),0))),"",INDEX(O111:AP111,MATCH(FALSE,ISBLANK(O111:AP111),0)))</f>
        <v/>
      </c>
      <c r="AQ111" s="19"/>
    </row>
    <row r="112" spans="1:43" ht="14.4">
      <c r="A112" s="4" t="s">
        <v>619</v>
      </c>
      <c r="B112" s="4" t="s">
        <v>694</v>
      </c>
      <c r="C112" s="4" t="s">
        <v>698</v>
      </c>
      <c r="D112" s="3"/>
      <c r="N112" s="3" t="str" cm="1">
        <f t="array" ref="N112">IF(ISNA(INDEX(O112:AP112,MATCH(FALSE,ISBLANK(O112:AP112),0))),"",INDEX(O112:AP112,MATCH(FALSE,ISBLANK(O112:AP112),0)))</f>
        <v/>
      </c>
      <c r="AQ112" s="19"/>
    </row>
    <row r="113" spans="1:43" ht="14.4">
      <c r="A113" s="4" t="s">
        <v>619</v>
      </c>
      <c r="B113" s="4" t="s">
        <v>694</v>
      </c>
      <c r="C113" s="4" t="s">
        <v>699</v>
      </c>
      <c r="D113" s="3"/>
      <c r="N113" s="3" t="str" cm="1">
        <f t="array" ref="N113">IF(ISNA(INDEX(O113:AP113,MATCH(FALSE,ISBLANK(O113:AP113),0))),"",INDEX(O113:AP113,MATCH(FALSE,ISBLANK(O113:AP113),0)))</f>
        <v/>
      </c>
      <c r="AQ113" s="19"/>
    </row>
    <row r="114" spans="1:43" ht="14.4">
      <c r="A114" s="4" t="s">
        <v>619</v>
      </c>
      <c r="B114" s="4" t="s">
        <v>694</v>
      </c>
      <c r="C114" s="4" t="s">
        <v>700</v>
      </c>
      <c r="D114" s="3"/>
      <c r="F114" s="4" t="s">
        <v>701</v>
      </c>
      <c r="M114" s="3" t="s">
        <v>702</v>
      </c>
      <c r="N114" s="3" t="str" cm="1">
        <f t="array" ref="N114">IF(ISNA(INDEX(O114:AP114,MATCH(FALSE,ISBLANK(O114:AP114),0))),"",INDEX(O114:AP114,MATCH(FALSE,ISBLANK(O114:AP114),0)))</f>
        <v/>
      </c>
      <c r="AQ114" s="19"/>
    </row>
    <row r="115" spans="1:43" ht="14.4">
      <c r="A115" s="4" t="s">
        <v>619</v>
      </c>
      <c r="B115" s="4" t="s">
        <v>694</v>
      </c>
      <c r="C115" s="4"/>
      <c r="D115" s="3"/>
      <c r="F115" s="4"/>
      <c r="M115" s="3" t="s">
        <v>703</v>
      </c>
      <c r="N115" s="3" t="str" cm="1">
        <f t="array" ref="N115">IF(ISNA(INDEX(O115:AP115,MATCH(FALSE,ISBLANK(O115:AP115),0))),"",INDEX(O115:AP115,MATCH(FALSE,ISBLANK(O115:AP115),0)))</f>
        <v/>
      </c>
      <c r="AQ115" s="19"/>
    </row>
    <row r="116" spans="1:43" ht="14.4">
      <c r="A116" s="4" t="s">
        <v>619</v>
      </c>
      <c r="B116" s="4" t="s">
        <v>694</v>
      </c>
      <c r="C116" s="4"/>
      <c r="D116" s="3"/>
      <c r="F116" s="4"/>
      <c r="M116" s="3" t="s">
        <v>704</v>
      </c>
      <c r="N116" s="3" t="str" cm="1">
        <f t="array" ref="N116">IF(ISNA(INDEX(O116:AP116,MATCH(FALSE,ISBLANK(O116:AP116),0))),"",INDEX(O116:AP116,MATCH(FALSE,ISBLANK(O116:AP116),0)))</f>
        <v/>
      </c>
      <c r="AQ116" s="19"/>
    </row>
    <row r="117" spans="1:43" ht="14.4">
      <c r="A117" s="4" t="s">
        <v>619</v>
      </c>
      <c r="B117" s="4" t="s">
        <v>694</v>
      </c>
      <c r="C117" s="4"/>
      <c r="D117" s="3"/>
      <c r="F117" s="4" t="s">
        <v>705</v>
      </c>
      <c r="H117" s="4"/>
      <c r="N117" s="3" t="str" cm="1">
        <f t="array" ref="N117">IF(ISNA(INDEX(O117:AP117,MATCH(FALSE,ISBLANK(O117:AP117),0))),"",INDEX(O117:AP117,MATCH(FALSE,ISBLANK(O117:AP117),0)))</f>
        <v/>
      </c>
      <c r="AQ117" s="19"/>
    </row>
    <row r="118" spans="1:43" ht="14.4">
      <c r="A118" s="4" t="s">
        <v>619</v>
      </c>
      <c r="B118" s="4" t="s">
        <v>694</v>
      </c>
      <c r="C118" s="4"/>
      <c r="D118" s="3"/>
      <c r="F118" s="4" t="s">
        <v>706</v>
      </c>
      <c r="H118" s="4"/>
      <c r="N118" s="3" t="str" cm="1">
        <f t="array" ref="N118">IF(ISNA(INDEX(O118:AP118,MATCH(FALSE,ISBLANK(O118:AP118),0))),"",INDEX(O118:AP118,MATCH(FALSE,ISBLANK(O118:AP118),0)))</f>
        <v/>
      </c>
      <c r="AQ118" s="19"/>
    </row>
    <row r="119" spans="1:43" ht="14.4">
      <c r="A119" s="4" t="s">
        <v>619</v>
      </c>
      <c r="B119" s="4" t="s">
        <v>694</v>
      </c>
      <c r="C119" s="4"/>
      <c r="D119" s="3"/>
      <c r="F119" s="4" t="s">
        <v>707</v>
      </c>
      <c r="H119" s="4"/>
      <c r="N119" s="3" t="str" cm="1">
        <f t="array" ref="N119">IF(ISNA(INDEX(O119:AP119,MATCH(FALSE,ISBLANK(O119:AP119),0))),"",INDEX(O119:AP119,MATCH(FALSE,ISBLANK(O119:AP119),0)))</f>
        <v/>
      </c>
      <c r="AQ119" s="19"/>
    </row>
    <row r="120" spans="1:43" ht="14.4">
      <c r="A120" s="4" t="s">
        <v>619</v>
      </c>
      <c r="B120" s="4" t="s">
        <v>694</v>
      </c>
      <c r="C120" s="4"/>
      <c r="D120" s="3"/>
      <c r="F120" s="4" t="s">
        <v>708</v>
      </c>
      <c r="H120" s="4"/>
      <c r="N120" s="3" t="str" cm="1">
        <f t="array" ref="N120">IF(ISNA(INDEX(O120:AP120,MATCH(FALSE,ISBLANK(O120:AP120),0))),"",INDEX(O120:AP120,MATCH(FALSE,ISBLANK(O120:AP120),0)))</f>
        <v/>
      </c>
      <c r="AQ120" s="19"/>
    </row>
    <row r="121" spans="1:43" ht="14.4">
      <c r="A121" s="4" t="s">
        <v>619</v>
      </c>
      <c r="B121" s="4" t="s">
        <v>694</v>
      </c>
      <c r="C121" s="4"/>
      <c r="D121" s="3"/>
      <c r="F121" s="4" t="s">
        <v>709</v>
      </c>
      <c r="H121" s="4"/>
      <c r="N121" s="3" t="str" cm="1">
        <f t="array" ref="N121">IF(ISNA(INDEX(O121:AP121,MATCH(FALSE,ISBLANK(O121:AP121),0))),"",INDEX(O121:AP121,MATCH(FALSE,ISBLANK(O121:AP121),0)))</f>
        <v/>
      </c>
      <c r="AQ121" s="19"/>
    </row>
    <row r="122" spans="1:43" ht="14.4">
      <c r="A122" s="4" t="s">
        <v>619</v>
      </c>
      <c r="B122" s="4" t="s">
        <v>694</v>
      </c>
      <c r="C122" s="4"/>
      <c r="D122" s="3"/>
      <c r="F122" s="4" t="s">
        <v>710</v>
      </c>
      <c r="H122" s="4"/>
      <c r="N122" s="3" t="str" cm="1">
        <f t="array" ref="N122">IF(ISNA(INDEX(O122:AP122,MATCH(FALSE,ISBLANK(O122:AP122),0))),"",INDEX(O122:AP122,MATCH(FALSE,ISBLANK(O122:AP122),0)))</f>
        <v>thermal index</v>
      </c>
      <c r="P122" s="1" t="s">
        <v>711</v>
      </c>
      <c r="AQ122" s="19"/>
    </row>
    <row r="123" spans="1:43" ht="14.4">
      <c r="A123" s="4" t="s">
        <v>619</v>
      </c>
      <c r="B123" s="4" t="s">
        <v>694</v>
      </c>
      <c r="C123" s="4" t="s">
        <v>712</v>
      </c>
      <c r="D123" s="3"/>
      <c r="F123" s="4" t="s">
        <v>713</v>
      </c>
      <c r="M123" s="3" t="s">
        <v>714</v>
      </c>
      <c r="N123" s="3" t="str" cm="1">
        <f t="array" ref="N123">IF(ISNA(INDEX(O123:AP123,MATCH(FALSE,ISBLANK(O123:AP123),0))),"",INDEX(O123:AP123,MATCH(FALSE,ISBLANK(O123:AP123),0)))</f>
        <v/>
      </c>
      <c r="O123" s="3"/>
      <c r="AQ123" s="19"/>
    </row>
    <row r="124" spans="1:43" ht="14.4">
      <c r="A124" s="4" t="s">
        <v>619</v>
      </c>
      <c r="B124" s="4" t="s">
        <v>694</v>
      </c>
      <c r="C124" s="4"/>
      <c r="D124" s="3"/>
      <c r="F124" s="4" t="s">
        <v>715</v>
      </c>
      <c r="N124" s="3" t="str" cm="1">
        <f t="array" ref="N124">IF(ISNA(INDEX(O124:AP124,MATCH(FALSE,ISBLANK(O124:AP124),0))),"",INDEX(O124:AP124,MATCH(FALSE,ISBLANK(O124:AP124),0)))</f>
        <v/>
      </c>
      <c r="AQ124" s="19"/>
    </row>
    <row r="125" spans="1:43" ht="14.4">
      <c r="A125" s="4" t="s">
        <v>619</v>
      </c>
      <c r="B125" s="4" t="s">
        <v>694</v>
      </c>
      <c r="C125" s="4"/>
      <c r="D125" s="3"/>
      <c r="F125" s="4" t="s">
        <v>716</v>
      </c>
      <c r="N125" s="3" t="str" cm="1">
        <f t="array" ref="N125">IF(ISNA(INDEX(O125:AP125,MATCH(FALSE,ISBLANK(O125:AP125),0))),"",INDEX(O125:AP125,MATCH(FALSE,ISBLANK(O125:AP125),0)))</f>
        <v/>
      </c>
      <c r="AQ125" s="19"/>
    </row>
    <row r="126" spans="1:43" ht="14.4">
      <c r="A126" s="4" t="s">
        <v>619</v>
      </c>
      <c r="B126" s="4" t="s">
        <v>694</v>
      </c>
      <c r="C126" s="4"/>
      <c r="D126" s="3"/>
      <c r="F126" s="4" t="s">
        <v>717</v>
      </c>
      <c r="N126" s="3" t="str" cm="1">
        <f t="array" ref="N126">IF(ISNA(INDEX(O126:AP126,MATCH(FALSE,ISBLANK(O126:AP126),0))),"",INDEX(O126:AP126,MATCH(FALSE,ISBLANK(O126:AP126),0)))</f>
        <v/>
      </c>
      <c r="AQ126" s="19"/>
    </row>
    <row r="127" spans="1:43" ht="14.4">
      <c r="A127" s="4" t="s">
        <v>619</v>
      </c>
      <c r="B127" s="4" t="s">
        <v>694</v>
      </c>
      <c r="C127" s="4"/>
      <c r="D127" s="5" t="s">
        <v>718</v>
      </c>
      <c r="E127" s="3" t="s">
        <v>719</v>
      </c>
      <c r="F127" s="4" t="s">
        <v>720</v>
      </c>
      <c r="L127" s="1" t="s">
        <v>721</v>
      </c>
      <c r="N127" s="3" t="str" cm="1">
        <f t="array" ref="N127">IF(ISNA(INDEX(O127:AP127,MATCH(FALSE,ISBLANK(O127:AP127),0))),"",INDEX(O127:AP127,MATCH(FALSE,ISBLANK(O127:AP127),0)))</f>
        <v/>
      </c>
      <c r="AQ127" s="19"/>
    </row>
    <row r="128" spans="1:43" ht="14.4">
      <c r="A128" s="4" t="s">
        <v>619</v>
      </c>
      <c r="B128" s="4" t="s">
        <v>694</v>
      </c>
      <c r="C128" s="4"/>
      <c r="D128" s="5"/>
      <c r="E128" s="3" t="s">
        <v>722</v>
      </c>
      <c r="N128" s="3" t="str" cm="1">
        <f t="array" ref="N128">IF(ISNA(INDEX(O128:AP128,MATCH(FALSE,ISBLANK(O128:AP128),0))),"",INDEX(O128:AP128,MATCH(FALSE,ISBLANK(O128:AP128),0)))</f>
        <v/>
      </c>
      <c r="AQ128" s="19"/>
    </row>
    <row r="129" spans="1:43" ht="14.4">
      <c r="A129" s="4" t="s">
        <v>619</v>
      </c>
      <c r="B129" s="4" t="s">
        <v>694</v>
      </c>
      <c r="C129" s="4"/>
      <c r="D129" s="5"/>
      <c r="E129" s="3"/>
      <c r="F129" s="4" t="s">
        <v>723</v>
      </c>
      <c r="N129" s="3" t="str" cm="1">
        <f t="array" ref="N129">IF(ISNA(INDEX(O129:AP129,MATCH(FALSE,ISBLANK(O129:AP129),0))),"",INDEX(O129:AP129,MATCH(FALSE,ISBLANK(O129:AP129),0)))</f>
        <v/>
      </c>
      <c r="AQ129" s="19"/>
    </row>
    <row r="130" spans="1:43" ht="14.4">
      <c r="A130" s="4" t="s">
        <v>619</v>
      </c>
      <c r="B130" s="4" t="s">
        <v>694</v>
      </c>
      <c r="C130" s="4"/>
      <c r="D130" s="5"/>
      <c r="E130" s="3"/>
      <c r="F130" s="4" t="s">
        <v>724</v>
      </c>
      <c r="N130" s="3" t="str" cm="1">
        <f t="array" ref="N130">IF(ISNA(INDEX(O130:AP130,MATCH(FALSE,ISBLANK(O130:AP130),0))),"",INDEX(O130:AP130,MATCH(FALSE,ISBLANK(O130:AP130),0)))</f>
        <v/>
      </c>
      <c r="AQ130" s="19"/>
    </row>
    <row r="131" spans="1:43" ht="14.4">
      <c r="A131" s="4" t="s">
        <v>619</v>
      </c>
      <c r="B131" s="4" t="s">
        <v>694</v>
      </c>
      <c r="C131" s="4"/>
      <c r="D131" s="5"/>
      <c r="E131" s="3"/>
      <c r="F131" s="4" t="s">
        <v>725</v>
      </c>
      <c r="N131" s="3" t="str" cm="1">
        <f t="array" ref="N131">IF(ISNA(INDEX(O131:AP131,MATCH(FALSE,ISBLANK(O131:AP131),0))),"",INDEX(O131:AP131,MATCH(FALSE,ISBLANK(O131:AP131),0)))</f>
        <v/>
      </c>
      <c r="AQ131" s="19"/>
    </row>
    <row r="132" spans="1:43" ht="14.4">
      <c r="A132" s="4" t="s">
        <v>619</v>
      </c>
      <c r="B132" s="4" t="s">
        <v>726</v>
      </c>
      <c r="C132" s="4" t="s">
        <v>727</v>
      </c>
      <c r="D132" s="3"/>
      <c r="E132" s="3" t="s">
        <v>728</v>
      </c>
      <c r="N132" s="3" t="str" cm="1">
        <f t="array" ref="N132">IF(ISNA(INDEX(O132:AP132,MATCH(FALSE,ISBLANK(O132:AP132),0))),"",INDEX(O132:AP132,MATCH(FALSE,ISBLANK(O132:AP132),0)))</f>
        <v>migration strategy</v>
      </c>
      <c r="P132" s="1" t="s">
        <v>729</v>
      </c>
      <c r="AC132" s="1" t="s">
        <v>730</v>
      </c>
      <c r="AQ132" s="19"/>
    </row>
    <row r="133" spans="1:43" ht="14.4">
      <c r="A133" s="4" t="s">
        <v>619</v>
      </c>
      <c r="B133" s="4" t="s">
        <v>726</v>
      </c>
      <c r="C133" s="4" t="s">
        <v>731</v>
      </c>
      <c r="N133" s="3" t="str" cm="1">
        <f t="array" ref="N133">IF(ISNA(INDEX(O133:AP133,MATCH(FALSE,ISBLANK(O133:AP133),0))),"",INDEX(O133:AP133,MATCH(FALSE,ISBLANK(O133:AP133),0)))</f>
        <v/>
      </c>
      <c r="AQ133" s="19"/>
    </row>
    <row r="134" spans="1:43" ht="14.4">
      <c r="A134" s="4" t="s">
        <v>619</v>
      </c>
      <c r="B134" s="4" t="s">
        <v>726</v>
      </c>
      <c r="C134" s="4"/>
      <c r="D134" s="5" t="s">
        <v>732</v>
      </c>
      <c r="N134" s="3" t="str" cm="1">
        <f t="array" ref="N134">IF(ISNA(INDEX(O134:AP134,MATCH(FALSE,ISBLANK(O134:AP134),0))),"",INDEX(O134:AP134,MATCH(FALSE,ISBLANK(O134:AP134),0)))</f>
        <v/>
      </c>
      <c r="AQ134" s="19"/>
    </row>
    <row r="135" spans="1:43" ht="14.4">
      <c r="A135" s="4" t="s">
        <v>619</v>
      </c>
      <c r="B135" s="4" t="s">
        <v>726</v>
      </c>
      <c r="C135" s="4"/>
      <c r="D135" s="5"/>
      <c r="E135" s="3" t="s">
        <v>733</v>
      </c>
      <c r="N135" s="3" t="str" cm="1">
        <f t="array" ref="N135">IF(ISNA(INDEX(O135:AP135,MATCH(FALSE,ISBLANK(O135:AP135),0))),"",INDEX(O135:AP135,MATCH(FALSE,ISBLANK(O135:AP135),0)))</f>
        <v/>
      </c>
      <c r="AQ135" s="19"/>
    </row>
    <row r="136" spans="1:43" ht="14.4">
      <c r="A136" s="4" t="s">
        <v>619</v>
      </c>
      <c r="B136" s="4" t="s">
        <v>726</v>
      </c>
      <c r="C136" s="4" t="s">
        <v>734</v>
      </c>
      <c r="D136" s="3"/>
      <c r="N136" s="3" t="str" cm="1">
        <f t="array" ref="N136">IF(ISNA(INDEX(O136:AP136,MATCH(FALSE,ISBLANK(O136:AP136),0))),"",INDEX(O136:AP136,MATCH(FALSE,ISBLANK(O136:AP136),0)))</f>
        <v>Ability to fly</v>
      </c>
      <c r="S136" s="3" t="s">
        <v>735</v>
      </c>
      <c r="U136" s="3" t="s">
        <v>736</v>
      </c>
      <c r="W136" s="1" t="s">
        <v>737</v>
      </c>
      <c r="Y136" s="1" t="s">
        <v>738</v>
      </c>
      <c r="AE136" s="1" t="s">
        <v>734</v>
      </c>
      <c r="AN136" s="1" t="s">
        <v>739</v>
      </c>
      <c r="AQ136" s="19"/>
    </row>
    <row r="137" spans="1:43" ht="14.4">
      <c r="A137" s="4" t="s">
        <v>619</v>
      </c>
      <c r="B137" s="4" t="s">
        <v>726</v>
      </c>
      <c r="C137" s="4"/>
      <c r="D137" s="3"/>
      <c r="E137" s="3"/>
      <c r="F137" s="3"/>
      <c r="N137" s="3" t="str" cm="1">
        <f t="array" ref="N137">IF(ISNA(INDEX(O137:AP137,MATCH(FALSE,ISBLANK(O137:AP137),0))),"",INDEX(O137:AP137,MATCH(FALSE,ISBLANK(O137:AP137),0)))</f>
        <v>aerial</v>
      </c>
      <c r="Y137" s="1" t="s">
        <v>740</v>
      </c>
      <c r="Z137" s="1"/>
      <c r="AQ137" s="19"/>
    </row>
    <row r="138" spans="1:43" ht="14.4">
      <c r="A138" s="4" t="s">
        <v>619</v>
      </c>
      <c r="B138" s="4" t="s">
        <v>726</v>
      </c>
      <c r="C138" s="4"/>
      <c r="D138" s="3"/>
      <c r="E138" s="3" t="s">
        <v>741</v>
      </c>
      <c r="F138" s="3"/>
      <c r="N138" s="3" t="str" cm="1">
        <f t="array" ref="N138">IF(ISNA(INDEX(O138:AP138,MATCH(FALSE,ISBLANK(O138:AP138),0))),"",INDEX(O138:AP138,MATCH(FALSE,ISBLANK(O138:AP138),0)))</f>
        <v/>
      </c>
      <c r="AQ138" s="19"/>
    </row>
    <row r="139" spans="1:43" ht="14.4">
      <c r="A139" s="4" t="s">
        <v>619</v>
      </c>
      <c r="B139" s="4" t="s">
        <v>726</v>
      </c>
      <c r="C139" s="4"/>
      <c r="D139" s="3"/>
      <c r="E139" s="3" t="s">
        <v>742</v>
      </c>
      <c r="F139" s="3"/>
      <c r="N139" s="3" t="str" cm="1">
        <f t="array" ref="N139">IF(ISNA(INDEX(O139:AP139,MATCH(FALSE,ISBLANK(O139:AP139),0))),"",INDEX(O139:AP139,MATCH(FALSE,ISBLANK(O139:AP139),0)))</f>
        <v>gleaning</v>
      </c>
      <c r="Y139" s="1" t="s">
        <v>743</v>
      </c>
      <c r="AQ139" s="19"/>
    </row>
    <row r="140" spans="1:43" ht="14.4">
      <c r="A140" s="4" t="s">
        <v>619</v>
      </c>
      <c r="B140" s="4" t="s">
        <v>726</v>
      </c>
      <c r="C140" s="4"/>
      <c r="D140" s="3"/>
      <c r="E140" s="3" t="s">
        <v>744</v>
      </c>
      <c r="N140" s="3" t="str" cm="1">
        <f t="array" ref="N140">IF(ISNA(INDEX(O140:AP140,MATCH(FALSE,ISBLANK(O140:AP140),0))),"",INDEX(O140:AP140,MATCH(FALSE,ISBLANK(O140:AP140),0)))</f>
        <v/>
      </c>
      <c r="AQ140" s="19"/>
    </row>
    <row r="141" spans="1:43" ht="14.4">
      <c r="A141" s="4" t="s">
        <v>619</v>
      </c>
      <c r="B141" s="4" t="s">
        <v>726</v>
      </c>
      <c r="C141" s="4"/>
      <c r="D141" s="3"/>
      <c r="E141" s="3" t="s">
        <v>745</v>
      </c>
      <c r="N141" s="3" t="str" cm="1">
        <f t="array" ref="N141">IF(ISNA(INDEX(O141:AP141,MATCH(FALSE,ISBLANK(O141:AP141),0))),"",INDEX(O141:AP141,MATCH(FALSE,ISBLANK(O141:AP141),0)))</f>
        <v/>
      </c>
      <c r="AQ141" s="19"/>
    </row>
    <row r="142" spans="1:43" ht="14.4">
      <c r="A142" s="4" t="s">
        <v>619</v>
      </c>
      <c r="B142" s="4" t="s">
        <v>726</v>
      </c>
      <c r="C142" s="4"/>
      <c r="D142" s="3"/>
      <c r="E142" s="3" t="s">
        <v>746</v>
      </c>
      <c r="N142" s="3" t="str" cm="1">
        <f t="array" ref="N142">IF(ISNA(INDEX(O142:AP142,MATCH(FALSE,ISBLANK(O142:AP142),0))),"",INDEX(O142:AP142,MATCH(FALSE,ISBLANK(O142:AP142),0)))</f>
        <v>hover</v>
      </c>
      <c r="Y142" s="1" t="s">
        <v>747</v>
      </c>
      <c r="AQ142" s="19"/>
    </row>
    <row r="143" spans="1:43" ht="14.4">
      <c r="A143" s="4" t="s">
        <v>619</v>
      </c>
      <c r="B143" s="4" t="s">
        <v>726</v>
      </c>
      <c r="C143" s="4"/>
      <c r="D143" s="3"/>
      <c r="E143" s="3" t="s">
        <v>748</v>
      </c>
      <c r="F143" s="3"/>
      <c r="N143" s="3" t="str" cm="1">
        <f t="array" ref="N143">IF(ISNA(INDEX(O143:AP143,MATCH(FALSE,ISBLANK(O143:AP143),0))),"",INDEX(O143:AP143,MATCH(FALSE,ISBLANK(O143:AP143),0)))</f>
        <v/>
      </c>
      <c r="AQ143" s="19"/>
    </row>
    <row r="144" spans="1:43" ht="14.4">
      <c r="A144" s="4" t="s">
        <v>619</v>
      </c>
      <c r="B144" s="4" t="s">
        <v>726</v>
      </c>
      <c r="C144" s="4"/>
      <c r="D144" s="3"/>
      <c r="E144" s="3"/>
      <c r="F144" s="3"/>
      <c r="N144" s="3" t="str" cm="1">
        <f t="array" ref="N144">IF(ISNA(INDEX(O144:AP144,MATCH(FALSE,ISBLANK(O144:AP144),0))),"",INDEX(O144:AP144,MATCH(FALSE,ISBLANK(O144:AP144),0)))</f>
        <v>other</v>
      </c>
      <c r="Y144" s="1" t="s">
        <v>749</v>
      </c>
      <c r="AQ144" s="19"/>
    </row>
    <row r="145" spans="1:43" ht="14.4">
      <c r="A145" s="4" t="s">
        <v>619</v>
      </c>
      <c r="B145" s="4" t="s">
        <v>726</v>
      </c>
      <c r="C145" s="4" t="s">
        <v>750</v>
      </c>
      <c r="D145" s="5" t="s">
        <v>751</v>
      </c>
      <c r="E145" s="3"/>
      <c r="F145" s="3"/>
      <c r="N145" s="3" t="str" cm="1">
        <f t="array" ref="N145">IF(ISNA(INDEX(O145:AP145,MATCH(FALSE,ISBLANK(O145:AP145),0))),"",INDEX(O145:AP145,MATCH(FALSE,ISBLANK(O145:AP145),0)))</f>
        <v/>
      </c>
      <c r="AQ145" s="19"/>
    </row>
    <row r="146" spans="1:43" ht="14.4">
      <c r="A146" s="4" t="s">
        <v>619</v>
      </c>
      <c r="B146" s="4" t="s">
        <v>726</v>
      </c>
      <c r="C146" s="4"/>
      <c r="D146" s="5"/>
      <c r="E146" s="3" t="s">
        <v>752</v>
      </c>
      <c r="F146" s="3"/>
      <c r="N146" s="3" t="str" cm="1">
        <f t="array" ref="N146">IF(ISNA(INDEX(O146:AP146,MATCH(FALSE,ISBLANK(O146:AP146),0))),"",INDEX(O146:AP146,MATCH(FALSE,ISBLANK(O146:AP146),0)))</f>
        <v/>
      </c>
      <c r="AQ146" s="19"/>
    </row>
    <row r="147" spans="1:43" ht="14.4">
      <c r="A147" s="4" t="s">
        <v>619</v>
      </c>
      <c r="B147" s="4" t="s">
        <v>726</v>
      </c>
      <c r="C147" s="4"/>
      <c r="D147" s="5"/>
      <c r="E147" s="3" t="s">
        <v>753</v>
      </c>
      <c r="F147" s="3"/>
      <c r="N147" s="3" t="str" cm="1">
        <f t="array" ref="N147">IF(ISNA(INDEX(O147:AP147,MATCH(FALSE,ISBLANK(O147:AP147),0))),"",INDEX(O147:AP147,MATCH(FALSE,ISBLANK(O147:AP147),0)))</f>
        <v/>
      </c>
      <c r="AQ147" s="19"/>
    </row>
    <row r="148" spans="1:43" ht="14.4">
      <c r="A148" s="4" t="s">
        <v>619</v>
      </c>
      <c r="B148" s="4" t="s">
        <v>726</v>
      </c>
      <c r="C148" s="4"/>
      <c r="D148" s="5"/>
      <c r="E148" s="3" t="s">
        <v>754</v>
      </c>
      <c r="F148" s="3"/>
      <c r="N148" s="3" t="str" cm="1">
        <f t="array" ref="N148">IF(ISNA(INDEX(O148:AP148,MATCH(FALSE,ISBLANK(O148:AP148),0))),"",INDEX(O148:AP148,MATCH(FALSE,ISBLANK(O148:AP148),0)))</f>
        <v/>
      </c>
      <c r="AQ148" s="19"/>
    </row>
    <row r="149" spans="1:43" ht="14.4">
      <c r="A149" s="4" t="s">
        <v>619</v>
      </c>
      <c r="B149" s="4" t="s">
        <v>726</v>
      </c>
      <c r="C149" s="4"/>
      <c r="D149" s="5"/>
      <c r="E149" s="3" t="s">
        <v>755</v>
      </c>
      <c r="F149" s="3"/>
      <c r="N149" s="3" t="str" cm="1">
        <f t="array" ref="N149">IF(ISNA(INDEX(O149:AP149,MATCH(FALSE,ISBLANK(O149:AP149),0))),"",INDEX(O149:AP149,MATCH(FALSE,ISBLANK(O149:AP149),0)))</f>
        <v/>
      </c>
      <c r="AQ149" s="19"/>
    </row>
    <row r="150" spans="1:43" ht="14.4">
      <c r="A150" s="4" t="s">
        <v>619</v>
      </c>
      <c r="B150" s="4" t="s">
        <v>726</v>
      </c>
      <c r="C150" s="4"/>
      <c r="D150" s="5"/>
      <c r="E150" s="3"/>
      <c r="F150" s="4" t="s">
        <v>756</v>
      </c>
      <c r="N150" s="3" t="str" cm="1">
        <f t="array" ref="N150">IF(ISNA(INDEX(O150:AP150,MATCH(FALSE,ISBLANK(O150:AP150),0))),"",INDEX(O150:AP150,MATCH(FALSE,ISBLANK(O150:AP150),0)))</f>
        <v/>
      </c>
      <c r="AQ150" s="19"/>
    </row>
    <row r="151" spans="1:43" ht="14.4">
      <c r="A151" s="4" t="s">
        <v>619</v>
      </c>
      <c r="B151" s="4" t="s">
        <v>726</v>
      </c>
      <c r="C151" s="4"/>
      <c r="D151" s="5"/>
      <c r="E151" s="3"/>
      <c r="F151" s="4" t="s">
        <v>757</v>
      </c>
      <c r="N151" s="3" t="str" cm="1">
        <f t="array" ref="N151">IF(ISNA(INDEX(O151:AP151,MATCH(FALSE,ISBLANK(O151:AP151),0))),"",INDEX(O151:AP151,MATCH(FALSE,ISBLANK(O151:AP151),0)))</f>
        <v/>
      </c>
      <c r="AQ151" s="19"/>
    </row>
    <row r="152" spans="1:43" ht="14.4">
      <c r="A152" s="4" t="s">
        <v>619</v>
      </c>
      <c r="B152" s="4" t="s">
        <v>726</v>
      </c>
      <c r="C152" s="4"/>
      <c r="D152" s="5"/>
      <c r="E152" s="3"/>
      <c r="F152" s="4"/>
      <c r="N152" s="3" t="str" cm="1">
        <f t="array" ref="N152">IF(ISNA(INDEX(O152:AP152,MATCH(FALSE,ISBLANK(O152:AP152),0))),"",INDEX(O152:AP152,MATCH(FALSE,ISBLANK(O152:AP152),0)))</f>
        <v>total activity level</v>
      </c>
      <c r="AG152" s="1" t="s">
        <v>758</v>
      </c>
      <c r="AQ152" s="19"/>
    </row>
    <row r="153" spans="1:43" ht="14.4">
      <c r="A153" s="4" t="s">
        <v>619</v>
      </c>
      <c r="B153" s="4" t="s">
        <v>759</v>
      </c>
      <c r="C153" s="4" t="s">
        <v>760</v>
      </c>
      <c r="D153" s="5" t="s">
        <v>761</v>
      </c>
      <c r="F153" s="4" t="s">
        <v>762</v>
      </c>
      <c r="K153" s="1" t="s">
        <v>763</v>
      </c>
      <c r="L153" s="1" t="s">
        <v>764</v>
      </c>
      <c r="N153" s="3" t="str" cm="1">
        <f t="array" ref="N153">IF(ISNA(INDEX(O153:AP153,MATCH(FALSE,ISBLANK(O153:AP153),0))),"",INDEX(O153:AP153,MATCH(FALSE,ISBLANK(O153:AP153),0)))</f>
        <v>diet</v>
      </c>
      <c r="O153" s="3" t="s">
        <v>765</v>
      </c>
      <c r="Q153" s="3" t="s">
        <v>766</v>
      </c>
      <c r="T153" s="1" t="s">
        <v>767</v>
      </c>
      <c r="U153" s="3" t="s">
        <v>765</v>
      </c>
      <c r="V153" s="3" t="s">
        <v>768</v>
      </c>
      <c r="W153" s="3" t="s">
        <v>765</v>
      </c>
      <c r="Z153" s="1" t="s">
        <v>765</v>
      </c>
      <c r="AA153" s="3" t="s">
        <v>765</v>
      </c>
      <c r="AB153" s="1" t="s">
        <v>765</v>
      </c>
      <c r="AD153" s="1" t="s">
        <v>767</v>
      </c>
      <c r="AE153" s="3" t="s">
        <v>764</v>
      </c>
      <c r="AF153" s="3" t="s">
        <v>769</v>
      </c>
      <c r="AH153" s="3" t="s">
        <v>770</v>
      </c>
      <c r="AJ153" s="3" t="s">
        <v>771</v>
      </c>
      <c r="AL153" s="3" t="s">
        <v>769</v>
      </c>
      <c r="AM153" s="3" t="s">
        <v>772</v>
      </c>
      <c r="AN153" s="3" t="s">
        <v>765</v>
      </c>
      <c r="AP153" s="1" t="s">
        <v>760</v>
      </c>
      <c r="AQ153" s="19"/>
    </row>
    <row r="154" spans="1:43" ht="14.4">
      <c r="A154" s="4" t="s">
        <v>619</v>
      </c>
      <c r="B154" s="4" t="s">
        <v>759</v>
      </c>
      <c r="C154" s="4"/>
      <c r="D154" s="5"/>
      <c r="E154" s="3" t="s">
        <v>773</v>
      </c>
      <c r="N154" s="3" t="str" cm="1">
        <f t="array" ref="N154">IF(ISNA(INDEX(O154:AP154,MATCH(FALSE,ISBLANK(O154:AP154),0))),"",INDEX(O154:AP154,MATCH(FALSE,ISBLANK(O154:AP154),0)))</f>
        <v/>
      </c>
      <c r="AQ154" s="19"/>
    </row>
    <row r="155" spans="1:43" ht="14.4">
      <c r="A155" s="4" t="s">
        <v>619</v>
      </c>
      <c r="B155" s="4" t="s">
        <v>759</v>
      </c>
      <c r="C155" s="4"/>
      <c r="D155" s="5"/>
      <c r="E155" s="3" t="s">
        <v>774</v>
      </c>
      <c r="N155" s="3" t="str" cm="1">
        <f t="array" ref="N155">IF(ISNA(INDEX(O155:AP155,MATCH(FALSE,ISBLANK(O155:AP155),0))),"",INDEX(O155:AP155,MATCH(FALSE,ISBLANK(O155:AP155),0)))</f>
        <v/>
      </c>
      <c r="AQ155" s="19"/>
    </row>
    <row r="156" spans="1:43" ht="14.4">
      <c r="A156" s="4" t="s">
        <v>619</v>
      </c>
      <c r="B156" s="4" t="s">
        <v>759</v>
      </c>
      <c r="C156" s="4"/>
      <c r="D156" s="5"/>
      <c r="E156" s="3" t="s">
        <v>775</v>
      </c>
      <c r="N156" s="3" t="str" cm="1">
        <f t="array" ref="N156">IF(ISNA(INDEX(O156:AP156,MATCH(FALSE,ISBLANK(O156:AP156),0))),"",INDEX(O156:AP156,MATCH(FALSE,ISBLANK(O156:AP156),0)))</f>
        <v/>
      </c>
      <c r="AQ156" s="19"/>
    </row>
    <row r="157" spans="1:43" ht="14.4">
      <c r="A157" s="4" t="s">
        <v>619</v>
      </c>
      <c r="B157" s="4" t="s">
        <v>759</v>
      </c>
      <c r="C157" s="4"/>
      <c r="D157" s="5"/>
      <c r="E157" s="3" t="s">
        <v>776</v>
      </c>
      <c r="N157" s="3" t="str" cm="1">
        <f t="array" ref="N157">IF(ISNA(INDEX(O157:AP157,MATCH(FALSE,ISBLANK(O157:AP157),0))),"",INDEX(O157:AP157,MATCH(FALSE,ISBLANK(O157:AP157),0)))</f>
        <v/>
      </c>
      <c r="AQ157" s="19"/>
    </row>
    <row r="158" spans="1:43" ht="14.4">
      <c r="A158" s="4" t="s">
        <v>619</v>
      </c>
      <c r="B158" s="4" t="s">
        <v>759</v>
      </c>
      <c r="C158" s="4" t="s">
        <v>777</v>
      </c>
      <c r="D158" s="3"/>
      <c r="F158" s="4" t="s">
        <v>778</v>
      </c>
      <c r="N158" s="3" t="str" cm="1">
        <f t="array" ref="N158">IF(ISNA(INDEX(O158:AP158,MATCH(FALSE,ISBLANK(O158:AP158),0))),"",INDEX(O158:AP158,MATCH(FALSE,ISBLANK(O158:AP158),0)))</f>
        <v>diet specialization</v>
      </c>
      <c r="P158" s="1" t="s">
        <v>779</v>
      </c>
      <c r="T158" s="1" t="s">
        <v>780</v>
      </c>
      <c r="V158" s="1" t="s">
        <v>781</v>
      </c>
      <c r="AC158" s="7" t="s">
        <v>782</v>
      </c>
      <c r="AD158" s="1" t="s">
        <v>780</v>
      </c>
      <c r="AQ158" s="19"/>
    </row>
    <row r="159" spans="1:43" ht="14.4">
      <c r="A159" s="4" t="s">
        <v>619</v>
      </c>
      <c r="B159" s="4" t="s">
        <v>759</v>
      </c>
      <c r="C159" s="4"/>
      <c r="D159" s="3"/>
      <c r="F159" s="4" t="s">
        <v>783</v>
      </c>
      <c r="N159" s="3" t="str" cm="1">
        <f t="array" ref="N159">IF(ISNA(INDEX(O159:AP159,MATCH(FALSE,ISBLANK(O159:AP159),0))),"",INDEX(O159:AP159,MATCH(FALSE,ISBLANK(O159:AP159),0)))</f>
        <v>Diet</v>
      </c>
      <c r="AK159" s="3" t="s">
        <v>764</v>
      </c>
      <c r="AQ159" s="19"/>
    </row>
    <row r="160" spans="1:43" ht="14.4">
      <c r="A160" s="4" t="s">
        <v>619</v>
      </c>
      <c r="B160" s="4" t="s">
        <v>759</v>
      </c>
      <c r="C160" s="4"/>
      <c r="D160" s="3"/>
      <c r="F160" s="4" t="s">
        <v>784</v>
      </c>
      <c r="N160" s="3" t="str" cm="1">
        <f t="array" ref="N160">IF(ISNA(INDEX(O160:AP160,MATCH(FALSE,ISBLANK(O160:AP160),0))),"",INDEX(O160:AP160,MATCH(FALSE,ISBLANK(O160:AP160),0)))</f>
        <v/>
      </c>
      <c r="AQ160" s="19"/>
    </row>
    <row r="161" spans="1:43" ht="14.4">
      <c r="A161" s="4" t="s">
        <v>619</v>
      </c>
      <c r="B161" s="4" t="s">
        <v>759</v>
      </c>
      <c r="C161" s="4"/>
      <c r="D161" s="3"/>
      <c r="F161" s="4" t="s">
        <v>785</v>
      </c>
      <c r="N161" s="3" t="str" cm="1">
        <f t="array" ref="N161">IF(ISNA(INDEX(O161:AP161,MATCH(FALSE,ISBLANK(O161:AP161),0))),"",INDEX(O161:AP161,MATCH(FALSE,ISBLANK(O161:AP161),0)))</f>
        <v/>
      </c>
      <c r="AQ161" s="19"/>
    </row>
    <row r="162" spans="1:43" ht="14.4">
      <c r="A162" s="4" t="s">
        <v>619</v>
      </c>
      <c r="B162" s="4" t="s">
        <v>759</v>
      </c>
      <c r="D162" s="5" t="s">
        <v>786</v>
      </c>
      <c r="N162" s="3" t="str" cm="1">
        <f t="array" ref="N162">IF(ISNA(INDEX(O162:AP162,MATCH(FALSE,ISBLANK(O162:AP162),0))),"",INDEX(O162:AP162,MATCH(FALSE,ISBLANK(O162:AP162),0)))</f>
        <v>invertebrates</v>
      </c>
      <c r="Y162" s="3" t="s">
        <v>787</v>
      </c>
      <c r="AO162" s="1" t="s">
        <v>788</v>
      </c>
      <c r="AQ162" s="19"/>
    </row>
    <row r="163" spans="1:43" ht="14.4">
      <c r="A163" s="4" t="s">
        <v>619</v>
      </c>
      <c r="B163" s="4" t="s">
        <v>759</v>
      </c>
      <c r="D163" s="5" t="s">
        <v>789</v>
      </c>
      <c r="N163" s="3" t="str" cm="1">
        <f t="array" ref="N163">IF(ISNA(INDEX(O163:AP163,MATCH(FALSE,ISBLANK(O163:AP163),0))),"",INDEX(O163:AP163,MATCH(FALSE,ISBLANK(O163:AP163),0)))</f>
        <v>terrestrial vertebrates</v>
      </c>
      <c r="Y163" s="3" t="s">
        <v>790</v>
      </c>
      <c r="AQ163" s="19"/>
    </row>
    <row r="164" spans="1:43" ht="14.4">
      <c r="A164" s="4" t="s">
        <v>619</v>
      </c>
      <c r="B164" s="4" t="s">
        <v>759</v>
      </c>
      <c r="D164" s="5" t="s">
        <v>791</v>
      </c>
      <c r="E164" s="3" t="s">
        <v>792</v>
      </c>
      <c r="N164" s="3" t="str" cm="1">
        <f t="array" ref="N164">IF(ISNA(INDEX(O164:AP164,MATCH(FALSE,ISBLANK(O164:AP164),0))),"",INDEX(O164:AP164,MATCH(FALSE,ISBLANK(O164:AP164),0)))</f>
        <v/>
      </c>
      <c r="AQ164" s="19"/>
    </row>
    <row r="165" spans="1:43" ht="14.4">
      <c r="A165" s="4" t="s">
        <v>619</v>
      </c>
      <c r="B165" s="4" t="s">
        <v>759</v>
      </c>
      <c r="D165" s="5" t="s">
        <v>793</v>
      </c>
      <c r="E165" s="3" t="s">
        <v>794</v>
      </c>
      <c r="N165" s="3" t="str" cm="1">
        <f t="array" ref="N165">IF(ISNA(INDEX(O165:AP165,MATCH(FALSE,ISBLANK(O165:AP165),0))),"",INDEX(O165:AP165,MATCH(FALSE,ISBLANK(O165:AP165),0)))</f>
        <v/>
      </c>
      <c r="AQ165" s="19"/>
    </row>
    <row r="166" spans="1:43" ht="14.4">
      <c r="A166" s="4" t="s">
        <v>619</v>
      </c>
      <c r="B166" s="4" t="s">
        <v>759</v>
      </c>
      <c r="D166" s="5"/>
      <c r="E166" s="3" t="s">
        <v>795</v>
      </c>
      <c r="F166" s="3"/>
      <c r="N166" s="3" t="str" cm="1">
        <f t="array" ref="N166">IF(ISNA(INDEX(O166:AP166,MATCH(FALSE,ISBLANK(O166:AP166),0))),"",INDEX(O166:AP166,MATCH(FALSE,ISBLANK(O166:AP166),0)))</f>
        <v/>
      </c>
      <c r="AQ166" s="19"/>
    </row>
    <row r="167" spans="1:43" ht="14.4">
      <c r="A167" s="4" t="s">
        <v>619</v>
      </c>
      <c r="B167" s="4" t="s">
        <v>759</v>
      </c>
      <c r="D167" s="5"/>
      <c r="E167" s="3" t="s">
        <v>796</v>
      </c>
      <c r="F167" s="3"/>
      <c r="N167" s="3" t="str" cm="1">
        <f t="array" ref="N167">IF(ISNA(INDEX(O167:AP167,MATCH(FALSE,ISBLANK(O167:AP167),0))),"",INDEX(O167:AP167,MATCH(FALSE,ISBLANK(O167:AP167),0)))</f>
        <v/>
      </c>
      <c r="AQ167" s="19"/>
    </row>
    <row r="168" spans="1:43" ht="14.4">
      <c r="A168" s="4" t="s">
        <v>619</v>
      </c>
      <c r="B168" s="4" t="s">
        <v>759</v>
      </c>
      <c r="D168" s="5" t="s">
        <v>797</v>
      </c>
      <c r="N168" s="3" t="str" cm="1">
        <f t="array" ref="N168">IF(ISNA(INDEX(O168:AP168,MATCH(FALSE,ISBLANK(O168:AP168),0))),"",INDEX(O168:AP168,MATCH(FALSE,ISBLANK(O168:AP168),0)))</f>
        <v/>
      </c>
      <c r="AQ168" s="19"/>
    </row>
    <row r="169" spans="1:43" ht="14.4">
      <c r="A169" s="4" t="s">
        <v>619</v>
      </c>
      <c r="B169" s="4" t="s">
        <v>759</v>
      </c>
      <c r="D169" s="5"/>
      <c r="E169" s="3" t="s">
        <v>798</v>
      </c>
      <c r="N169" s="3" t="str" cm="1">
        <f t="array" ref="N169">IF(ISNA(INDEX(O169:AP169,MATCH(FALSE,ISBLANK(O169:AP169),0))),"",INDEX(O169:AP169,MATCH(FALSE,ISBLANK(O169:AP169),0)))</f>
        <v/>
      </c>
      <c r="AQ169" s="19"/>
    </row>
    <row r="170" spans="1:43" ht="14.4">
      <c r="A170" s="4" t="s">
        <v>619</v>
      </c>
      <c r="B170" s="4" t="s">
        <v>759</v>
      </c>
      <c r="D170" s="5"/>
      <c r="E170" s="3" t="s">
        <v>799</v>
      </c>
      <c r="F170" s="3"/>
      <c r="G170" s="5"/>
      <c r="N170" s="3" t="str" cm="1">
        <f t="array" ref="N170">IF(ISNA(INDEX(O170:AP170,MATCH(FALSE,ISBLANK(O170:AP170),0))),"",INDEX(O170:AP170,MATCH(FALSE,ISBLANK(O170:AP170),0)))</f>
        <v/>
      </c>
      <c r="AQ170" s="19"/>
    </row>
    <row r="171" spans="1:43" ht="14.4">
      <c r="A171" s="4" t="s">
        <v>619</v>
      </c>
      <c r="B171" s="4" t="s">
        <v>759</v>
      </c>
      <c r="D171" s="5"/>
      <c r="E171" s="3"/>
      <c r="F171" s="3"/>
      <c r="G171" s="5"/>
      <c r="N171" s="3" t="str" cm="1">
        <f t="array" ref="N171">IF(ISNA(INDEX(O171:AP171,MATCH(FALSE,ISBLANK(O171:AP171),0))),"",INDEX(O171:AP171,MATCH(FALSE,ISBLANK(O171:AP171),0)))</f>
        <v>blood</v>
      </c>
      <c r="Y171" s="3" t="s">
        <v>800</v>
      </c>
      <c r="AO171" s="1" t="s">
        <v>801</v>
      </c>
      <c r="AQ171" s="19"/>
    </row>
    <row r="172" spans="1:43" ht="14.4">
      <c r="A172" s="4" t="s">
        <v>619</v>
      </c>
      <c r="B172" s="4" t="s">
        <v>759</v>
      </c>
      <c r="D172" s="5" t="s">
        <v>802</v>
      </c>
      <c r="G172" s="5"/>
      <c r="N172" s="3" t="str" cm="1">
        <f t="array" ref="N172">IF(ISNA(INDEX(O172:AP172,MATCH(FALSE,ISBLANK(O172:AP172),0))),"",INDEX(O172:AP172,MATCH(FALSE,ISBLANK(O172:AP172),0)))</f>
        <v>Reptiles, snakes, amphibians, salamanders (Diet-Vect)</v>
      </c>
      <c r="AO172" s="1" t="s">
        <v>803</v>
      </c>
      <c r="AQ172" s="19"/>
    </row>
    <row r="173" spans="1:43" ht="14.4">
      <c r="A173" s="4" t="s">
        <v>619</v>
      </c>
      <c r="B173" s="4" t="s">
        <v>759</v>
      </c>
      <c r="D173" s="5"/>
      <c r="E173" s="3" t="s">
        <v>804</v>
      </c>
      <c r="G173" s="5"/>
      <c r="N173" s="3" t="str" cm="1">
        <f t="array" ref="N173">IF(ISNA(INDEX(O173:AP173,MATCH(FALSE,ISBLANK(O173:AP173),0))),"",INDEX(O173:AP173,MATCH(FALSE,ISBLANK(O173:AP173),0)))</f>
        <v/>
      </c>
      <c r="AQ173" s="19"/>
    </row>
    <row r="174" spans="1:43" ht="14.4">
      <c r="A174" s="4" t="s">
        <v>619</v>
      </c>
      <c r="B174" s="4" t="s">
        <v>759</v>
      </c>
      <c r="D174" s="5"/>
      <c r="E174" s="3" t="s">
        <v>805</v>
      </c>
      <c r="G174" s="5"/>
      <c r="K174" s="3"/>
      <c r="N174" s="3" t="str" cm="1">
        <f t="array" ref="N174">IF(ISNA(INDEX(O174:AP174,MATCH(FALSE,ISBLANK(O174:AP174),0))),"",INDEX(O174:AP174,MATCH(FALSE,ISBLANK(O174:AP174),0)))</f>
        <v/>
      </c>
      <c r="AQ174" s="19"/>
    </row>
    <row r="175" spans="1:43" ht="14.4">
      <c r="A175" s="4" t="s">
        <v>619</v>
      </c>
      <c r="B175" s="4" t="s">
        <v>759</v>
      </c>
      <c r="D175" s="5" t="s">
        <v>806</v>
      </c>
      <c r="E175" s="3" t="s">
        <v>807</v>
      </c>
      <c r="G175" s="5"/>
      <c r="N175" s="3" t="str" cm="1">
        <f t="array" ref="N175">IF(ISNA(INDEX(O175:AP175,MATCH(FALSE,ISBLANK(O175:AP175),0))),"",INDEX(O175:AP175,MATCH(FALSE,ISBLANK(O175:AP175),0)))</f>
        <v>fish</v>
      </c>
      <c r="Y175" s="3" t="s">
        <v>808</v>
      </c>
      <c r="AQ175" s="19"/>
    </row>
    <row r="176" spans="1:43" ht="14.4">
      <c r="A176" s="4" t="s">
        <v>619</v>
      </c>
      <c r="B176" s="4" t="s">
        <v>759</v>
      </c>
      <c r="D176" s="5" t="s">
        <v>809</v>
      </c>
      <c r="G176" s="5"/>
      <c r="N176" s="3" t="str" cm="1">
        <f t="array" ref="N176">IF(ISNA(INDEX(O176:AP176,MATCH(FALSE,ISBLANK(O176:AP176),0))),"",INDEX(O176:AP176,MATCH(FALSE,ISBLANK(O176:AP176),0)))</f>
        <v/>
      </c>
      <c r="AQ176" s="19"/>
    </row>
    <row r="177" spans="1:43" ht="14.4">
      <c r="A177" s="4" t="s">
        <v>619</v>
      </c>
      <c r="B177" s="4" t="s">
        <v>759</v>
      </c>
      <c r="D177" s="5" t="s">
        <v>810</v>
      </c>
      <c r="G177" s="5"/>
      <c r="N177" s="3" t="str" cm="1">
        <f t="array" ref="N177">IF(ISNA(INDEX(O177:AP177,MATCH(FALSE,ISBLANK(O177:AP177),0))),"",INDEX(O177:AP177,MATCH(FALSE,ISBLANK(O177:AP177),0)))</f>
        <v/>
      </c>
      <c r="AQ177" s="19"/>
    </row>
    <row r="178" spans="1:43" ht="14.4">
      <c r="A178" s="4" t="s">
        <v>619</v>
      </c>
      <c r="B178" s="4" t="s">
        <v>759</v>
      </c>
      <c r="C178" s="4"/>
      <c r="D178" s="5" t="s">
        <v>811</v>
      </c>
      <c r="E178" s="3" t="s">
        <v>812</v>
      </c>
      <c r="G178" s="5"/>
      <c r="N178" s="3" t="str" cm="1">
        <f t="array" ref="N178">IF(ISNA(INDEX(O178:AP178,MATCH(FALSE,ISBLANK(O178:AP178),0))),"",INDEX(O178:AP178,MATCH(FALSE,ISBLANK(O178:AP178),0)))</f>
        <v>fruit</v>
      </c>
      <c r="Y178" s="3" t="s">
        <v>813</v>
      </c>
      <c r="AO178" s="1" t="s">
        <v>814</v>
      </c>
      <c r="AQ178" s="19"/>
    </row>
    <row r="179" spans="1:43" ht="14.4">
      <c r="A179" s="4" t="s">
        <v>619</v>
      </c>
      <c r="B179" s="4" t="s">
        <v>759</v>
      </c>
      <c r="C179" s="4"/>
      <c r="D179" s="5" t="s">
        <v>815</v>
      </c>
      <c r="E179" s="3" t="s">
        <v>816</v>
      </c>
      <c r="G179" s="5"/>
      <c r="N179" s="3" t="str" cm="1">
        <f t="array" ref="N179">IF(ISNA(INDEX(O179:AP179,MATCH(FALSE,ISBLANK(O179:AP179),0))),"",INDEX(O179:AP179,MATCH(FALSE,ISBLANK(O179:AP179),0)))</f>
        <v>nectar</v>
      </c>
      <c r="Y179" s="3" t="s">
        <v>817</v>
      </c>
      <c r="AO179" s="1" t="s">
        <v>818</v>
      </c>
      <c r="AQ179" s="19"/>
    </row>
    <row r="180" spans="1:43" ht="14.4">
      <c r="A180" s="4" t="s">
        <v>619</v>
      </c>
      <c r="B180" s="4" t="s">
        <v>759</v>
      </c>
      <c r="C180" s="4"/>
      <c r="D180" s="5" t="s">
        <v>819</v>
      </c>
      <c r="E180" s="3" t="s">
        <v>820</v>
      </c>
      <c r="F180" s="3"/>
      <c r="G180" s="5"/>
      <c r="N180" s="3" t="str" cm="1">
        <f t="array" ref="N180">IF(ISNA(INDEX(O180:AP180,MATCH(FALSE,ISBLANK(O180:AP180),0))),"",INDEX(O180:AP180,MATCH(FALSE,ISBLANK(O180:AP180),0)))</f>
        <v/>
      </c>
      <c r="AQ180" s="19"/>
    </row>
    <row r="181" spans="1:43" ht="14.4">
      <c r="A181" s="4" t="s">
        <v>619</v>
      </c>
      <c r="B181" s="4" t="s">
        <v>759</v>
      </c>
      <c r="C181" s="4"/>
      <c r="D181" s="5" t="s">
        <v>821</v>
      </c>
      <c r="F181" s="3"/>
      <c r="G181" s="5"/>
      <c r="N181" s="3" t="str" cm="1">
        <f t="array" ref="N181">IF(ISNA(INDEX(O181:AP181,MATCH(FALSE,ISBLANK(O181:AP181),0))),"",INDEX(O181:AP181,MATCH(FALSE,ISBLANK(O181:AP181),0)))</f>
        <v/>
      </c>
      <c r="AQ181" s="19"/>
    </row>
    <row r="182" spans="1:43" ht="14.4">
      <c r="A182" s="4" t="s">
        <v>619</v>
      </c>
      <c r="B182" s="4" t="s">
        <v>759</v>
      </c>
      <c r="C182" s="4"/>
      <c r="D182" s="5"/>
      <c r="E182" s="3" t="s">
        <v>822</v>
      </c>
      <c r="F182" s="3"/>
      <c r="G182" s="5"/>
      <c r="K182" s="3"/>
      <c r="N182" s="3" t="str" cm="1">
        <f t="array" ref="N182">IF(ISNA(INDEX(O182:AP182,MATCH(FALSE,ISBLANK(O182:AP182),0))),"",INDEX(O182:AP182,MATCH(FALSE,ISBLANK(O182:AP182),0)))</f>
        <v/>
      </c>
      <c r="AQ182" s="19"/>
    </row>
    <row r="183" spans="1:43" ht="14.4">
      <c r="A183" s="4" t="s">
        <v>619</v>
      </c>
      <c r="B183" s="4" t="s">
        <v>759</v>
      </c>
      <c r="C183" s="4"/>
      <c r="D183" s="5"/>
      <c r="E183" s="3" t="s">
        <v>823</v>
      </c>
      <c r="F183" s="3"/>
      <c r="G183" s="5"/>
      <c r="N183" s="3" t="str" cm="1">
        <f t="array" ref="N183">IF(ISNA(INDEX(O183:AP183,MATCH(FALSE,ISBLANK(O183:AP183),0))),"",INDEX(O183:AP183,MATCH(FALSE,ISBLANK(O183:AP183),0)))</f>
        <v/>
      </c>
      <c r="AQ183" s="19"/>
    </row>
    <row r="184" spans="1:43" ht="14.4">
      <c r="A184" s="4" t="s">
        <v>619</v>
      </c>
      <c r="B184" s="4" t="s">
        <v>759</v>
      </c>
      <c r="C184" s="4"/>
      <c r="D184" s="5" t="s">
        <v>824</v>
      </c>
      <c r="G184" s="5"/>
      <c r="N184" s="3" t="str" cm="1">
        <f t="array" ref="N184">IF(ISNA(INDEX(O184:AP184,MATCH(FALSE,ISBLANK(O184:AP184),0))),"",INDEX(O184:AP184,MATCH(FALSE,ISBLANK(O184:AP184),0)))</f>
        <v/>
      </c>
      <c r="AQ184" s="19"/>
    </row>
    <row r="185" spans="1:43" ht="14.4">
      <c r="A185" s="4" t="s">
        <v>619</v>
      </c>
      <c r="B185" s="4" t="s">
        <v>759</v>
      </c>
      <c r="C185" s="4"/>
      <c r="D185" s="5"/>
      <c r="F185" s="4" t="s">
        <v>825</v>
      </c>
      <c r="G185" s="5"/>
      <c r="N185" s="3" t="str" cm="1">
        <f t="array" ref="N185">IF(ISNA(INDEX(O185:AP185,MATCH(FALSE,ISBLANK(O185:AP185),0))),"",INDEX(O185:AP185,MATCH(FALSE,ISBLANK(O185:AP185),0)))</f>
        <v/>
      </c>
      <c r="AQ185" s="19"/>
    </row>
    <row r="186" spans="1:43" ht="14.4">
      <c r="A186" s="4" t="s">
        <v>619</v>
      </c>
      <c r="B186" s="4" t="s">
        <v>759</v>
      </c>
      <c r="C186" s="4"/>
      <c r="D186" s="5"/>
      <c r="F186" s="4" t="s">
        <v>826</v>
      </c>
      <c r="G186" s="5"/>
      <c r="N186" s="3" t="str" cm="1">
        <f t="array" ref="N186">IF(ISNA(INDEX(O186:AP186,MATCH(FALSE,ISBLANK(O186:AP186),0))),"",INDEX(O186:AP186,MATCH(FALSE,ISBLANK(O186:AP186),0)))</f>
        <v/>
      </c>
      <c r="AQ186" s="19"/>
    </row>
    <row r="187" spans="1:43" ht="14.4">
      <c r="A187" s="4" t="s">
        <v>619</v>
      </c>
      <c r="B187" s="4" t="s">
        <v>759</v>
      </c>
      <c r="C187" s="4" t="s">
        <v>827</v>
      </c>
      <c r="D187" s="3"/>
      <c r="N187" s="3" t="str" cm="1">
        <f t="array" ref="N187">IF(ISNA(INDEX(O187:AP187,MATCH(FALSE,ISBLANK(O187:AP187),0))),"",INDEX(O187:AP187,MATCH(FALSE,ISBLANK(O187:AP187),0)))</f>
        <v/>
      </c>
      <c r="AQ187" s="19"/>
    </row>
    <row r="188" spans="1:43" ht="14.4">
      <c r="A188" s="4" t="s">
        <v>619</v>
      </c>
      <c r="B188" s="4" t="s">
        <v>759</v>
      </c>
      <c r="C188" s="4"/>
      <c r="D188" s="3"/>
      <c r="E188" s="3" t="s">
        <v>828</v>
      </c>
      <c r="N188" s="3" t="str" cm="1">
        <f t="array" ref="N188">IF(ISNA(INDEX(O188:AP188,MATCH(FALSE,ISBLANK(O188:AP188),0))),"",INDEX(O188:AP188,MATCH(FALSE,ISBLANK(O188:AP188),0)))</f>
        <v/>
      </c>
      <c r="AQ188" s="19"/>
    </row>
    <row r="189" spans="1:43" ht="14.4">
      <c r="A189" s="4" t="s">
        <v>619</v>
      </c>
      <c r="B189" s="4" t="s">
        <v>759</v>
      </c>
      <c r="C189" s="4"/>
      <c r="D189" s="3"/>
      <c r="E189" s="3" t="s">
        <v>829</v>
      </c>
      <c r="N189" s="3" t="str" cm="1">
        <f t="array" ref="N189">IF(ISNA(INDEX(O189:AP189,MATCH(FALSE,ISBLANK(O189:AP189),0))),"",INDEX(O189:AP189,MATCH(FALSE,ISBLANK(O189:AP189),0)))</f>
        <v/>
      </c>
      <c r="AQ189" s="19"/>
    </row>
    <row r="190" spans="1:43" ht="14.4">
      <c r="A190" s="4" t="s">
        <v>619</v>
      </c>
      <c r="B190" s="4" t="s">
        <v>830</v>
      </c>
      <c r="C190" s="4" t="s">
        <v>831</v>
      </c>
      <c r="D190" s="5" t="s">
        <v>832</v>
      </c>
      <c r="N190" s="3" t="str" cm="1">
        <f t="array" ref="N190">IF(ISNA(INDEX(O190:AP190,MATCH(FALSE,ISBLANK(O190:AP190),0))),"",INDEX(O190:AP190,MATCH(FALSE,ISBLANK(O190:AP190),0)))</f>
        <v>foraging guild</v>
      </c>
      <c r="P190" s="3" t="s">
        <v>738</v>
      </c>
      <c r="T190" s="1" t="s">
        <v>833</v>
      </c>
      <c r="V190" s="3" t="s">
        <v>834</v>
      </c>
      <c r="W190" s="1" t="s">
        <v>835</v>
      </c>
      <c r="AC190" s="1" t="s">
        <v>738</v>
      </c>
      <c r="AD190" s="1" t="s">
        <v>833</v>
      </c>
      <c r="AE190" s="1" t="s">
        <v>836</v>
      </c>
      <c r="AG190" s="3" t="s">
        <v>837</v>
      </c>
      <c r="AN190" s="1" t="s">
        <v>835</v>
      </c>
      <c r="AQ190" s="19"/>
    </row>
    <row r="191" spans="1:43" ht="14.4">
      <c r="A191" s="4" t="s">
        <v>619</v>
      </c>
      <c r="B191" s="4" t="s">
        <v>830</v>
      </c>
      <c r="C191" s="4"/>
      <c r="D191" s="5"/>
      <c r="N191" s="3" t="str" cm="1">
        <f t="array" ref="N191">IF(ISNA(INDEX(O191:AP191,MATCH(FALSE,ISBLANK(O191:AP191),0))),"",INDEX(O191:AP191,MATCH(FALSE,ISBLANK(O191:AP191),0)))</f>
        <v>above canopy</v>
      </c>
      <c r="P191" s="3"/>
      <c r="T191" s="1"/>
      <c r="V191" s="3"/>
      <c r="W191" s="1"/>
      <c r="Y191" s="1" t="s">
        <v>838</v>
      </c>
      <c r="AQ191" s="19"/>
    </row>
    <row r="192" spans="1:43" ht="14.4">
      <c r="A192" s="4" t="s">
        <v>619</v>
      </c>
      <c r="B192" s="4" t="s">
        <v>830</v>
      </c>
      <c r="C192" s="4"/>
      <c r="D192" s="5"/>
      <c r="N192" s="3" t="str" cm="1">
        <f t="array" ref="N192">IF(ISNA(INDEX(O192:AP192,MATCH(FALSE,ISBLANK(O192:AP192),0))),"",INDEX(O192:AP192,MATCH(FALSE,ISBLANK(O192:AP192),0)))</f>
        <v>canopy</v>
      </c>
      <c r="P192" s="3"/>
      <c r="T192" s="1"/>
      <c r="V192" s="3"/>
      <c r="W192" s="1"/>
      <c r="Y192" s="1" t="s">
        <v>839</v>
      </c>
      <c r="AQ192" s="19"/>
    </row>
    <row r="193" spans="1:43" ht="14.4">
      <c r="A193" s="4" t="s">
        <v>619</v>
      </c>
      <c r="B193" s="4" t="s">
        <v>830</v>
      </c>
      <c r="C193" s="4"/>
      <c r="D193" s="5"/>
      <c r="N193" s="3" t="str" cm="1">
        <f t="array" ref="N193">IF(ISNA(INDEX(O193:AP193,MATCH(FALSE,ISBLANK(O193:AP193),0))),"",INDEX(O193:AP193,MATCH(FALSE,ISBLANK(O193:AP193),0)))</f>
        <v>subcanopy</v>
      </c>
      <c r="P193" s="3"/>
      <c r="T193" s="1"/>
      <c r="V193" s="3"/>
      <c r="W193" s="1"/>
      <c r="Y193" s="1" t="s">
        <v>840</v>
      </c>
      <c r="AQ193" s="19"/>
    </row>
    <row r="194" spans="1:43" ht="14.4">
      <c r="A194" s="4" t="s">
        <v>619</v>
      </c>
      <c r="B194" s="4" t="s">
        <v>830</v>
      </c>
      <c r="C194" s="4"/>
      <c r="D194" s="5"/>
      <c r="E194" s="3"/>
      <c r="N194" s="3" t="str" cm="1">
        <f t="array" ref="N194">IF(ISNA(INDEX(O194:AP194,MATCH(FALSE,ISBLANK(O194:AP194),0))),"",INDEX(O194:AP194,MATCH(FALSE,ISBLANK(O194:AP194),0)))</f>
        <v>understory</v>
      </c>
      <c r="Y194" s="1" t="s">
        <v>841</v>
      </c>
      <c r="AQ194" s="19"/>
    </row>
    <row r="195" spans="1:43" ht="14.4">
      <c r="A195" s="4" t="s">
        <v>619</v>
      </c>
      <c r="B195" s="4" t="s">
        <v>830</v>
      </c>
      <c r="C195" s="4"/>
      <c r="D195" s="5"/>
      <c r="E195" s="3" t="s">
        <v>842</v>
      </c>
      <c r="N195" s="3" t="str" cm="1">
        <f t="array" ref="N195">IF(ISNA(INDEX(O195:AP195,MATCH(FALSE,ISBLANK(O195:AP195),0))),"",INDEX(O195:AP195,MATCH(FALSE,ISBLANK(O195:AP195),0)))</f>
        <v/>
      </c>
      <c r="AQ195" s="19"/>
    </row>
    <row r="196" spans="1:43" ht="14.4">
      <c r="A196" s="4" t="s">
        <v>619</v>
      </c>
      <c r="B196" s="4" t="s">
        <v>830</v>
      </c>
      <c r="C196" s="4"/>
      <c r="D196" s="5"/>
      <c r="E196" s="3" t="s">
        <v>843</v>
      </c>
      <c r="N196" s="3" t="str" cm="1">
        <f t="array" ref="N196">IF(ISNA(INDEX(O196:AP196,MATCH(FALSE,ISBLANK(O196:AP196),0))),"",INDEX(O196:AP196,MATCH(FALSE,ISBLANK(O196:AP196),0)))</f>
        <v/>
      </c>
      <c r="AQ196" s="19"/>
    </row>
    <row r="197" spans="1:43" ht="14.4">
      <c r="A197" s="4" t="s">
        <v>619</v>
      </c>
      <c r="B197" s="4" t="s">
        <v>830</v>
      </c>
      <c r="C197" s="4"/>
      <c r="D197" s="5"/>
      <c r="E197" s="3" t="s">
        <v>844</v>
      </c>
      <c r="N197" s="3" t="str" cm="1">
        <f t="array" ref="N197">IF(ISNA(INDEX(O197:AP197,MATCH(FALSE,ISBLANK(O197:AP197),0))),"",INDEX(O197:AP197,MATCH(FALSE,ISBLANK(O197:AP197),0)))</f>
        <v/>
      </c>
      <c r="AQ197" s="19"/>
    </row>
    <row r="198" spans="1:43" ht="14.4">
      <c r="A198" s="4" t="s">
        <v>619</v>
      </c>
      <c r="B198" s="4" t="s">
        <v>830</v>
      </c>
      <c r="C198" s="4"/>
      <c r="D198" s="5"/>
      <c r="E198" s="3" t="s">
        <v>845</v>
      </c>
      <c r="N198" s="3" t="str" cm="1">
        <f t="array" ref="N198">IF(ISNA(INDEX(O198:AP198,MATCH(FALSE,ISBLANK(O198:AP198),0))),"",INDEX(O198:AP198,MATCH(FALSE,ISBLANK(O198:AP198),0)))</f>
        <v/>
      </c>
      <c r="AQ198" s="19"/>
    </row>
    <row r="199" spans="1:43" ht="14.4">
      <c r="A199" s="4" t="s">
        <v>619</v>
      </c>
      <c r="B199" s="4" t="s">
        <v>830</v>
      </c>
      <c r="C199" s="4"/>
      <c r="D199" s="5"/>
      <c r="E199" s="3" t="s">
        <v>846</v>
      </c>
      <c r="N199" s="3" t="str" cm="1">
        <f t="array" ref="N199">IF(ISNA(INDEX(O199:AP199,MATCH(FALSE,ISBLANK(O199:AP199),0))),"",INDEX(O199:AP199,MATCH(FALSE,ISBLANK(O199:AP199),0)))</f>
        <v/>
      </c>
      <c r="AQ199" s="19"/>
    </row>
    <row r="200" spans="1:43" ht="14.4">
      <c r="A200" s="4" t="s">
        <v>619</v>
      </c>
      <c r="B200" s="4" t="s">
        <v>830</v>
      </c>
      <c r="C200" s="4"/>
      <c r="D200" s="5"/>
      <c r="E200" s="3" t="s">
        <v>847</v>
      </c>
      <c r="F200" s="4" t="s">
        <v>848</v>
      </c>
      <c r="N200" s="3" t="str" cm="1">
        <f t="array" ref="N200">IF(ISNA(INDEX(O200:AP200,MATCH(FALSE,ISBLANK(O200:AP200),0))),"",INDEX(O200:AP200,MATCH(FALSE,ISBLANK(O200:AP200),0)))</f>
        <v>open habitat</v>
      </c>
      <c r="Y200" s="1" t="s">
        <v>849</v>
      </c>
      <c r="AQ200" s="19"/>
    </row>
    <row r="201" spans="1:43" ht="14.4">
      <c r="A201" s="4" t="s">
        <v>619</v>
      </c>
      <c r="B201" s="4" t="s">
        <v>830</v>
      </c>
      <c r="C201" s="4"/>
      <c r="D201" s="5" t="s">
        <v>850</v>
      </c>
      <c r="E201" s="3" t="s">
        <v>851</v>
      </c>
      <c r="F201" s="4" t="s">
        <v>852</v>
      </c>
      <c r="N201" s="3" t="str" cm="1">
        <f t="array" ref="N201">IF(ISNA(INDEX(O201:AP201,MATCH(FALSE,ISBLANK(O201:AP201),0))),"",INDEX(O201:AP201,MATCH(FALSE,ISBLANK(O201:AP201),0)))</f>
        <v>above water</v>
      </c>
      <c r="Y201" s="1" t="s">
        <v>853</v>
      </c>
      <c r="AQ201" s="19"/>
    </row>
    <row r="202" spans="1:43" ht="14.4">
      <c r="A202" s="4" t="s">
        <v>619</v>
      </c>
      <c r="B202" s="4" t="s">
        <v>830</v>
      </c>
      <c r="C202" s="4"/>
      <c r="D202" s="5" t="s">
        <v>854</v>
      </c>
      <c r="N202" s="3" t="str" cm="1">
        <f t="array" ref="N202">IF(ISNA(INDEX(O202:AP202,MATCH(FALSE,ISBLANK(O202:AP202),0))),"",INDEX(O202:AP202,MATCH(FALSE,ISBLANK(O202:AP202),0)))</f>
        <v/>
      </c>
      <c r="AQ202" s="19"/>
    </row>
    <row r="203" spans="1:43" ht="14.4">
      <c r="A203" s="4" t="s">
        <v>619</v>
      </c>
      <c r="B203" s="4" t="s">
        <v>830</v>
      </c>
      <c r="C203" s="4"/>
      <c r="D203" s="5"/>
      <c r="F203" s="4" t="s">
        <v>855</v>
      </c>
      <c r="N203" s="3" t="str" cm="1">
        <f t="array" ref="N203">IF(ISNA(INDEX(O203:AP203,MATCH(FALSE,ISBLANK(O203:AP203),0))),"",INDEX(O203:AP203,MATCH(FALSE,ISBLANK(O203:AP203),0)))</f>
        <v/>
      </c>
      <c r="AQ203" s="19"/>
    </row>
    <row r="204" spans="1:43" ht="14.4">
      <c r="A204" s="4" t="s">
        <v>619</v>
      </c>
      <c r="B204" s="4" t="s">
        <v>830</v>
      </c>
      <c r="C204" s="4"/>
      <c r="D204" s="5"/>
      <c r="F204" s="4" t="s">
        <v>856</v>
      </c>
      <c r="N204" s="3" t="str" cm="1">
        <f t="array" ref="N204">IF(ISNA(INDEX(O204:AP204,MATCH(FALSE,ISBLANK(O204:AP204),0))),"",INDEX(O204:AP204,MATCH(FALSE,ISBLANK(O204:AP204),0)))</f>
        <v/>
      </c>
      <c r="AQ204" s="19"/>
    </row>
    <row r="205" spans="1:43" ht="14.4">
      <c r="A205" s="4" t="s">
        <v>619</v>
      </c>
      <c r="B205" s="4" t="s">
        <v>830</v>
      </c>
      <c r="C205" s="4"/>
      <c r="D205" s="5"/>
      <c r="F205" s="4" t="s">
        <v>857</v>
      </c>
      <c r="N205" s="3" t="str" cm="1">
        <f t="array" ref="N205">IF(ISNA(INDEX(O205:AP205,MATCH(FALSE,ISBLANK(O205:AP205),0))),"",INDEX(O205:AP205,MATCH(FALSE,ISBLANK(O205:AP205),0)))</f>
        <v/>
      </c>
      <c r="AQ205" s="19"/>
    </row>
    <row r="206" spans="1:43" ht="14.4">
      <c r="A206" s="4" t="s">
        <v>619</v>
      </c>
      <c r="B206" s="4" t="s">
        <v>830</v>
      </c>
      <c r="C206" s="4"/>
      <c r="D206" s="5"/>
      <c r="F206" s="4" t="s">
        <v>858</v>
      </c>
      <c r="N206" s="3" t="str" cm="1">
        <f t="array" ref="N206">IF(ISNA(INDEX(O206:AP206,MATCH(FALSE,ISBLANK(O206:AP206),0))),"",INDEX(O206:AP206,MATCH(FALSE,ISBLANK(O206:AP206),0)))</f>
        <v/>
      </c>
      <c r="AQ206" s="19"/>
    </row>
    <row r="207" spans="1:43" ht="14.4">
      <c r="A207" s="4" t="s">
        <v>619</v>
      </c>
      <c r="B207" s="4" t="s">
        <v>830</v>
      </c>
      <c r="C207" s="4"/>
      <c r="D207" s="5"/>
      <c r="F207" s="4" t="s">
        <v>859</v>
      </c>
      <c r="N207" s="3" t="str" cm="1">
        <f t="array" ref="N207">IF(ISNA(INDEX(O207:AP207,MATCH(FALSE,ISBLANK(O207:AP207),0))),"",INDEX(O207:AP207,MATCH(FALSE,ISBLANK(O207:AP207),0)))</f>
        <v/>
      </c>
      <c r="AQ207" s="19"/>
    </row>
    <row r="208" spans="1:43" ht="14.4">
      <c r="A208" s="4" t="s">
        <v>619</v>
      </c>
      <c r="B208" s="4" t="s">
        <v>830</v>
      </c>
      <c r="C208" s="4"/>
      <c r="D208" s="5"/>
      <c r="F208" s="4" t="s">
        <v>860</v>
      </c>
      <c r="N208" s="3" t="str" cm="1">
        <f t="array" ref="N208">IF(ISNA(INDEX(O208:AP208,MATCH(FALSE,ISBLANK(O208:AP208),0))),"",INDEX(O208:AP208,MATCH(FALSE,ISBLANK(O208:AP208),0)))</f>
        <v/>
      </c>
      <c r="AQ208" s="19"/>
    </row>
    <row r="209" spans="1:43" ht="14.4">
      <c r="A209" s="4" t="s">
        <v>619</v>
      </c>
      <c r="B209" s="4" t="s">
        <v>830</v>
      </c>
      <c r="C209" s="4"/>
      <c r="D209" s="5"/>
      <c r="F209" s="4" t="s">
        <v>861</v>
      </c>
      <c r="N209" s="3" t="str" cm="1">
        <f t="array" ref="N209">IF(ISNA(INDEX(O209:AP209,MATCH(FALSE,ISBLANK(O209:AP209),0))),"",INDEX(O209:AP209,MATCH(FALSE,ISBLANK(O209:AP209),0)))</f>
        <v/>
      </c>
      <c r="AQ209" s="19"/>
    </row>
    <row r="210" spans="1:43" ht="14.4">
      <c r="A210" s="4" t="s">
        <v>619</v>
      </c>
      <c r="B210" s="4" t="s">
        <v>830</v>
      </c>
      <c r="C210" s="4"/>
      <c r="D210" s="5"/>
      <c r="F210" s="4" t="s">
        <v>862</v>
      </c>
      <c r="N210" s="3" t="str" cm="1">
        <f t="array" ref="N210">IF(ISNA(INDEX(O210:AP210,MATCH(FALSE,ISBLANK(O210:AP210),0))),"",INDEX(O210:AP210,MATCH(FALSE,ISBLANK(O210:AP210),0)))</f>
        <v/>
      </c>
      <c r="AQ210" s="19"/>
    </row>
    <row r="211" spans="1:43" ht="14.4">
      <c r="A211" s="4" t="s">
        <v>619</v>
      </c>
      <c r="B211" s="4" t="s">
        <v>830</v>
      </c>
      <c r="C211" s="4" t="s">
        <v>863</v>
      </c>
      <c r="D211" s="5" t="s">
        <v>864</v>
      </c>
      <c r="K211" s="3"/>
      <c r="N211" s="3" t="str" cm="1">
        <f t="array" ref="N211">IF(ISNA(INDEX(O211:AP211,MATCH(FALSE,ISBLANK(O211:AP211),0))),"",INDEX(O211:AP211,MATCH(FALSE,ISBLANK(O211:AP211),0)))</f>
        <v/>
      </c>
      <c r="AQ211" s="19"/>
    </row>
    <row r="212" spans="1:43" ht="14.4">
      <c r="A212" s="4" t="s">
        <v>619</v>
      </c>
      <c r="B212" s="4" t="s">
        <v>830</v>
      </c>
      <c r="C212" s="4"/>
      <c r="D212" s="5" t="s">
        <v>865</v>
      </c>
      <c r="K212" s="3"/>
      <c r="N212" s="3" t="str" cm="1">
        <f t="array" ref="N212">IF(ISNA(INDEX(O212:AP212,MATCH(FALSE,ISBLANK(O212:AP212),0))),"",INDEX(O212:AP212,MATCH(FALSE,ISBLANK(O212:AP212),0)))</f>
        <v/>
      </c>
      <c r="AQ212" s="19"/>
    </row>
    <row r="213" spans="1:43" ht="14.4">
      <c r="A213" s="4" t="s">
        <v>619</v>
      </c>
      <c r="B213" s="4" t="s">
        <v>830</v>
      </c>
      <c r="C213" s="4"/>
      <c r="D213" s="5"/>
      <c r="F213" s="4" t="s">
        <v>866</v>
      </c>
      <c r="K213" s="3"/>
      <c r="N213" s="3" t="str" cm="1">
        <f t="array" ref="N213">IF(ISNA(INDEX(O213:AP213,MATCH(FALSE,ISBLANK(O213:AP213),0))),"",INDEX(O213:AP213,MATCH(FALSE,ISBLANK(O213:AP213),0)))</f>
        <v/>
      </c>
      <c r="AQ213" s="19"/>
    </row>
    <row r="214" spans="1:43" ht="14.4">
      <c r="A214" s="4" t="s">
        <v>619</v>
      </c>
      <c r="B214" s="4" t="s">
        <v>830</v>
      </c>
      <c r="C214" s="4"/>
      <c r="D214" s="5"/>
      <c r="F214" s="4" t="s">
        <v>867</v>
      </c>
      <c r="K214" s="3"/>
      <c r="N214" s="3" t="str" cm="1">
        <f t="array" ref="N214">IF(ISNA(INDEX(O214:AP214,MATCH(FALSE,ISBLANK(O214:AP214),0))),"",INDEX(O214:AP214,MATCH(FALSE,ISBLANK(O214:AP214),0)))</f>
        <v/>
      </c>
      <c r="AQ214" s="19"/>
    </row>
    <row r="215" spans="1:43" ht="14.4">
      <c r="A215" s="4" t="s">
        <v>619</v>
      </c>
      <c r="B215" s="4" t="s">
        <v>830</v>
      </c>
      <c r="C215" s="4"/>
      <c r="D215" s="5"/>
      <c r="F215" s="4"/>
      <c r="K215" s="3"/>
      <c r="N215" s="3" t="str" cm="1">
        <f t="array" ref="N215">IF(ISNA(INDEX(O215:AP215,MATCH(FALSE,ISBLANK(O215:AP215),0))),"",INDEX(O215:AP215,MATCH(FALSE,ISBLANK(O215:AP215),0)))</f>
        <v>flight heigth</v>
      </c>
      <c r="Z215" s="1" t="s">
        <v>868</v>
      </c>
      <c r="AQ215" s="19"/>
    </row>
    <row r="216" spans="1:43" ht="14.4">
      <c r="A216" s="4" t="s">
        <v>619</v>
      </c>
      <c r="B216" s="4" t="s">
        <v>830</v>
      </c>
      <c r="C216" s="4" t="s">
        <v>869</v>
      </c>
      <c r="D216" s="5" t="s">
        <v>870</v>
      </c>
      <c r="E216" s="3" t="s">
        <v>871</v>
      </c>
      <c r="F216" s="4" t="s">
        <v>872</v>
      </c>
      <c r="K216" s="3"/>
      <c r="N216" s="3" t="str" cm="1">
        <f t="array" ref="N216">IF(ISNA(INDEX(O216:AP216,MATCH(FALSE,ISBLANK(O216:AP216),0))),"",INDEX(O216:AP216,MATCH(FALSE,ISBLANK(O216:AP216),0)))</f>
        <v>home range size</v>
      </c>
      <c r="P216" s="1" t="s">
        <v>873</v>
      </c>
      <c r="AC216" s="1" t="s">
        <v>873</v>
      </c>
      <c r="AQ216" s="19"/>
    </row>
    <row r="217" spans="1:43" ht="14.4">
      <c r="A217" s="4" t="s">
        <v>619</v>
      </c>
      <c r="B217" s="4" t="s">
        <v>830</v>
      </c>
      <c r="C217" s="4"/>
      <c r="D217" s="5"/>
      <c r="E217" s="3"/>
      <c r="F217" s="4" t="s">
        <v>874</v>
      </c>
      <c r="K217" s="3"/>
      <c r="N217" s="3" t="str" cm="1">
        <f t="array" ref="N217">IF(ISNA(INDEX(O217:AP217,MATCH(FALSE,ISBLANK(O217:AP217),0))),"",INDEX(O217:AP217,MATCH(FALSE,ISBLANK(O217:AP217),0)))</f>
        <v/>
      </c>
      <c r="AQ217" s="19"/>
    </row>
    <row r="218" spans="1:43" ht="14.4">
      <c r="A218" s="4" t="s">
        <v>619</v>
      </c>
      <c r="B218" s="4" t="s">
        <v>830</v>
      </c>
      <c r="C218" s="4"/>
      <c r="D218" s="5"/>
      <c r="E218" s="3"/>
      <c r="F218" s="4"/>
      <c r="K218" s="3"/>
      <c r="N218" s="3" t="str" cm="1">
        <f t="array" ref="N218">IF(ISNA(INDEX(O218:AP218,MATCH(FALSE,ISBLANK(O218:AP218),0))),"",INDEX(O218:AP218,MATCH(FALSE,ISBLANK(O218:AP218),0)))</f>
        <v>mobility</v>
      </c>
      <c r="AD218" s="1" t="s">
        <v>875</v>
      </c>
      <c r="AQ218" s="19"/>
    </row>
    <row r="219" spans="1:43" ht="14.4">
      <c r="A219" s="4" t="s">
        <v>619</v>
      </c>
      <c r="B219" s="4" t="s">
        <v>830</v>
      </c>
      <c r="C219" s="4"/>
      <c r="D219" s="5" t="s">
        <v>876</v>
      </c>
      <c r="E219" s="3" t="s">
        <v>877</v>
      </c>
      <c r="F219" s="4" t="s">
        <v>878</v>
      </c>
      <c r="G219" s="5"/>
      <c r="K219" s="3"/>
      <c r="N219" s="3" t="str" cm="1">
        <f t="array" ref="N219">IF(ISNA(INDEX(O219:AP219,MATCH(FALSE,ISBLANK(O219:AP219),0))),"",INDEX(O219:AP219,MATCH(FALSE,ISBLANK(O219:AP219),0)))</f>
        <v/>
      </c>
      <c r="AQ219" s="19"/>
    </row>
    <row r="220" spans="1:43" ht="14.4">
      <c r="A220" s="4" t="s">
        <v>619</v>
      </c>
      <c r="B220" s="4" t="s">
        <v>830</v>
      </c>
      <c r="C220" s="4"/>
      <c r="D220" s="5"/>
      <c r="E220" s="3"/>
      <c r="F220" s="4" t="s">
        <v>879</v>
      </c>
      <c r="G220" s="5"/>
      <c r="I220" s="4"/>
      <c r="K220" s="3"/>
      <c r="N220" s="3" t="str" cm="1">
        <f t="array" ref="N220">IF(ISNA(INDEX(O220:AP220,MATCH(FALSE,ISBLANK(O220:AP220),0))),"",INDEX(O220:AP220,MATCH(FALSE,ISBLANK(O220:AP220),0)))</f>
        <v/>
      </c>
      <c r="AQ220" s="19"/>
    </row>
    <row r="221" spans="1:43" ht="14.4">
      <c r="A221" s="4" t="s">
        <v>619</v>
      </c>
      <c r="B221" s="4" t="s">
        <v>830</v>
      </c>
      <c r="C221" s="4"/>
      <c r="D221" s="5"/>
      <c r="E221" s="3"/>
      <c r="F221" s="4" t="s">
        <v>880</v>
      </c>
      <c r="G221" s="5"/>
      <c r="I221" s="4"/>
      <c r="K221" s="3"/>
      <c r="N221" s="3" t="str" cm="1">
        <f t="array" ref="N221">IF(ISNA(INDEX(O221:AP221,MATCH(FALSE,ISBLANK(O221:AP221),0))),"",INDEX(O221:AP221,MATCH(FALSE,ISBLANK(O221:AP221),0)))</f>
        <v/>
      </c>
      <c r="AQ221" s="19"/>
    </row>
    <row r="222" spans="1:43" ht="14.4">
      <c r="A222" s="4" t="s">
        <v>619</v>
      </c>
      <c r="B222" s="4" t="s">
        <v>830</v>
      </c>
      <c r="C222" s="4"/>
      <c r="D222" s="5" t="s">
        <v>881</v>
      </c>
      <c r="G222" s="5"/>
      <c r="K222" s="3"/>
      <c r="N222" s="3" t="str" cm="1">
        <f t="array" ref="N222">IF(ISNA(INDEX(O222:AP222,MATCH(FALSE,ISBLANK(O222:AP222),0))),"",INDEX(O222:AP222,MATCH(FALSE,ISBLANK(O222:AP222),0)))</f>
        <v/>
      </c>
      <c r="AQ222" s="19"/>
    </row>
    <row r="223" spans="1:43" ht="14.4">
      <c r="A223" s="4" t="s">
        <v>619</v>
      </c>
      <c r="B223" s="4" t="s">
        <v>830</v>
      </c>
      <c r="C223" s="4"/>
      <c r="D223" s="5" t="s">
        <v>882</v>
      </c>
      <c r="G223" s="5"/>
      <c r="N223" s="3" t="str" cm="1">
        <f t="array" ref="N223">IF(ISNA(INDEX(O223:AP223,MATCH(FALSE,ISBLANK(O223:AP223),0))),"",INDEX(O223:AP223,MATCH(FALSE,ISBLANK(O223:AP223),0)))</f>
        <v/>
      </c>
      <c r="AQ223" s="19"/>
    </row>
    <row r="224" spans="1:43" ht="14.4">
      <c r="A224" s="4" t="s">
        <v>619</v>
      </c>
      <c r="B224" s="4" t="s">
        <v>830</v>
      </c>
      <c r="C224" s="4"/>
      <c r="D224" s="5" t="s">
        <v>883</v>
      </c>
      <c r="F224" s="4" t="s">
        <v>884</v>
      </c>
      <c r="N224" s="3" t="str" cm="1">
        <f t="array" ref="N224">IF(ISNA(INDEX(O224:AP224,MATCH(FALSE,ISBLANK(O224:AP224),0))),"",INDEX(O224:AP224,MATCH(FALSE,ISBLANK(O224:AP224),0)))</f>
        <v/>
      </c>
      <c r="AQ224" s="19"/>
    </row>
    <row r="225" spans="1:43" ht="14.4">
      <c r="A225" s="4" t="s">
        <v>619</v>
      </c>
      <c r="B225" s="4" t="s">
        <v>830</v>
      </c>
      <c r="C225" s="4"/>
      <c r="D225" s="5" t="s">
        <v>885</v>
      </c>
      <c r="N225" s="3" t="str" cm="1">
        <f t="array" ref="N225">IF(ISNA(INDEX(O225:AP225,MATCH(FALSE,ISBLANK(O225:AP225),0))),"",INDEX(O225:AP225,MATCH(FALSE,ISBLANK(O225:AP225),0)))</f>
        <v/>
      </c>
      <c r="AQ225" s="19"/>
    </row>
    <row r="226" spans="1:43" ht="14.4">
      <c r="A226" s="4" t="s">
        <v>619</v>
      </c>
      <c r="B226" s="4" t="s">
        <v>830</v>
      </c>
      <c r="C226" s="4"/>
      <c r="D226" s="5"/>
      <c r="F226" s="4" t="s">
        <v>886</v>
      </c>
      <c r="N226" s="3" t="str" cm="1">
        <f t="array" ref="N226">IF(ISNA(INDEX(O226:AP226,MATCH(FALSE,ISBLANK(O226:AP226),0))),"",INDEX(O226:AP226,MATCH(FALSE,ISBLANK(O226:AP226),0)))</f>
        <v/>
      </c>
      <c r="AQ226" s="19"/>
    </row>
    <row r="227" spans="1:43" ht="14.4">
      <c r="A227" s="4" t="s">
        <v>619</v>
      </c>
      <c r="B227" s="4" t="s">
        <v>830</v>
      </c>
      <c r="C227" s="4"/>
      <c r="D227" s="5" t="s">
        <v>887</v>
      </c>
      <c r="N227" s="3" t="str" cm="1">
        <f t="array" ref="N227">IF(ISNA(INDEX(O227:AP227,MATCH(FALSE,ISBLANK(O227:AP227),0))),"",INDEX(O227:AP227,MATCH(FALSE,ISBLANK(O227:AP227),0)))</f>
        <v/>
      </c>
      <c r="AQ227" s="19"/>
    </row>
    <row r="228" spans="1:43" ht="14.4">
      <c r="A228" s="4" t="s">
        <v>619</v>
      </c>
      <c r="B228" s="4" t="s">
        <v>830</v>
      </c>
      <c r="C228" s="4"/>
      <c r="D228" s="5" t="s">
        <v>888</v>
      </c>
      <c r="N228" s="3" t="str" cm="1">
        <f t="array" ref="N228">IF(ISNA(INDEX(O228:AP228,MATCH(FALSE,ISBLANK(O228:AP228),0))),"",INDEX(O228:AP228,MATCH(FALSE,ISBLANK(O228:AP228),0)))</f>
        <v/>
      </c>
      <c r="AQ228" s="19"/>
    </row>
    <row r="229" spans="1:43" ht="14.4">
      <c r="A229" s="4" t="s">
        <v>619</v>
      </c>
      <c r="B229" s="4" t="s">
        <v>830</v>
      </c>
      <c r="C229" s="4"/>
      <c r="D229" s="5" t="s">
        <v>889</v>
      </c>
      <c r="F229" s="4" t="s">
        <v>890</v>
      </c>
      <c r="K229" s="1" t="s">
        <v>891</v>
      </c>
      <c r="N229" s="3" t="str" cm="1">
        <f t="array" ref="N229">IF(ISNA(INDEX(O229:AP229,MATCH(FALSE,ISBLANK(O229:AP229),0))),"",INDEX(O229:AP229,MATCH(FALSE,ISBLANK(O229:AP229),0)))</f>
        <v/>
      </c>
      <c r="AQ229" s="19"/>
    </row>
    <row r="230" spans="1:43" ht="14.4">
      <c r="A230" s="4" t="s">
        <v>619</v>
      </c>
      <c r="B230" s="4" t="s">
        <v>830</v>
      </c>
      <c r="C230" s="4"/>
      <c r="D230" s="5"/>
      <c r="F230" s="4"/>
      <c r="K230" s="1" t="s">
        <v>892</v>
      </c>
      <c r="N230" s="3" t="str" cm="1">
        <f t="array" ref="N230">IF(ISNA(INDEX(O230:AP230,MATCH(FALSE,ISBLANK(O230:AP230),0))),"",INDEX(O230:AP230,MATCH(FALSE,ISBLANK(O230:AP230),0)))</f>
        <v/>
      </c>
      <c r="AQ230" s="19"/>
    </row>
    <row r="231" spans="1:43" ht="14.4">
      <c r="A231" s="4" t="s">
        <v>619</v>
      </c>
      <c r="B231" s="4" t="s">
        <v>830</v>
      </c>
      <c r="C231" s="4"/>
      <c r="D231" s="5" t="s">
        <v>893</v>
      </c>
      <c r="N231" s="3" t="str" cm="1">
        <f t="array" ref="N231">IF(ISNA(INDEX(O231:AP231,MATCH(FALSE,ISBLANK(O231:AP231),0))),"",INDEX(O231:AP231,MATCH(FALSE,ISBLANK(O231:AP231),0)))</f>
        <v/>
      </c>
      <c r="AQ231" s="19"/>
    </row>
    <row r="232" spans="1:43" ht="14.4">
      <c r="A232" s="4" t="s">
        <v>619</v>
      </c>
      <c r="B232" s="4" t="s">
        <v>830</v>
      </c>
      <c r="C232" s="4"/>
      <c r="D232" s="5" t="s">
        <v>894</v>
      </c>
      <c r="N232" s="3" t="str" cm="1">
        <f t="array" ref="N232">IF(ISNA(INDEX(O232:AP232,MATCH(FALSE,ISBLANK(O232:AP232),0))),"",INDEX(O232:AP232,MATCH(FALSE,ISBLANK(O232:AP232),0)))</f>
        <v/>
      </c>
      <c r="AQ232" s="19"/>
    </row>
    <row r="233" spans="1:43" ht="14.4">
      <c r="A233" s="4" t="s">
        <v>619</v>
      </c>
      <c r="B233" s="4" t="s">
        <v>830</v>
      </c>
      <c r="C233" s="4"/>
      <c r="D233" s="5" t="s">
        <v>895</v>
      </c>
      <c r="K233" s="1" t="s">
        <v>896</v>
      </c>
      <c r="N233" s="3" t="str" cm="1">
        <f t="array" ref="N233">IF(ISNA(INDEX(O233:AP233,MATCH(FALSE,ISBLANK(O233:AP233),0))),"",INDEX(O233:AP233,MATCH(FALSE,ISBLANK(O233:AP233),0)))</f>
        <v>biogeographical range</v>
      </c>
      <c r="AC233" s="1" t="s">
        <v>897</v>
      </c>
      <c r="AQ233" s="19"/>
    </row>
    <row r="234" spans="1:43" ht="14.4">
      <c r="A234" s="4" t="s">
        <v>619</v>
      </c>
      <c r="B234" s="4" t="s">
        <v>830</v>
      </c>
      <c r="C234" s="4"/>
      <c r="D234" s="5"/>
      <c r="F234" s="4" t="s">
        <v>898</v>
      </c>
      <c r="N234" s="3" t="str" cm="1">
        <f t="array" ref="N234">IF(ISNA(INDEX(O234:AP234,MATCH(FALSE,ISBLANK(O234:AP234),0))),"",INDEX(O234:AP234,MATCH(FALSE,ISBLANK(O234:AP234),0)))</f>
        <v/>
      </c>
      <c r="AQ234" s="19"/>
    </row>
    <row r="235" spans="1:43" ht="14.4">
      <c r="A235" s="4" t="s">
        <v>619</v>
      </c>
      <c r="B235" s="4" t="s">
        <v>830</v>
      </c>
      <c r="C235" s="4"/>
      <c r="D235" s="5"/>
      <c r="F235" s="4" t="s">
        <v>899</v>
      </c>
      <c r="K235" s="1" t="s">
        <v>900</v>
      </c>
      <c r="N235" s="3" t="str" cm="1">
        <f t="array" ref="N235">IF(ISNA(INDEX(O235:AP235,MATCH(FALSE,ISBLANK(O235:AP235),0))),"",INDEX(O235:AP235,MATCH(FALSE,ISBLANK(O235:AP235),0)))</f>
        <v/>
      </c>
      <c r="AQ235" s="19"/>
    </row>
    <row r="236" spans="1:43" ht="14.4">
      <c r="A236" s="4" t="s">
        <v>619</v>
      </c>
      <c r="B236" s="4" t="s">
        <v>830</v>
      </c>
      <c r="C236" s="4"/>
      <c r="D236" s="5"/>
      <c r="F236" s="4"/>
      <c r="K236" s="1" t="s">
        <v>901</v>
      </c>
      <c r="N236" s="3" t="str" cm="1">
        <f t="array" ref="N236">IF(ISNA(INDEX(O236:AP236,MATCH(FALSE,ISBLANK(O236:AP236),0))),"",INDEX(O236:AP236,MATCH(FALSE,ISBLANK(O236:AP236),0)))</f>
        <v/>
      </c>
      <c r="AQ236" s="19"/>
    </row>
    <row r="237" spans="1:43" ht="14.4">
      <c r="A237" s="4" t="s">
        <v>619</v>
      </c>
      <c r="B237" s="4" t="s">
        <v>830</v>
      </c>
      <c r="C237" s="4"/>
      <c r="D237" s="5" t="s">
        <v>902</v>
      </c>
      <c r="N237" s="3" t="str" cm="1">
        <f t="array" ref="N237">IF(ISNA(INDEX(O237:AP237,MATCH(FALSE,ISBLANK(O237:AP237),0))),"",INDEX(O237:AP237,MATCH(FALSE,ISBLANK(O237:AP237),0)))</f>
        <v/>
      </c>
      <c r="AQ237" s="19"/>
    </row>
    <row r="238" spans="1:43" ht="14.4">
      <c r="A238" s="4" t="s">
        <v>619</v>
      </c>
      <c r="B238" s="4" t="s">
        <v>830</v>
      </c>
      <c r="C238" s="4"/>
      <c r="D238" s="5"/>
      <c r="J238" s="1" t="s">
        <v>903</v>
      </c>
      <c r="N238" s="3" t="str" cm="1">
        <f t="array" ref="N238">IF(ISNA(INDEX(O238:AP238,MATCH(FALSE,ISBLANK(O238:AP238),0))),"",INDEX(O238:AP238,MATCH(FALSE,ISBLANK(O238:AP238),0)))</f>
        <v/>
      </c>
      <c r="AQ238" s="19"/>
    </row>
    <row r="239" spans="1:43" ht="14.4">
      <c r="A239" s="4" t="s">
        <v>619</v>
      </c>
      <c r="B239" s="4" t="s">
        <v>830</v>
      </c>
      <c r="C239" s="4"/>
      <c r="D239" s="5"/>
      <c r="F239" s="4" t="s">
        <v>904</v>
      </c>
      <c r="N239" s="3" t="str" cm="1">
        <f t="array" ref="N239">IF(ISNA(INDEX(O239:AP239,MATCH(FALSE,ISBLANK(O239:AP239),0))),"",INDEX(O239:AP239,MATCH(FALSE,ISBLANK(O239:AP239),0)))</f>
        <v>habitat specilization</v>
      </c>
      <c r="P239" s="1" t="s">
        <v>905</v>
      </c>
      <c r="AQ239" s="19"/>
    </row>
    <row r="240" spans="1:43" ht="14.4">
      <c r="A240" s="4" t="s">
        <v>619</v>
      </c>
      <c r="B240" s="4" t="s">
        <v>830</v>
      </c>
      <c r="C240" s="4"/>
      <c r="D240" s="5"/>
      <c r="F240" s="4" t="s">
        <v>906</v>
      </c>
      <c r="N240" s="3" t="str" cm="1">
        <f t="array" ref="N240">IF(ISNA(INDEX(O240:AP240,MATCH(FALSE,ISBLANK(O240:AP240),0))),"",INDEX(O240:AP240,MATCH(FALSE,ISBLANK(O240:AP240),0)))</f>
        <v/>
      </c>
      <c r="AQ240" s="19"/>
    </row>
    <row r="241" spans="1:43" ht="14.4">
      <c r="A241" s="4" t="s">
        <v>619</v>
      </c>
      <c r="B241" s="4" t="s">
        <v>830</v>
      </c>
      <c r="C241" s="4"/>
      <c r="D241" s="5"/>
      <c r="F241" s="4" t="s">
        <v>907</v>
      </c>
      <c r="N241" s="3" t="str" cm="1">
        <f t="array" ref="N241">IF(ISNA(INDEX(O241:AP241,MATCH(FALSE,ISBLANK(O241:AP241),0))),"",INDEX(O241:AP241,MATCH(FALSE,ISBLANK(O241:AP241),0)))</f>
        <v/>
      </c>
      <c r="AQ241" s="19"/>
    </row>
    <row r="242" spans="1:43" ht="14.4">
      <c r="A242" s="4" t="s">
        <v>619</v>
      </c>
      <c r="B242" s="4" t="s">
        <v>830</v>
      </c>
      <c r="C242" s="4"/>
      <c r="D242" s="5"/>
      <c r="F242" s="4" t="s">
        <v>908</v>
      </c>
      <c r="N242" s="3" t="str" cm="1">
        <f t="array" ref="N242">IF(ISNA(INDEX(O242:AP242,MATCH(FALSE,ISBLANK(O242:AP242),0))),"",INDEX(O242:AP242,MATCH(FALSE,ISBLANK(O242:AP242),0)))</f>
        <v/>
      </c>
      <c r="AQ242" s="19"/>
    </row>
    <row r="243" spans="1:43" ht="14.4">
      <c r="A243" s="4" t="s">
        <v>619</v>
      </c>
      <c r="B243" s="4" t="s">
        <v>830</v>
      </c>
      <c r="C243" s="4"/>
      <c r="D243" s="5"/>
      <c r="F243" s="4" t="s">
        <v>909</v>
      </c>
      <c r="N243" s="3" t="str" cm="1">
        <f t="array" ref="N243">IF(ISNA(INDEX(O243:AP243,MATCH(FALSE,ISBLANK(O243:AP243),0))),"",INDEX(O243:AP243,MATCH(FALSE,ISBLANK(O243:AP243),0)))</f>
        <v/>
      </c>
      <c r="AQ243" s="19"/>
    </row>
    <row r="244" spans="1:43" ht="14.4">
      <c r="A244" s="4" t="s">
        <v>619</v>
      </c>
      <c r="B244" s="4" t="s">
        <v>830</v>
      </c>
      <c r="C244" s="4"/>
      <c r="D244" s="5"/>
      <c r="F244" s="4" t="s">
        <v>910</v>
      </c>
      <c r="N244" s="3" t="str" cm="1">
        <f t="array" ref="N244">IF(ISNA(INDEX(O244:AP244,MATCH(FALSE,ISBLANK(O244:AP244),0))),"",INDEX(O244:AP244,MATCH(FALSE,ISBLANK(O244:AP244),0)))</f>
        <v/>
      </c>
      <c r="AQ244" s="19"/>
    </row>
    <row r="245" spans="1:43" ht="14.4">
      <c r="A245" s="4" t="s">
        <v>619</v>
      </c>
      <c r="B245" s="4" t="s">
        <v>830</v>
      </c>
      <c r="C245" s="4"/>
      <c r="D245" s="5"/>
      <c r="F245" s="4" t="s">
        <v>911</v>
      </c>
      <c r="N245" s="3" t="str" cm="1">
        <f t="array" ref="N245">IF(ISNA(INDEX(O245:AP245,MATCH(FALSE,ISBLANK(O245:AP245),0))),"",INDEX(O245:AP245,MATCH(FALSE,ISBLANK(O245:AP245),0)))</f>
        <v/>
      </c>
      <c r="AQ245" s="19"/>
    </row>
    <row r="246" spans="1:43" ht="14.4">
      <c r="A246" s="4" t="s">
        <v>619</v>
      </c>
      <c r="B246" s="4" t="s">
        <v>830</v>
      </c>
      <c r="C246" s="4"/>
      <c r="D246" s="5"/>
      <c r="F246" s="4" t="s">
        <v>912</v>
      </c>
      <c r="N246" s="3" t="str" cm="1">
        <f t="array" ref="N246">IF(ISNA(INDEX(O246:AP246,MATCH(FALSE,ISBLANK(O246:AP246),0))),"",INDEX(O246:AP246,MATCH(FALSE,ISBLANK(O246:AP246),0)))</f>
        <v/>
      </c>
      <c r="AQ246" s="19"/>
    </row>
    <row r="247" spans="1:43" ht="14.4">
      <c r="A247" s="4" t="s">
        <v>619</v>
      </c>
      <c r="B247" s="4" t="s">
        <v>830</v>
      </c>
      <c r="C247" s="4"/>
      <c r="D247" s="5"/>
      <c r="F247" s="4" t="s">
        <v>913</v>
      </c>
      <c r="N247" s="3" t="str" cm="1">
        <f t="array" ref="N247">IF(ISNA(INDEX(O247:AP247,MATCH(FALSE,ISBLANK(O247:AP247),0))),"",INDEX(O247:AP247,MATCH(FALSE,ISBLANK(O247:AP247),0)))</f>
        <v/>
      </c>
      <c r="AQ247" s="19"/>
    </row>
    <row r="248" spans="1:43" ht="14.4">
      <c r="A248" s="4" t="s">
        <v>619</v>
      </c>
      <c r="B248" s="4" t="s">
        <v>830</v>
      </c>
      <c r="C248" s="4"/>
      <c r="D248" s="5"/>
      <c r="F248" s="4" t="s">
        <v>914</v>
      </c>
      <c r="N248" s="3" t="str" cm="1">
        <f t="array" ref="N248">IF(ISNA(INDEX(O248:AP248,MATCH(FALSE,ISBLANK(O248:AP248),0))),"",INDEX(O248:AP248,MATCH(FALSE,ISBLANK(O248:AP248),0)))</f>
        <v/>
      </c>
      <c r="AQ248" s="19"/>
    </row>
    <row r="249" spans="1:43" ht="14.4">
      <c r="A249" s="4" t="s">
        <v>619</v>
      </c>
      <c r="B249" s="4" t="s">
        <v>830</v>
      </c>
      <c r="C249" s="4"/>
      <c r="D249" s="5"/>
      <c r="F249" s="4" t="s">
        <v>915</v>
      </c>
      <c r="N249" s="3" t="str" cm="1">
        <f t="array" ref="N249">IF(ISNA(INDEX(O249:AP249,MATCH(FALSE,ISBLANK(O249:AP249),0))),"",INDEX(O249:AP249,MATCH(FALSE,ISBLANK(O249:AP249),0)))</f>
        <v/>
      </c>
      <c r="AQ249" s="19"/>
    </row>
    <row r="250" spans="1:43" ht="14.4">
      <c r="A250" s="4" t="s">
        <v>619</v>
      </c>
      <c r="B250" s="4" t="s">
        <v>830</v>
      </c>
      <c r="C250" s="4"/>
      <c r="D250" s="5"/>
      <c r="F250" s="4" t="s">
        <v>916</v>
      </c>
      <c r="N250" s="3" t="str" cm="1">
        <f t="array" ref="N250">IF(ISNA(INDEX(O250:AP250,MATCH(FALSE,ISBLANK(O250:AP250),0))),"",INDEX(O250:AP250,MATCH(FALSE,ISBLANK(O250:AP250),0)))</f>
        <v/>
      </c>
      <c r="AQ250" s="19"/>
    </row>
    <row r="251" spans="1:43" ht="14.4">
      <c r="A251" s="4" t="s">
        <v>619</v>
      </c>
      <c r="B251" s="4" t="s">
        <v>830</v>
      </c>
      <c r="C251" s="4"/>
      <c r="D251" s="5"/>
      <c r="F251" s="4" t="s">
        <v>917</v>
      </c>
      <c r="N251" s="3" t="str" cm="1">
        <f t="array" ref="N251">IF(ISNA(INDEX(O251:AP251,MATCH(FALSE,ISBLANK(O251:AP251),0))),"",INDEX(O251:AP251,MATCH(FALSE,ISBLANK(O251:AP251),0)))</f>
        <v/>
      </c>
      <c r="AQ251" s="19"/>
    </row>
    <row r="252" spans="1:43" ht="14.4">
      <c r="A252" s="4" t="s">
        <v>619</v>
      </c>
      <c r="B252" s="4" t="s">
        <v>830</v>
      </c>
      <c r="C252" s="4"/>
      <c r="D252" s="5"/>
      <c r="F252" s="4" t="s">
        <v>918</v>
      </c>
      <c r="N252" s="3" t="str" cm="1">
        <f t="array" ref="N252">IF(ISNA(INDEX(O252:AP252,MATCH(FALSE,ISBLANK(O252:AP252),0))),"",INDEX(O252:AP252,MATCH(FALSE,ISBLANK(O252:AP252),0)))</f>
        <v/>
      </c>
      <c r="AQ252" s="19"/>
    </row>
    <row r="253" spans="1:43" ht="14.4">
      <c r="A253" s="4" t="s">
        <v>619</v>
      </c>
      <c r="B253" s="4" t="s">
        <v>830</v>
      </c>
      <c r="C253" s="4"/>
      <c r="D253" s="5"/>
      <c r="F253" s="4" t="s">
        <v>919</v>
      </c>
      <c r="N253" s="3" t="str" cm="1">
        <f t="array" ref="N253">IF(ISNA(INDEX(O253:AP253,MATCH(FALSE,ISBLANK(O253:AP253),0))),"",INDEX(O253:AP253,MATCH(FALSE,ISBLANK(O253:AP253),0)))</f>
        <v/>
      </c>
      <c r="AQ253" s="19"/>
    </row>
    <row r="254" spans="1:43" ht="14.4">
      <c r="A254" s="4" t="s">
        <v>619</v>
      </c>
      <c r="B254" s="4" t="s">
        <v>830</v>
      </c>
      <c r="C254" s="4"/>
      <c r="D254" s="5"/>
      <c r="F254" s="4" t="s">
        <v>920</v>
      </c>
      <c r="N254" s="3" t="str" cm="1">
        <f t="array" ref="N254">IF(ISNA(INDEX(O254:AP254,MATCH(FALSE,ISBLANK(O254:AP254),0))),"",INDEX(O254:AP254,MATCH(FALSE,ISBLANK(O254:AP254),0)))</f>
        <v/>
      </c>
      <c r="AQ254" s="19"/>
    </row>
    <row r="255" spans="1:43" ht="14.4">
      <c r="A255" s="4" t="s">
        <v>619</v>
      </c>
      <c r="B255" s="4" t="s">
        <v>830</v>
      </c>
      <c r="C255" s="4"/>
      <c r="D255" s="5"/>
      <c r="F255" s="4" t="s">
        <v>921</v>
      </c>
      <c r="N255" s="3" t="str" cm="1">
        <f t="array" ref="N255">IF(ISNA(INDEX(O255:AP255,MATCH(FALSE,ISBLANK(O255:AP255),0))),"",INDEX(O255:AP255,MATCH(FALSE,ISBLANK(O255:AP255),0)))</f>
        <v/>
      </c>
      <c r="AQ255" s="19"/>
    </row>
    <row r="256" spans="1:43" ht="14.4">
      <c r="A256" s="4" t="s">
        <v>619</v>
      </c>
      <c r="B256" s="4" t="s">
        <v>830</v>
      </c>
      <c r="C256" s="4"/>
      <c r="D256" s="5"/>
      <c r="F256" s="4" t="s">
        <v>922</v>
      </c>
      <c r="N256" s="3" t="str" cm="1">
        <f t="array" ref="N256">IF(ISNA(INDEX(O256:AP256,MATCH(FALSE,ISBLANK(O256:AP256),0))),"",INDEX(O256:AP256,MATCH(FALSE,ISBLANK(O256:AP256),0)))</f>
        <v/>
      </c>
      <c r="AQ256" s="19"/>
    </row>
    <row r="257" spans="1:43" ht="14.4">
      <c r="A257" s="4" t="s">
        <v>619</v>
      </c>
      <c r="B257" s="4" t="s">
        <v>830</v>
      </c>
      <c r="C257" s="4"/>
      <c r="D257" s="5"/>
      <c r="F257" s="4" t="s">
        <v>923</v>
      </c>
      <c r="N257" s="3" t="str" cm="1">
        <f t="array" ref="N257">IF(ISNA(INDEX(O257:AP257,MATCH(FALSE,ISBLANK(O257:AP257),0))),"",INDEX(O257:AP257,MATCH(FALSE,ISBLANK(O257:AP257),0)))</f>
        <v/>
      </c>
      <c r="AQ257" s="19"/>
    </row>
    <row r="258" spans="1:43" ht="14.4">
      <c r="A258" s="4" t="s">
        <v>619</v>
      </c>
      <c r="B258" s="4" t="s">
        <v>830</v>
      </c>
      <c r="C258" s="4"/>
      <c r="D258" s="5"/>
      <c r="F258" s="4"/>
      <c r="K258" s="1" t="s">
        <v>924</v>
      </c>
      <c r="N258" s="3" t="str" cm="1">
        <f t="array" ref="N258">IF(ISNA(INDEX(O258:AP258,MATCH(FALSE,ISBLANK(O258:AP258),0))),"",INDEX(O258:AP258,MATCH(FALSE,ISBLANK(O258:AP258),0)))</f>
        <v/>
      </c>
      <c r="AQ258" s="19"/>
    </row>
    <row r="259" spans="1:43" ht="14.4">
      <c r="A259" s="4" t="s">
        <v>619</v>
      </c>
      <c r="B259" s="4" t="s">
        <v>830</v>
      </c>
      <c r="C259" s="4"/>
      <c r="D259" s="5"/>
      <c r="F259" s="4"/>
      <c r="K259" s="1" t="s">
        <v>925</v>
      </c>
      <c r="N259" s="3" t="str" cm="1">
        <f t="array" ref="N259">IF(ISNA(INDEX(O259:AP259,MATCH(FALSE,ISBLANK(O259:AP259),0))),"",INDEX(O259:AP259,MATCH(FALSE,ISBLANK(O259:AP259),0)))</f>
        <v/>
      </c>
      <c r="AQ259" s="19"/>
    </row>
    <row r="260" spans="1:43" ht="14.4">
      <c r="A260" s="4" t="s">
        <v>619</v>
      </c>
      <c r="B260" s="4" t="s">
        <v>830</v>
      </c>
      <c r="C260" s="4"/>
      <c r="D260" s="5"/>
      <c r="F260" s="4"/>
      <c r="K260" s="1" t="s">
        <v>926</v>
      </c>
      <c r="N260" s="3" t="str" cm="1">
        <f t="array" ref="N260">IF(ISNA(INDEX(O260:AP260,MATCH(FALSE,ISBLANK(O260:AP260),0))),"",INDEX(O260:AP260,MATCH(FALSE,ISBLANK(O260:AP260),0)))</f>
        <v/>
      </c>
      <c r="AQ260" s="19"/>
    </row>
    <row r="261" spans="1:43" ht="14.4">
      <c r="A261" s="4" t="s">
        <v>619</v>
      </c>
      <c r="B261" s="4" t="s">
        <v>830</v>
      </c>
      <c r="C261" s="4"/>
      <c r="D261" s="5"/>
      <c r="F261" s="4"/>
      <c r="K261" s="1" t="s">
        <v>927</v>
      </c>
      <c r="N261" s="3" t="str" cm="1">
        <f t="array" ref="N261">IF(ISNA(INDEX(O261:AP261,MATCH(FALSE,ISBLANK(O261:AP261),0))),"",INDEX(O261:AP261,MATCH(FALSE,ISBLANK(O261:AP261),0)))</f>
        <v/>
      </c>
      <c r="AQ261" s="19"/>
    </row>
    <row r="262" spans="1:43" ht="14.4">
      <c r="A262" s="4" t="s">
        <v>619</v>
      </c>
      <c r="B262" s="4" t="s">
        <v>830</v>
      </c>
      <c r="C262" s="4"/>
      <c r="D262" s="5"/>
      <c r="F262" s="4"/>
      <c r="K262" s="1" t="s">
        <v>928</v>
      </c>
      <c r="N262" s="3" t="str" cm="1">
        <f t="array" ref="N262">IF(ISNA(INDEX(O262:AP262,MATCH(FALSE,ISBLANK(O262:AP262),0))),"",INDEX(O262:AP262,MATCH(FALSE,ISBLANK(O262:AP262),0)))</f>
        <v/>
      </c>
      <c r="AQ262" s="19"/>
    </row>
    <row r="263" spans="1:43" ht="14.4">
      <c r="A263" s="4" t="s">
        <v>619</v>
      </c>
      <c r="B263" s="4" t="s">
        <v>830</v>
      </c>
      <c r="C263" s="4"/>
      <c r="D263" s="3"/>
      <c r="E263" s="3"/>
      <c r="K263" s="1" t="s">
        <v>929</v>
      </c>
      <c r="N263" s="3" t="str" cm="1">
        <f t="array" ref="N263">IF(ISNA(INDEX(O263:AP263,MATCH(FALSE,ISBLANK(O263:AP263),0))),"",INDEX(O263:AP263,MATCH(FALSE,ISBLANK(O263:AP263),0)))</f>
        <v/>
      </c>
      <c r="AQ263" s="19"/>
    </row>
    <row r="264" spans="1:43" ht="14.4">
      <c r="A264" s="4" t="s">
        <v>619</v>
      </c>
      <c r="B264" s="4" t="s">
        <v>830</v>
      </c>
      <c r="C264" s="4" t="s">
        <v>930</v>
      </c>
      <c r="D264" s="3"/>
      <c r="E264" s="3"/>
      <c r="N264" s="3" t="str" cm="1">
        <f t="array" ref="N264">IF(ISNA(INDEX(O264:AP264,MATCH(FALSE,ISBLANK(O264:AP264),0))),"",INDEX(O264:AP264,MATCH(FALSE,ISBLANK(O264:AP264),0)))</f>
        <v>roost site</v>
      </c>
      <c r="U264" s="3" t="s">
        <v>931</v>
      </c>
      <c r="AC264" s="1" t="s">
        <v>932</v>
      </c>
      <c r="AE264" s="1" t="s">
        <v>933</v>
      </c>
      <c r="AP264" s="1" t="s">
        <v>934</v>
      </c>
      <c r="AQ264" s="19"/>
    </row>
    <row r="265" spans="1:43" ht="14.4">
      <c r="A265" s="4" t="s">
        <v>619</v>
      </c>
      <c r="B265" s="4" t="s">
        <v>830</v>
      </c>
      <c r="C265" s="4"/>
      <c r="D265" s="3"/>
      <c r="E265" s="3" t="s">
        <v>935</v>
      </c>
      <c r="N265" s="3" t="str" cm="1">
        <f t="array" ref="N265">IF(ISNA(INDEX(O265:AP265,MATCH(FALSE,ISBLANK(O265:AP265),0))),"",INDEX(O265:AP265,MATCH(FALSE,ISBLANK(O265:AP265),0)))</f>
        <v/>
      </c>
      <c r="AQ265" s="19"/>
    </row>
    <row r="266" spans="1:43" ht="14.4">
      <c r="A266" s="4" t="s">
        <v>619</v>
      </c>
      <c r="B266" s="4" t="s">
        <v>830</v>
      </c>
      <c r="C266" s="4"/>
      <c r="D266" s="3"/>
      <c r="E266" s="3" t="s">
        <v>936</v>
      </c>
      <c r="N266" s="3" t="str" cm="1">
        <f t="array" ref="N266">IF(ISNA(INDEX(O266:AP266,MATCH(FALSE,ISBLANK(O266:AP266),0))),"",INDEX(O266:AP266,MATCH(FALSE,ISBLANK(O266:AP266),0)))</f>
        <v/>
      </c>
      <c r="AQ266" s="19"/>
    </row>
    <row r="267" spans="1:43" ht="14.4">
      <c r="A267" s="4" t="s">
        <v>619</v>
      </c>
      <c r="B267" s="4" t="s">
        <v>830</v>
      </c>
      <c r="C267" s="4"/>
      <c r="D267" s="3"/>
      <c r="E267" s="3" t="s">
        <v>937</v>
      </c>
      <c r="L267" s="1" t="s">
        <v>938</v>
      </c>
      <c r="N267" s="3" t="str" cm="1">
        <f t="array" ref="N267">IF(ISNA(INDEX(O267:AP267,MATCH(FALSE,ISBLANK(O267:AP267),0))),"",INDEX(O267:AP267,MATCH(FALSE,ISBLANK(O267:AP267),0)))</f>
        <v/>
      </c>
      <c r="AQ267" s="19"/>
    </row>
    <row r="268" spans="1:43" ht="14.4">
      <c r="A268" s="4" t="s">
        <v>619</v>
      </c>
      <c r="B268" s="4" t="s">
        <v>830</v>
      </c>
      <c r="C268" s="4"/>
      <c r="D268" s="3"/>
      <c r="E268" s="3" t="s">
        <v>939</v>
      </c>
      <c r="N268" s="3" t="str" cm="1">
        <f t="array" ref="N268">IF(ISNA(INDEX(O268:AP268,MATCH(FALSE,ISBLANK(O268:AP268),0))),"",INDEX(O268:AP268,MATCH(FALSE,ISBLANK(O268:AP268),0)))</f>
        <v/>
      </c>
      <c r="AQ268" s="19"/>
    </row>
    <row r="269" spans="1:43" ht="14.4">
      <c r="A269" s="4" t="s">
        <v>619</v>
      </c>
      <c r="B269" s="4" t="s">
        <v>830</v>
      </c>
      <c r="C269" s="4"/>
      <c r="D269" s="3"/>
      <c r="E269" s="3" t="s">
        <v>940</v>
      </c>
      <c r="N269" s="3" t="str" cm="1">
        <f t="array" ref="N269">IF(ISNA(INDEX(O269:AP269,MATCH(FALSE,ISBLANK(O269:AP269),0))),"",INDEX(O269:AP269,MATCH(FALSE,ISBLANK(O269:AP269),0)))</f>
        <v/>
      </c>
      <c r="AQ269" s="19"/>
    </row>
    <row r="270" spans="1:43" ht="14.4">
      <c r="A270" s="4" t="s">
        <v>619</v>
      </c>
      <c r="B270" s="4" t="s">
        <v>830</v>
      </c>
      <c r="C270" s="4"/>
      <c r="D270" s="3"/>
      <c r="E270" s="3" t="s">
        <v>941</v>
      </c>
      <c r="N270" s="3" t="str" cm="1">
        <f t="array" ref="N270">IF(ISNA(INDEX(O270:AP270,MATCH(FALSE,ISBLANK(O270:AP270),0))),"",INDEX(O270:AP270,MATCH(FALSE,ISBLANK(O270:AP270),0)))</f>
        <v/>
      </c>
      <c r="AQ270" s="19"/>
    </row>
    <row r="271" spans="1:43" ht="14.4">
      <c r="A271" s="4" t="s">
        <v>619</v>
      </c>
      <c r="B271" s="4" t="s">
        <v>830</v>
      </c>
      <c r="C271" s="4"/>
      <c r="D271" s="3"/>
      <c r="E271" s="3" t="s">
        <v>942</v>
      </c>
      <c r="N271" s="3" t="str" cm="1">
        <f t="array" ref="N271">IF(ISNA(INDEX(O271:AP271,MATCH(FALSE,ISBLANK(O271:AP271),0))),"",INDEX(O271:AP271,MATCH(FALSE,ISBLANK(O271:AP271),0)))</f>
        <v/>
      </c>
      <c r="AQ271" s="19"/>
    </row>
    <row r="272" spans="1:43" ht="14.4">
      <c r="A272" s="4" t="s">
        <v>619</v>
      </c>
      <c r="B272" s="4" t="s">
        <v>830</v>
      </c>
      <c r="C272" s="4"/>
      <c r="D272" s="3"/>
      <c r="E272" s="3"/>
      <c r="F272" s="4" t="s">
        <v>943</v>
      </c>
      <c r="N272" s="3" t="str" cm="1">
        <f t="array" ref="N272">IF(ISNA(INDEX(O272:AP272,MATCH(FALSE,ISBLANK(O272:AP272),0))),"",INDEX(O272:AP272,MATCH(FALSE,ISBLANK(O272:AP272),0)))</f>
        <v/>
      </c>
      <c r="AQ272" s="19"/>
    </row>
    <row r="273" spans="1:43" ht="14.4">
      <c r="A273" s="4" t="s">
        <v>619</v>
      </c>
      <c r="B273" s="4" t="s">
        <v>830</v>
      </c>
      <c r="C273" s="4"/>
      <c r="D273" s="3"/>
      <c r="E273" s="3"/>
      <c r="F273" s="4" t="s">
        <v>944</v>
      </c>
      <c r="N273" s="3" t="str" cm="1">
        <f t="array" ref="N273">IF(ISNA(INDEX(O273:AP273,MATCH(FALSE,ISBLANK(O273:AP273),0))),"",INDEX(O273:AP273,MATCH(FALSE,ISBLANK(O273:AP273),0)))</f>
        <v/>
      </c>
      <c r="AQ273" s="19"/>
    </row>
    <row r="274" spans="1:43" ht="14.4">
      <c r="A274" s="4" t="s">
        <v>619</v>
      </c>
      <c r="B274" s="4" t="s">
        <v>830</v>
      </c>
      <c r="C274" s="4"/>
      <c r="D274" s="3"/>
      <c r="E274" s="3"/>
      <c r="F274" s="4" t="s">
        <v>945</v>
      </c>
      <c r="N274" s="3" t="str" cm="1">
        <f t="array" ref="N274">IF(ISNA(INDEX(O274:AP274,MATCH(FALSE,ISBLANK(O274:AP274),0))),"",INDEX(O274:AP274,MATCH(FALSE,ISBLANK(O274:AP274),0)))</f>
        <v/>
      </c>
      <c r="AQ274" s="19"/>
    </row>
    <row r="275" spans="1:43" ht="14.4">
      <c r="A275" s="4" t="s">
        <v>619</v>
      </c>
      <c r="B275" s="4" t="s">
        <v>830</v>
      </c>
      <c r="C275" s="4"/>
      <c r="D275" s="3"/>
      <c r="E275" s="3"/>
      <c r="F275" s="4" t="s">
        <v>946</v>
      </c>
      <c r="N275" s="3" t="str" cm="1">
        <f t="array" ref="N275">IF(ISNA(INDEX(O275:AP275,MATCH(FALSE,ISBLANK(O275:AP275),0))),"",INDEX(O275:AP275,MATCH(FALSE,ISBLANK(O275:AP275),0)))</f>
        <v/>
      </c>
      <c r="AQ275" s="19"/>
    </row>
    <row r="276" spans="1:43" ht="14.4">
      <c r="A276" s="4" t="s">
        <v>619</v>
      </c>
      <c r="B276" s="4" t="s">
        <v>830</v>
      </c>
      <c r="C276" s="4"/>
      <c r="D276" s="3"/>
      <c r="E276" s="3"/>
      <c r="F276" s="4" t="s">
        <v>947</v>
      </c>
      <c r="N276" s="3" t="str" cm="1">
        <f t="array" ref="N276">IF(ISNA(INDEX(O276:AP276,MATCH(FALSE,ISBLANK(O276:AP276),0))),"",INDEX(O276:AP276,MATCH(FALSE,ISBLANK(O276:AP276),0)))</f>
        <v/>
      </c>
      <c r="AQ276" s="19"/>
    </row>
    <row r="277" spans="1:43" ht="14.4">
      <c r="A277" s="4" t="s">
        <v>619</v>
      </c>
      <c r="B277" s="4" t="s">
        <v>830</v>
      </c>
      <c r="C277" s="4"/>
      <c r="D277" s="3"/>
      <c r="E277" s="3"/>
      <c r="F277" s="4" t="s">
        <v>948</v>
      </c>
      <c r="N277" s="3" t="str" cm="1">
        <f t="array" ref="N277">IF(ISNA(INDEX(O277:AP277,MATCH(FALSE,ISBLANK(O277:AP277),0))),"",INDEX(O277:AP277,MATCH(FALSE,ISBLANK(O277:AP277),0)))</f>
        <v/>
      </c>
      <c r="AQ277" s="19"/>
    </row>
    <row r="278" spans="1:43" ht="14.4">
      <c r="A278" s="4" t="s">
        <v>619</v>
      </c>
      <c r="B278" s="4" t="s">
        <v>830</v>
      </c>
      <c r="C278" s="4"/>
      <c r="D278" s="3"/>
      <c r="E278" s="3" t="s">
        <v>949</v>
      </c>
      <c r="N278" s="3" t="str" cm="1">
        <f t="array" ref="N278">IF(ISNA(INDEX(O278:AP278,MATCH(FALSE,ISBLANK(O278:AP278),0))),"",INDEX(O278:AP278,MATCH(FALSE,ISBLANK(O278:AP278),0)))</f>
        <v>nursery site</v>
      </c>
      <c r="P278" s="1" t="s">
        <v>950</v>
      </c>
      <c r="AQ278" s="19"/>
    </row>
    <row r="279" spans="1:43" ht="14.4">
      <c r="A279" s="4" t="s">
        <v>619</v>
      </c>
      <c r="B279" s="4" t="s">
        <v>830</v>
      </c>
      <c r="C279" s="4"/>
      <c r="D279" s="3"/>
      <c r="E279" s="3" t="s">
        <v>951</v>
      </c>
      <c r="N279" s="3" t="str" cm="1">
        <f t="array" ref="N279">IF(ISNA(INDEX(O279:AP279,MATCH(FALSE,ISBLANK(O279:AP279),0))),"",INDEX(O279:AP279,MATCH(FALSE,ISBLANK(O279:AP279),0)))</f>
        <v/>
      </c>
      <c r="AQ279" s="19"/>
    </row>
    <row r="280" spans="1:43" ht="14.4">
      <c r="A280" s="4" t="s">
        <v>619</v>
      </c>
      <c r="B280" s="4" t="s">
        <v>830</v>
      </c>
      <c r="C280" s="4"/>
      <c r="D280" s="3"/>
      <c r="E280" s="3"/>
      <c r="F280" s="4" t="s">
        <v>952</v>
      </c>
      <c r="N280" s="3" t="str" cm="1">
        <f t="array" ref="N280">IF(ISNA(INDEX(O280:AP280,MATCH(FALSE,ISBLANK(O280:AP280),0))),"",INDEX(O280:AP280,MATCH(FALSE,ISBLANK(O280:AP280),0)))</f>
        <v/>
      </c>
      <c r="AQ280" s="19"/>
    </row>
    <row r="281" spans="1:43" ht="14.4">
      <c r="A281" s="4" t="s">
        <v>619</v>
      </c>
      <c r="B281" s="4" t="s">
        <v>830</v>
      </c>
      <c r="C281" s="4"/>
      <c r="D281" s="3"/>
      <c r="E281" s="3"/>
      <c r="F281" s="4" t="s">
        <v>953</v>
      </c>
      <c r="N281" s="3" t="str" cm="1">
        <f t="array" ref="N281">IF(ISNA(INDEX(O281:AP281,MATCH(FALSE,ISBLANK(O281:AP281),0))),"",INDEX(O281:AP281,MATCH(FALSE,ISBLANK(O281:AP281),0)))</f>
        <v/>
      </c>
      <c r="AQ281" s="19"/>
    </row>
    <row r="282" spans="1:43" ht="14.4">
      <c r="A282" s="4" t="s">
        <v>619</v>
      </c>
      <c r="B282" s="4" t="s">
        <v>830</v>
      </c>
      <c r="C282" s="4"/>
      <c r="D282" s="3"/>
      <c r="E282" s="3"/>
      <c r="F282" s="4" t="s">
        <v>954</v>
      </c>
      <c r="N282" s="3" t="str" cm="1">
        <f t="array" ref="N282">IF(ISNA(INDEX(O282:AP282,MATCH(FALSE,ISBLANK(O282:AP282),0))),"",INDEX(O282:AP282,MATCH(FALSE,ISBLANK(O282:AP282),0)))</f>
        <v/>
      </c>
      <c r="AQ282" s="19"/>
    </row>
    <row r="283" spans="1:43" ht="14.4">
      <c r="A283" s="4" t="s">
        <v>619</v>
      </c>
      <c r="B283" s="4" t="s">
        <v>830</v>
      </c>
      <c r="C283" s="4"/>
      <c r="D283" s="3"/>
      <c r="E283" s="3"/>
      <c r="F283" s="4" t="s">
        <v>955</v>
      </c>
      <c r="N283" s="3" t="str" cm="1">
        <f t="array" ref="N283">IF(ISNA(INDEX(O283:AP283,MATCH(FALSE,ISBLANK(O283:AP283),0))),"",INDEX(O283:AP283,MATCH(FALSE,ISBLANK(O283:AP283),0)))</f>
        <v/>
      </c>
      <c r="AQ283" s="19"/>
    </row>
    <row r="284" spans="1:43" ht="14.4">
      <c r="A284" s="4" t="s">
        <v>619</v>
      </c>
      <c r="B284" s="4" t="s">
        <v>830</v>
      </c>
      <c r="C284" s="4"/>
      <c r="D284" s="3"/>
      <c r="E284" s="3"/>
      <c r="F284" s="4" t="s">
        <v>956</v>
      </c>
      <c r="N284" s="3" t="str" cm="1">
        <f t="array" ref="N284">IF(ISNA(INDEX(O284:AP284,MATCH(FALSE,ISBLANK(O284:AP284),0))),"",INDEX(O284:AP284,MATCH(FALSE,ISBLANK(O284:AP284),0)))</f>
        <v/>
      </c>
      <c r="AQ284" s="19"/>
    </row>
    <row r="285" spans="1:43" ht="14.4">
      <c r="A285" s="4" t="s">
        <v>619</v>
      </c>
      <c r="B285" s="4" t="s">
        <v>830</v>
      </c>
      <c r="C285" s="4"/>
      <c r="D285" s="3"/>
      <c r="E285" s="3"/>
      <c r="F285" s="4" t="s">
        <v>957</v>
      </c>
      <c r="N285" s="3" t="str" cm="1">
        <f t="array" ref="N285">IF(ISNA(INDEX(O285:AP285,MATCH(FALSE,ISBLANK(O285:AP285),0))),"",INDEX(O285:AP285,MATCH(FALSE,ISBLANK(O285:AP285),0)))</f>
        <v/>
      </c>
      <c r="AQ285" s="19"/>
    </row>
    <row r="286" spans="1:43" ht="14.4">
      <c r="A286" s="4" t="s">
        <v>619</v>
      </c>
      <c r="B286" s="4" t="s">
        <v>830</v>
      </c>
      <c r="C286" s="4"/>
      <c r="D286" s="3"/>
      <c r="E286" s="3" t="s">
        <v>958</v>
      </c>
      <c r="L286" s="1" t="s">
        <v>959</v>
      </c>
      <c r="N286" s="3" t="str" cm="1">
        <f t="array" ref="N286">IF(ISNA(INDEX(O286:AP286,MATCH(FALSE,ISBLANK(O286:AP286),0))),"",INDEX(O286:AP286,MATCH(FALSE,ISBLANK(O286:AP286),0)))</f>
        <v/>
      </c>
      <c r="AQ286" s="19"/>
    </row>
    <row r="287" spans="1:43" ht="14.4">
      <c r="A287" s="4" t="s">
        <v>619</v>
      </c>
      <c r="B287" s="4" t="s">
        <v>830</v>
      </c>
      <c r="C287" s="4"/>
      <c r="D287" s="3"/>
      <c r="E287" s="3" t="s">
        <v>960</v>
      </c>
      <c r="F287" s="3"/>
      <c r="N287" s="3" t="str" cm="1">
        <f t="array" ref="N287">IF(ISNA(INDEX(O287:AP287,MATCH(FALSE,ISBLANK(O287:AP287),0))),"",INDEX(O287:AP287,MATCH(FALSE,ISBLANK(O287:AP287),0)))</f>
        <v/>
      </c>
      <c r="AQ287" s="19"/>
    </row>
    <row r="288" spans="1:43" ht="14.4">
      <c r="A288" s="4" t="s">
        <v>619</v>
      </c>
      <c r="B288" s="4" t="s">
        <v>961</v>
      </c>
      <c r="C288" s="4"/>
      <c r="D288" s="3"/>
      <c r="E288" s="3" t="s">
        <v>961</v>
      </c>
      <c r="F288" s="3"/>
      <c r="N288" s="3" t="str" cm="1">
        <f t="array" ref="N288">IF(ISNA(INDEX(O288:AP288,MATCH(FALSE,ISBLANK(O288:AP288),0))),"",INDEX(O288:AP288,MATCH(FALSE,ISBLANK(O288:AP288),0)))</f>
        <v/>
      </c>
      <c r="AQ288" s="19"/>
    </row>
    <row r="289" spans="1:43" ht="14.4">
      <c r="A289" s="4" t="s">
        <v>619</v>
      </c>
      <c r="B289" s="4" t="s">
        <v>961</v>
      </c>
      <c r="C289" s="4"/>
      <c r="D289" s="3"/>
      <c r="E289" s="3" t="s">
        <v>962</v>
      </c>
      <c r="F289" s="4" t="s">
        <v>963</v>
      </c>
      <c r="N289" s="3" t="str" cm="1">
        <f t="array" ref="N289">IF(ISNA(INDEX(O289:AP289,MATCH(FALSE,ISBLANK(O289:AP289),0))),"",INDEX(O289:AP289,MATCH(FALSE,ISBLANK(O289:AP289),0)))</f>
        <v>ecolocation strategy</v>
      </c>
      <c r="X289" s="1" t="s">
        <v>964</v>
      </c>
      <c r="AA289" s="3" t="s">
        <v>965</v>
      </c>
      <c r="AQ289" s="19"/>
    </row>
    <row r="290" spans="1:43" ht="14.4">
      <c r="A290" s="4" t="s">
        <v>619</v>
      </c>
      <c r="B290" s="4" t="s">
        <v>961</v>
      </c>
      <c r="C290" s="4"/>
      <c r="D290" s="3"/>
      <c r="E290" s="3"/>
      <c r="F290" s="4"/>
      <c r="N290" s="3" t="str" cm="1">
        <f t="array" ref="N290">IF(ISNA(INDEX(O290:AP290,MATCH(FALSE,ISBLANK(O290:AP290),0))),"",INDEX(O290:AP290,MATCH(FALSE,ISBLANK(O290:AP290),0)))</f>
        <v>echolocation frequency</v>
      </c>
      <c r="X290" s="1"/>
      <c r="AA290" s="3"/>
      <c r="AI290" s="1" t="s">
        <v>966</v>
      </c>
      <c r="AQ290" s="19"/>
    </row>
    <row r="291" spans="1:43" ht="14.4">
      <c r="A291" s="4" t="s">
        <v>619</v>
      </c>
      <c r="B291" s="4" t="s">
        <v>961</v>
      </c>
      <c r="C291" s="4"/>
      <c r="D291" s="3"/>
      <c r="E291" s="3"/>
      <c r="F291" s="4" t="s">
        <v>967</v>
      </c>
      <c r="N291" s="3" t="str" cm="1">
        <f t="array" ref="N291">IF(ISNA(INDEX(O291:AP291,MATCH(FALSE,ISBLANK(O291:AP291),0))),"",INDEX(O291:AP291,MATCH(FALSE,ISBLANK(O291:AP291),0)))</f>
        <v/>
      </c>
      <c r="AQ291" s="19"/>
    </row>
    <row r="292" spans="1:43" ht="14.4">
      <c r="A292" s="4" t="s">
        <v>619</v>
      </c>
      <c r="B292" s="4" t="s">
        <v>961</v>
      </c>
      <c r="C292" s="4" t="s">
        <v>968</v>
      </c>
      <c r="D292" s="3"/>
      <c r="F292" s="4" t="s">
        <v>969</v>
      </c>
      <c r="N292" s="3" t="str" cm="1">
        <f t="array" ref="N292">IF(ISNA(INDEX(O292:AP292,MATCH(FALSE,ISBLANK(O292:AP292),0))),"",INDEX(O292:AP292,MATCH(FALSE,ISBLANK(O292:AP292),0)))</f>
        <v/>
      </c>
      <c r="AQ292" s="19"/>
    </row>
    <row r="293" spans="1:43" ht="14.4">
      <c r="A293" s="4" t="s">
        <v>619</v>
      </c>
      <c r="B293" s="4" t="s">
        <v>961</v>
      </c>
      <c r="C293" s="4" t="s">
        <v>970</v>
      </c>
      <c r="D293" s="3"/>
      <c r="F293" s="4" t="s">
        <v>971</v>
      </c>
      <c r="N293" s="3" t="str" cm="1">
        <f t="array" ref="N293">IF(ISNA(INDEX(O293:AP293,MATCH(FALSE,ISBLANK(O293:AP293),0))),"",INDEX(O293:AP293,MATCH(FALSE,ISBLANK(O293:AP293),0)))</f>
        <v/>
      </c>
      <c r="AQ293" s="19"/>
    </row>
    <row r="294" spans="1:43" ht="14.4">
      <c r="A294" s="4" t="s">
        <v>619</v>
      </c>
      <c r="B294" s="4" t="s">
        <v>961</v>
      </c>
      <c r="C294" s="4" t="s">
        <v>972</v>
      </c>
      <c r="D294" s="3"/>
      <c r="E294" s="3" t="s">
        <v>973</v>
      </c>
      <c r="F294" s="4" t="s">
        <v>974</v>
      </c>
      <c r="N294" s="3" t="str" cm="1">
        <f t="array" ref="N294">IF(ISNA(INDEX(O294:AP294,MATCH(FALSE,ISBLANK(O294:AP294),0))),"",INDEX(O294:AP294,MATCH(FALSE,ISBLANK(O294:AP294),0)))</f>
        <v>peak frequency</v>
      </c>
      <c r="U294" s="1" t="s">
        <v>975</v>
      </c>
      <c r="AA294" s="1" t="s">
        <v>976</v>
      </c>
      <c r="AQ294" s="19"/>
    </row>
    <row r="295" spans="1:43" ht="14.4">
      <c r="A295" s="4" t="s">
        <v>619</v>
      </c>
      <c r="B295" s="4" t="s">
        <v>961</v>
      </c>
      <c r="C295" s="4"/>
      <c r="D295" s="3"/>
      <c r="E295" s="3" t="s">
        <v>977</v>
      </c>
      <c r="F295" s="4" t="s">
        <v>978</v>
      </c>
      <c r="K295" s="3"/>
      <c r="N295" s="3" t="str" cm="1">
        <f t="array" ref="N295">IF(ISNA(INDEX(O295:AP295,MATCH(FALSE,ISBLANK(O295:AP295),0))),"",INDEX(O295:AP295,MATCH(FALSE,ISBLANK(O295:AP295),0)))</f>
        <v/>
      </c>
      <c r="AQ295" s="19"/>
    </row>
    <row r="296" spans="1:43" ht="14.4">
      <c r="A296" s="4" t="s">
        <v>619</v>
      </c>
      <c r="B296" s="4" t="s">
        <v>961</v>
      </c>
      <c r="C296" s="4"/>
      <c r="D296" s="3"/>
      <c r="E296" s="3"/>
      <c r="F296" s="4" t="s">
        <v>979</v>
      </c>
      <c r="K296" s="3"/>
      <c r="N296" s="3" t="str" cm="1">
        <f t="array" ref="N296">IF(ISNA(INDEX(O296:AP296,MATCH(FALSE,ISBLANK(O296:AP296),0))),"",INDEX(O296:AP296,MATCH(FALSE,ISBLANK(O296:AP296),0)))</f>
        <v/>
      </c>
      <c r="AQ296" s="19"/>
    </row>
    <row r="297" spans="1:43" ht="14.4">
      <c r="A297" s="4" t="s">
        <v>619</v>
      </c>
      <c r="B297" s="4" t="s">
        <v>961</v>
      </c>
      <c r="C297" s="4"/>
      <c r="D297" s="3"/>
      <c r="E297" s="3"/>
      <c r="F297" s="4" t="s">
        <v>980</v>
      </c>
      <c r="K297" s="3"/>
      <c r="N297" s="3" t="str" cm="1">
        <f t="array" ref="N297">IF(ISNA(INDEX(O297:AP297,MATCH(FALSE,ISBLANK(O297:AP297),0))),"",INDEX(O297:AP297,MATCH(FALSE,ISBLANK(O297:AP297),0)))</f>
        <v/>
      </c>
      <c r="AQ297" s="19"/>
    </row>
    <row r="298" spans="1:43" ht="14.4">
      <c r="A298" s="4" t="s">
        <v>619</v>
      </c>
      <c r="B298" s="4" t="s">
        <v>961</v>
      </c>
      <c r="C298" s="4"/>
      <c r="D298" s="3"/>
      <c r="E298" s="3"/>
      <c r="F298" s="4" t="s">
        <v>981</v>
      </c>
      <c r="K298" s="3"/>
      <c r="N298" s="3" t="str" cm="1">
        <f t="array" ref="N298">IF(ISNA(INDEX(O298:AP298,MATCH(FALSE,ISBLANK(O298:AP298),0))),"",INDEX(O298:AP298,MATCH(FALSE,ISBLANK(O298:AP298),0)))</f>
        <v/>
      </c>
      <c r="AQ298" s="19"/>
    </row>
    <row r="299" spans="1:43" ht="14.4">
      <c r="A299" s="4" t="s">
        <v>619</v>
      </c>
      <c r="B299" s="4" t="s">
        <v>961</v>
      </c>
      <c r="C299" s="4"/>
      <c r="D299" s="3"/>
      <c r="E299" s="3"/>
      <c r="F299" s="4" t="s">
        <v>982</v>
      </c>
      <c r="K299" s="3"/>
      <c r="N299" s="3" t="str" cm="1">
        <f t="array" ref="N299">IF(ISNA(INDEX(O299:AP299,MATCH(FALSE,ISBLANK(O299:AP299),0))),"",INDEX(O299:AP299,MATCH(FALSE,ISBLANK(O299:AP299),0)))</f>
        <v/>
      </c>
      <c r="AQ299" s="19"/>
    </row>
    <row r="300" spans="1:43" ht="14.4">
      <c r="A300" s="4" t="s">
        <v>619</v>
      </c>
      <c r="B300" s="4" t="s">
        <v>961</v>
      </c>
      <c r="C300" s="4"/>
      <c r="D300" s="3"/>
      <c r="E300" s="3"/>
      <c r="F300" s="4" t="s">
        <v>983</v>
      </c>
      <c r="K300" s="3"/>
      <c r="N300" s="3" t="str" cm="1">
        <f t="array" ref="N300">IF(ISNA(INDEX(O300:AP300,MATCH(FALSE,ISBLANK(O300:AP300),0))),"",INDEX(O300:AP300,MATCH(FALSE,ISBLANK(O300:AP300),0)))</f>
        <v/>
      </c>
      <c r="AQ300" s="19"/>
    </row>
    <row r="301" spans="1:43" ht="14.4">
      <c r="A301" s="4" t="s">
        <v>619</v>
      </c>
      <c r="B301" s="4" t="s">
        <v>961</v>
      </c>
      <c r="C301" s="4"/>
      <c r="D301" s="3"/>
      <c r="E301" s="3"/>
      <c r="F301" s="4" t="s">
        <v>984</v>
      </c>
      <c r="K301" s="3"/>
      <c r="N301" s="3" t="str" cm="1">
        <f t="array" ref="N301">IF(ISNA(INDEX(O301:AP301,MATCH(FALSE,ISBLANK(O301:AP301),0))),"",INDEX(O301:AP301,MATCH(FALSE,ISBLANK(O301:AP301),0)))</f>
        <v/>
      </c>
      <c r="AQ301" s="19"/>
    </row>
    <row r="302" spans="1:43" ht="14.4">
      <c r="A302" s="4" t="s">
        <v>619</v>
      </c>
      <c r="B302" s="4" t="s">
        <v>961</v>
      </c>
      <c r="C302" s="4"/>
      <c r="D302" s="3"/>
      <c r="E302" s="3"/>
      <c r="F302" s="4" t="s">
        <v>985</v>
      </c>
      <c r="K302" s="3"/>
      <c r="N302" s="3" t="str" cm="1">
        <f t="array" ref="N302">IF(ISNA(INDEX(O302:AP302,MATCH(FALSE,ISBLANK(O302:AP302),0))),"",INDEX(O302:AP302,MATCH(FALSE,ISBLANK(O302:AP302),0)))</f>
        <v/>
      </c>
      <c r="AQ302" s="19"/>
    </row>
    <row r="303" spans="1:43" ht="14.4">
      <c r="A303" s="4" t="s">
        <v>619</v>
      </c>
      <c r="B303" s="4" t="s">
        <v>961</v>
      </c>
      <c r="C303" s="4"/>
      <c r="D303" s="3"/>
      <c r="E303" s="3"/>
      <c r="F303" s="4" t="s">
        <v>986</v>
      </c>
      <c r="K303" s="3"/>
      <c r="N303" s="3" t="str" cm="1">
        <f t="array" ref="N303">IF(ISNA(INDEX(O303:AP303,MATCH(FALSE,ISBLANK(O303:AP303),0))),"",INDEX(O303:AP303,MATCH(FALSE,ISBLANK(O303:AP303),0)))</f>
        <v/>
      </c>
      <c r="AQ303" s="19"/>
    </row>
    <row r="304" spans="1:43" ht="14.4">
      <c r="A304" s="4" t="s">
        <v>619</v>
      </c>
      <c r="B304" s="4" t="s">
        <v>961</v>
      </c>
      <c r="C304" s="4" t="s">
        <v>987</v>
      </c>
      <c r="D304" s="3"/>
      <c r="N304" s="3" t="str" cm="1">
        <f t="array" ref="N304">IF(ISNA(INDEX(O304:AP304,MATCH(FALSE,ISBLANK(O304:AP304),0))),"",INDEX(O304:AP304,MATCH(FALSE,ISBLANK(O304:AP304),0)))</f>
        <v/>
      </c>
      <c r="AQ304" s="19"/>
    </row>
    <row r="305" spans="1:43" ht="14.4">
      <c r="A305" s="4" t="s">
        <v>619</v>
      </c>
      <c r="B305" s="4" t="s">
        <v>961</v>
      </c>
      <c r="C305" s="4" t="s">
        <v>988</v>
      </c>
      <c r="D305" s="3"/>
      <c r="N305" s="3" t="str" cm="1">
        <f t="array" ref="N305">IF(ISNA(INDEX(O305:AP305,MATCH(FALSE,ISBLANK(O305:AP305),0))),"",INDEX(O305:AP305,MATCH(FALSE,ISBLANK(O305:AP305),0)))</f>
        <v/>
      </c>
      <c r="AQ305" s="19"/>
    </row>
    <row r="306" spans="1:43" ht="14.4">
      <c r="A306" s="4" t="s">
        <v>989</v>
      </c>
      <c r="B306" s="4" t="s">
        <v>990</v>
      </c>
      <c r="C306" s="4"/>
      <c r="D306" s="3"/>
      <c r="F306" s="4" t="s">
        <v>991</v>
      </c>
      <c r="N306" s="3" t="str" cm="1">
        <f t="array" ref="N306">IF(ISNA(INDEX(O306:AP306,MATCH(FALSE,ISBLANK(O306:AP306),0))),"",INDEX(O306:AP306,MATCH(FALSE,ISBLANK(O306:AP306),0)))</f>
        <v/>
      </c>
      <c r="AQ306" s="19"/>
    </row>
    <row r="307" spans="1:43" ht="14.4">
      <c r="A307" s="4" t="s">
        <v>989</v>
      </c>
      <c r="B307" s="4" t="s">
        <v>990</v>
      </c>
      <c r="C307" s="4"/>
      <c r="D307" s="3"/>
      <c r="F307" s="4" t="s">
        <v>992</v>
      </c>
      <c r="N307" s="3" t="str" cm="1">
        <f t="array" ref="N307">IF(ISNA(INDEX(O307:AP307,MATCH(FALSE,ISBLANK(O307:AP307),0))),"",INDEX(O307:AP307,MATCH(FALSE,ISBLANK(O307:AP307),0)))</f>
        <v/>
      </c>
      <c r="AQ307" s="19"/>
    </row>
    <row r="308" spans="1:43" ht="14.4">
      <c r="A308" s="4" t="s">
        <v>989</v>
      </c>
      <c r="B308" s="4" t="s">
        <v>990</v>
      </c>
      <c r="C308" s="4"/>
      <c r="D308" s="3"/>
      <c r="F308" s="4" t="s">
        <v>993</v>
      </c>
      <c r="N308" s="3" t="str" cm="1">
        <f t="array" ref="N308">IF(ISNA(INDEX(O308:AP308,MATCH(FALSE,ISBLANK(O308:AP308),0))),"",INDEX(O308:AP308,MATCH(FALSE,ISBLANK(O308:AP308),0)))</f>
        <v/>
      </c>
      <c r="AQ308" s="19"/>
    </row>
    <row r="309" spans="1:43" ht="14.4">
      <c r="A309" s="4" t="s">
        <v>989</v>
      </c>
      <c r="B309" s="4" t="s">
        <v>990</v>
      </c>
      <c r="C309" s="4"/>
      <c r="D309" s="3"/>
      <c r="F309" s="4" t="s">
        <v>994</v>
      </c>
      <c r="N309" s="3" t="str" cm="1">
        <f t="array" ref="N309">IF(ISNA(INDEX(O309:AP309,MATCH(FALSE,ISBLANK(O309:AP309),0))),"",INDEX(O309:AP309,MATCH(FALSE,ISBLANK(O309:AP309),0)))</f>
        <v/>
      </c>
      <c r="AQ309" s="19"/>
    </row>
    <row r="310" spans="1:43" ht="14.4">
      <c r="A310" s="4" t="s">
        <v>989</v>
      </c>
      <c r="B310" s="4" t="s">
        <v>990</v>
      </c>
      <c r="C310" s="4"/>
      <c r="D310" s="3"/>
      <c r="F310" s="4" t="s">
        <v>995</v>
      </c>
      <c r="N310" s="3" t="str" cm="1">
        <f t="array" ref="N310">IF(ISNA(INDEX(O310:AP310,MATCH(FALSE,ISBLANK(O310:AP310),0))),"",INDEX(O310:AP310,MATCH(FALSE,ISBLANK(O310:AP310),0)))</f>
        <v/>
      </c>
      <c r="AQ310" s="19"/>
    </row>
    <row r="311" spans="1:43" ht="14.4">
      <c r="A311" s="4" t="s">
        <v>989</v>
      </c>
      <c r="B311" s="4" t="s">
        <v>990</v>
      </c>
      <c r="C311" s="4"/>
      <c r="D311" s="3"/>
      <c r="F311" s="4" t="s">
        <v>996</v>
      </c>
      <c r="N311" s="3" t="str" cm="1">
        <f t="array" ref="N311">IF(ISNA(INDEX(O311:AP311,MATCH(FALSE,ISBLANK(O311:AP311),0))),"",INDEX(O311:AP311,MATCH(FALSE,ISBLANK(O311:AP311),0)))</f>
        <v/>
      </c>
      <c r="AQ311" s="19"/>
    </row>
    <row r="312" spans="1:43" ht="14.4">
      <c r="A312" s="4" t="s">
        <v>989</v>
      </c>
      <c r="B312" s="4" t="s">
        <v>990</v>
      </c>
      <c r="C312" s="4"/>
      <c r="D312" s="3"/>
      <c r="F312" s="4" t="s">
        <v>997</v>
      </c>
      <c r="N312" s="3" t="str" cm="1">
        <f t="array" ref="N312">IF(ISNA(INDEX(O312:AP312,MATCH(FALSE,ISBLANK(O312:AP312),0))),"",INDEX(O312:AP312,MATCH(FALSE,ISBLANK(O312:AP312),0)))</f>
        <v/>
      </c>
      <c r="AQ312" s="19"/>
    </row>
    <row r="313" spans="1:43" ht="14.4">
      <c r="A313" s="4" t="s">
        <v>989</v>
      </c>
      <c r="B313" s="4" t="s">
        <v>990</v>
      </c>
      <c r="C313" s="4"/>
      <c r="D313" s="3"/>
      <c r="F313" s="4" t="s">
        <v>998</v>
      </c>
      <c r="N313" s="3" t="str" cm="1">
        <f t="array" ref="N313">IF(ISNA(INDEX(O313:AP313,MATCH(FALSE,ISBLANK(O313:AP313),0))),"",INDEX(O313:AP313,MATCH(FALSE,ISBLANK(O313:AP313),0)))</f>
        <v/>
      </c>
      <c r="AQ313" s="19"/>
    </row>
    <row r="314" spans="1:43" ht="14.4">
      <c r="A314" s="4" t="s">
        <v>989</v>
      </c>
      <c r="B314" s="4" t="s">
        <v>990</v>
      </c>
      <c r="C314" s="4"/>
      <c r="D314" s="3"/>
      <c r="F314" s="4" t="s">
        <v>999</v>
      </c>
      <c r="N314" s="3" t="str" cm="1">
        <f t="array" ref="N314">IF(ISNA(INDEX(O314:AP314,MATCH(FALSE,ISBLANK(O314:AP314),0))),"",INDEX(O314:AP314,MATCH(FALSE,ISBLANK(O314:AP314),0)))</f>
        <v/>
      </c>
      <c r="AQ314" s="19"/>
    </row>
    <row r="315" spans="1:43" ht="14.4">
      <c r="A315" s="1" t="s">
        <v>1000</v>
      </c>
      <c r="B315" s="1" t="s">
        <v>2037</v>
      </c>
      <c r="D315" s="3"/>
      <c r="E315" s="3"/>
      <c r="J315" s="1" t="s">
        <v>1001</v>
      </c>
      <c r="N315" s="3" t="str" cm="1">
        <f t="array" ref="N315">IF(ISNA(INDEX(O315:AP315,MATCH(FALSE,ISBLANK(O315:AP315),0))),"",INDEX(O315:AP315,MATCH(FALSE,ISBLANK(O315:AP315),0)))</f>
        <v/>
      </c>
      <c r="AQ315" s="19"/>
    </row>
    <row r="316" spans="1:43" ht="14.4">
      <c r="A316" s="1" t="s">
        <v>1000</v>
      </c>
      <c r="B316" s="1" t="s">
        <v>2037</v>
      </c>
      <c r="D316" s="3"/>
      <c r="E316" s="3" t="s">
        <v>1002</v>
      </c>
      <c r="N316" s="3" t="str" cm="1">
        <f t="array" ref="N316">IF(ISNA(INDEX(O316:AP316,MATCH(FALSE,ISBLANK(O316:AP316),0))),"",INDEX(O316:AP316,MATCH(FALSE,ISBLANK(O316:AP316),0)))</f>
        <v/>
      </c>
      <c r="AQ316" s="19"/>
    </row>
    <row r="317" spans="1:43" ht="14.4">
      <c r="A317" s="1" t="s">
        <v>1000</v>
      </c>
      <c r="B317" s="1" t="s">
        <v>2037</v>
      </c>
      <c r="D317" s="3"/>
      <c r="E317" s="3" t="s">
        <v>1003</v>
      </c>
      <c r="N317" s="3" t="str" cm="1">
        <f t="array" ref="N317">IF(ISNA(INDEX(O317:AP317,MATCH(FALSE,ISBLANK(O317:AP317),0))),"",INDEX(O317:AP317,MATCH(FALSE,ISBLANK(O317:AP317),0)))</f>
        <v/>
      </c>
      <c r="AQ317" s="19"/>
    </row>
    <row r="318" spans="1:43" ht="14.4">
      <c r="A318" s="1" t="s">
        <v>1000</v>
      </c>
      <c r="B318" s="1" t="s">
        <v>2037</v>
      </c>
      <c r="D318" s="3"/>
      <c r="E318" s="3" t="s">
        <v>1004</v>
      </c>
      <c r="N318" s="3" t="str" cm="1">
        <f t="array" ref="N318">IF(ISNA(INDEX(O318:AP318,MATCH(FALSE,ISBLANK(O318:AP318),0))),"",INDEX(O318:AP318,MATCH(FALSE,ISBLANK(O318:AP318),0)))</f>
        <v/>
      </c>
      <c r="AQ318" s="19"/>
    </row>
    <row r="319" spans="1:43" ht="14.4">
      <c r="A319" s="4" t="s">
        <v>619</v>
      </c>
      <c r="B319" s="1" t="s">
        <v>1005</v>
      </c>
      <c r="D319" s="3"/>
      <c r="E319" s="3" t="s">
        <v>1006</v>
      </c>
      <c r="K319" s="1" t="s">
        <v>1007</v>
      </c>
      <c r="N319" s="3" t="str" cm="1">
        <f t="array" ref="N319">IF(ISNA(INDEX(O319:AP319,MATCH(FALSE,ISBLANK(O319:AP319),0))),"",INDEX(O319:AP319,MATCH(FALSE,ISBLANK(O319:AP319),0)))</f>
        <v>conservation status</v>
      </c>
      <c r="AC319" s="3" t="s">
        <v>1008</v>
      </c>
      <c r="AQ319" s="19"/>
    </row>
    <row r="320" spans="1:43" ht="14.4">
      <c r="A320" s="4" t="s">
        <v>619</v>
      </c>
      <c r="B320" s="1" t="s">
        <v>1005</v>
      </c>
      <c r="D320" s="3"/>
      <c r="E320" s="3"/>
      <c r="K320" s="1" t="s">
        <v>1009</v>
      </c>
      <c r="N320" s="3" t="str" cm="1">
        <f t="array" ref="N320">IF(ISNA(INDEX(O320:AP320,MATCH(FALSE,ISBLANK(O320:AP320),0))),"",INDEX(O320:AP320,MATCH(FALSE,ISBLANK(O320:AP320),0)))</f>
        <v/>
      </c>
      <c r="AQ320" s="19"/>
    </row>
    <row r="321" spans="1:43" ht="14.4">
      <c r="A321" s="4" t="s">
        <v>619</v>
      </c>
      <c r="B321" s="1" t="s">
        <v>1010</v>
      </c>
      <c r="D321" s="3"/>
      <c r="E321" s="3"/>
      <c r="N321" s="3" t="str" cm="1">
        <f t="array" ref="N321">IF(ISNA(INDEX(O321:AP321,MATCH(FALSE,ISBLANK(O321:AP321),0))),"",INDEX(O321:AP321,MATCH(FALSE,ISBLANK(O321:AP321),0)))</f>
        <v/>
      </c>
      <c r="AQ321" s="19"/>
    </row>
    <row r="322" spans="1:43" ht="14.4">
      <c r="A322" s="4" t="s">
        <v>619</v>
      </c>
      <c r="B322" s="1" t="s">
        <v>1010</v>
      </c>
      <c r="D322" s="3"/>
      <c r="E322" s="3" t="s">
        <v>1011</v>
      </c>
      <c r="K322" s="1" t="s">
        <v>1012</v>
      </c>
      <c r="N322" s="3" t="str" cm="1">
        <f t="array" ref="N322">IF(ISNA(INDEX(O322:AP322,MATCH(FALSE,ISBLANK(O322:AP322),0))),"",INDEX(O322:AP322,MATCH(FALSE,ISBLANK(O322:AP322),0)))</f>
        <v/>
      </c>
      <c r="AQ322" s="19"/>
    </row>
    <row r="323" spans="1:43" ht="14.4">
      <c r="A323" s="4" t="s">
        <v>619</v>
      </c>
      <c r="B323" s="1" t="s">
        <v>1010</v>
      </c>
      <c r="D323" s="3"/>
      <c r="E323" s="3" t="s">
        <v>1013</v>
      </c>
      <c r="K323" s="1" t="s">
        <v>1014</v>
      </c>
      <c r="N323" s="3" t="str" cm="1">
        <f t="array" ref="N323">IF(ISNA(INDEX(O323:AP323,MATCH(FALSE,ISBLANK(O323:AP323),0))),"",INDEX(O323:AP323,MATCH(FALSE,ISBLANK(O323:AP323),0)))</f>
        <v/>
      </c>
      <c r="AQ323" s="19"/>
    </row>
    <row r="324" spans="1:43" ht="14.4">
      <c r="A324" s="4" t="s">
        <v>619</v>
      </c>
      <c r="B324" s="1" t="s">
        <v>1010</v>
      </c>
      <c r="D324" s="3"/>
      <c r="E324" s="3" t="s">
        <v>1015</v>
      </c>
      <c r="K324" s="1" t="s">
        <v>1016</v>
      </c>
      <c r="N324" s="3" t="str" cm="1">
        <f t="array" ref="N324">IF(ISNA(INDEX(O324:AP324,MATCH(FALSE,ISBLANK(O324:AP324),0))),"",INDEX(O324:AP324,MATCH(FALSE,ISBLANK(O324:AP324),0)))</f>
        <v/>
      </c>
      <c r="AQ324" s="19"/>
    </row>
    <row r="325" spans="1:43" ht="14.4">
      <c r="A325" s="4" t="s">
        <v>619</v>
      </c>
      <c r="B325" s="1" t="s">
        <v>1010</v>
      </c>
      <c r="D325" s="3"/>
      <c r="E325" s="3"/>
      <c r="K325" s="1" t="s">
        <v>1017</v>
      </c>
      <c r="N325" s="3" t="str" cm="1">
        <f t="array" ref="N325">IF(ISNA(INDEX(O325:AP325,MATCH(FALSE,ISBLANK(O325:AP325),0))),"",INDEX(O325:AP325,MATCH(FALSE,ISBLANK(O325:AP325),0)))</f>
        <v/>
      </c>
      <c r="AQ325" s="19"/>
    </row>
    <row r="326" spans="1:43" ht="14.4">
      <c r="A326" s="4" t="s">
        <v>619</v>
      </c>
      <c r="B326" s="1" t="s">
        <v>1010</v>
      </c>
      <c r="D326" s="3"/>
      <c r="E326" s="3" t="s">
        <v>1018</v>
      </c>
      <c r="N326" s="3" t="str" cm="1">
        <f t="array" ref="N326">IF(ISNA(INDEX(O326:AP326,MATCH(FALSE,ISBLANK(O326:AP326),0))),"",INDEX(O326:AP326,MATCH(FALSE,ISBLANK(O326:AP326),0)))</f>
        <v/>
      </c>
      <c r="AQ326" s="19"/>
    </row>
    <row r="327" spans="1:43" ht="14.4">
      <c r="A327" s="4" t="s">
        <v>619</v>
      </c>
      <c r="B327" s="1" t="s">
        <v>1010</v>
      </c>
      <c r="D327" s="3"/>
      <c r="E327" s="3"/>
      <c r="K327" s="1" t="s">
        <v>1019</v>
      </c>
      <c r="N327" s="3" t="str" cm="1">
        <f t="array" ref="N327">IF(ISNA(INDEX(O327:AP327,MATCH(FALSE,ISBLANK(O327:AP327),0))),"",INDEX(O327:AP327,MATCH(FALSE,ISBLANK(O327:AP327),0)))</f>
        <v/>
      </c>
      <c r="AQ327" s="19"/>
    </row>
    <row r="328" spans="1:43" ht="14.4">
      <c r="A328" s="4" t="s">
        <v>619</v>
      </c>
      <c r="B328" s="1" t="s">
        <v>1010</v>
      </c>
      <c r="D328" s="3"/>
      <c r="E328" s="3"/>
      <c r="K328" s="1" t="s">
        <v>1020</v>
      </c>
      <c r="N328" s="3" t="str" cm="1">
        <f t="array" ref="N328">IF(ISNA(INDEX(O328:AP328,MATCH(FALSE,ISBLANK(O328:AP328),0))),"",INDEX(O328:AP328,MATCH(FALSE,ISBLANK(O328:AP328),0)))</f>
        <v/>
      </c>
      <c r="AQ328" s="19"/>
    </row>
    <row r="329" spans="1:43" ht="14.4">
      <c r="A329" s="4" t="s">
        <v>619</v>
      </c>
      <c r="B329" s="1" t="s">
        <v>1010</v>
      </c>
      <c r="D329" s="3"/>
      <c r="E329" s="3" t="s">
        <v>1021</v>
      </c>
      <c r="N329" s="3" t="str" cm="1">
        <f t="array" ref="N329">IF(ISNA(INDEX(O329:AP329,MATCH(FALSE,ISBLANK(O329:AP329),0))),"",INDEX(O329:AP329,MATCH(FALSE,ISBLANK(O329:AP329),0)))</f>
        <v/>
      </c>
      <c r="AQ329" s="19"/>
    </row>
    <row r="330" spans="1:43" ht="14.4">
      <c r="A330" s="4" t="s">
        <v>619</v>
      </c>
      <c r="B330" s="1" t="s">
        <v>1010</v>
      </c>
      <c r="D330" s="3"/>
      <c r="E330" s="3" t="s">
        <v>1022</v>
      </c>
      <c r="N330" s="3" t="str" cm="1">
        <f t="array" ref="N330">IF(ISNA(INDEX(O330:AP330,MATCH(FALSE,ISBLANK(O330:AP330),0))),"",INDEX(O330:AP330,MATCH(FALSE,ISBLANK(O330:AP330),0)))</f>
        <v/>
      </c>
      <c r="AQ330" s="19"/>
    </row>
    <row r="331" spans="1:43" ht="14.4">
      <c r="A331" s="4" t="s">
        <v>619</v>
      </c>
      <c r="B331" s="1" t="s">
        <v>1010</v>
      </c>
      <c r="D331" s="3"/>
      <c r="E331" s="3"/>
      <c r="K331" s="1" t="s">
        <v>1023</v>
      </c>
      <c r="N331" s="3" t="str" cm="1">
        <f t="array" ref="N331">IF(ISNA(INDEX(O331:AP331,MATCH(FALSE,ISBLANK(O331:AP331),0))),"",INDEX(O331:AP331,MATCH(FALSE,ISBLANK(O331:AP331),0)))</f>
        <v/>
      </c>
      <c r="AQ331" s="19"/>
    </row>
    <row r="332" spans="1:43" ht="14.4">
      <c r="A332" s="4" t="s">
        <v>619</v>
      </c>
      <c r="B332" s="1" t="s">
        <v>1010</v>
      </c>
      <c r="D332" s="3"/>
      <c r="E332" s="3"/>
      <c r="K332" s="1" t="s">
        <v>1024</v>
      </c>
      <c r="N332" s="3" t="str" cm="1">
        <f t="array" ref="N332">IF(ISNA(INDEX(O332:AP332,MATCH(FALSE,ISBLANK(O332:AP332),0))),"",INDEX(O332:AP332,MATCH(FALSE,ISBLANK(O332:AP332),0)))</f>
        <v/>
      </c>
      <c r="AQ332" s="19"/>
    </row>
    <row r="333" spans="1:43" ht="14.4">
      <c r="A333" s="4" t="s">
        <v>619</v>
      </c>
      <c r="B333" s="1" t="s">
        <v>1010</v>
      </c>
      <c r="D333" s="3"/>
      <c r="E333" s="3" t="s">
        <v>1025</v>
      </c>
      <c r="K333" s="1" t="s">
        <v>1026</v>
      </c>
      <c r="N333" s="3" t="str" cm="1">
        <f t="array" ref="N333">IF(ISNA(INDEX(O333:AP333,MATCH(FALSE,ISBLANK(O333:AP333),0))),"",INDEX(O333:AP333,MATCH(FALSE,ISBLANK(O333:AP333),0)))</f>
        <v/>
      </c>
      <c r="AQ333" s="19"/>
    </row>
    <row r="334" spans="1:43" ht="14.4">
      <c r="A334" s="4" t="s">
        <v>619</v>
      </c>
      <c r="B334" s="1" t="s">
        <v>1010</v>
      </c>
      <c r="D334" s="3"/>
      <c r="E334" s="3" t="s">
        <v>1027</v>
      </c>
      <c r="K334" s="1" t="s">
        <v>1028</v>
      </c>
      <c r="N334" s="3" t="str" cm="1">
        <f t="array" ref="N334">IF(ISNA(INDEX(O334:AP334,MATCH(FALSE,ISBLANK(O334:AP334),0))),"",INDEX(O334:AP334,MATCH(FALSE,ISBLANK(O334:AP334),0)))</f>
        <v/>
      </c>
      <c r="AQ334" s="19"/>
    </row>
    <row r="335" spans="1:43" ht="14.4">
      <c r="A335" s="4" t="s">
        <v>619</v>
      </c>
      <c r="B335" s="1" t="s">
        <v>1010</v>
      </c>
      <c r="D335" s="3"/>
      <c r="E335" s="3"/>
      <c r="K335" s="1" t="s">
        <v>1029</v>
      </c>
      <c r="N335" s="3" t="str" cm="1">
        <f t="array" ref="N335">IF(ISNA(INDEX(O335:AP335,MATCH(FALSE,ISBLANK(O335:AP335),0))),"",INDEX(O335:AP335,MATCH(FALSE,ISBLANK(O335:AP335),0)))</f>
        <v/>
      </c>
      <c r="AQ335" s="19"/>
    </row>
    <row r="336" spans="1:43" ht="14.4">
      <c r="A336" s="4" t="s">
        <v>619</v>
      </c>
      <c r="B336" s="1" t="s">
        <v>1010</v>
      </c>
      <c r="D336" s="3"/>
      <c r="E336" s="3"/>
      <c r="K336" s="1" t="s">
        <v>1030</v>
      </c>
      <c r="N336" s="3" t="str" cm="1">
        <f t="array" ref="N336">IF(ISNA(INDEX(O336:AP336,MATCH(FALSE,ISBLANK(O336:AP336),0))),"",INDEX(O336:AP336,MATCH(FALSE,ISBLANK(O336:AP336),0)))</f>
        <v/>
      </c>
      <c r="AQ336" s="19"/>
    </row>
    <row r="337" spans="1:43" ht="14.4">
      <c r="A337" s="4" t="s">
        <v>619</v>
      </c>
      <c r="B337" s="1" t="s">
        <v>1010</v>
      </c>
      <c r="D337" s="3"/>
      <c r="E337" s="3"/>
      <c r="K337" s="1" t="s">
        <v>1031</v>
      </c>
      <c r="N337" s="3" t="str" cm="1">
        <f t="array" ref="N337">IF(ISNA(INDEX(O337:AP337,MATCH(FALSE,ISBLANK(O337:AP337),0))),"",INDEX(O337:AP337,MATCH(FALSE,ISBLANK(O337:AP337),0)))</f>
        <v/>
      </c>
      <c r="AQ337" s="19"/>
    </row>
    <row r="338" spans="1:43" ht="14.4">
      <c r="A338" s="4" t="s">
        <v>619</v>
      </c>
      <c r="B338" s="1" t="s">
        <v>1010</v>
      </c>
      <c r="D338" s="3"/>
      <c r="E338" s="3"/>
      <c r="K338" s="1" t="s">
        <v>1032</v>
      </c>
      <c r="N338" s="3" t="str" cm="1">
        <f t="array" ref="N338">IF(ISNA(INDEX(O338:AP338,MATCH(FALSE,ISBLANK(O338:AP338),0))),"",INDEX(O338:AP338,MATCH(FALSE,ISBLANK(O338:AP338),0)))</f>
        <v/>
      </c>
      <c r="AQ338" s="19"/>
    </row>
    <row r="339" spans="1:43" ht="14.4">
      <c r="A339" s="4" t="s">
        <v>619</v>
      </c>
      <c r="B339" s="1" t="s">
        <v>1010</v>
      </c>
      <c r="D339" s="3"/>
      <c r="E339" s="3"/>
      <c r="K339" s="1" t="s">
        <v>1033</v>
      </c>
      <c r="N339" s="3" t="str" cm="1">
        <f t="array" ref="N339">IF(ISNA(INDEX(O339:AP339,MATCH(FALSE,ISBLANK(O339:AP339),0))),"",INDEX(O339:AP339,MATCH(FALSE,ISBLANK(O339:AP339),0)))</f>
        <v/>
      </c>
      <c r="AQ339" s="19"/>
    </row>
    <row r="340" spans="1:43" ht="14.4">
      <c r="A340" s="4" t="s">
        <v>619</v>
      </c>
      <c r="B340" s="1" t="s">
        <v>1010</v>
      </c>
      <c r="D340" s="3"/>
      <c r="E340" s="3"/>
      <c r="K340" s="1" t="s">
        <v>1034</v>
      </c>
      <c r="N340" s="3" t="str" cm="1">
        <f t="array" ref="N340">IF(ISNA(INDEX(O340:AP340,MATCH(FALSE,ISBLANK(O340:AP340),0))),"",INDEX(O340:AP340,MATCH(FALSE,ISBLANK(O340:AP340),0)))</f>
        <v/>
      </c>
      <c r="AQ340" s="19"/>
    </row>
    <row r="341" spans="1:43" ht="14.4">
      <c r="A341" s="4" t="s">
        <v>619</v>
      </c>
      <c r="B341" s="1" t="s">
        <v>1010</v>
      </c>
      <c r="D341" s="3"/>
      <c r="E341" s="3"/>
      <c r="K341" s="1" t="s">
        <v>1035</v>
      </c>
      <c r="N341" s="3" t="str" cm="1">
        <f t="array" ref="N341">IF(ISNA(INDEX(O341:AP341,MATCH(FALSE,ISBLANK(O341:AP341),0))),"",INDEX(O341:AP341,MATCH(FALSE,ISBLANK(O341:AP341),0)))</f>
        <v/>
      </c>
      <c r="AQ341" s="19"/>
    </row>
    <row r="342" spans="1:43" ht="14.4">
      <c r="A342" s="4" t="s">
        <v>619</v>
      </c>
      <c r="B342" s="1" t="s">
        <v>1010</v>
      </c>
      <c r="D342" s="3"/>
      <c r="E342" s="3"/>
      <c r="K342" s="1" t="s">
        <v>1036</v>
      </c>
      <c r="N342" s="3" t="str" cm="1">
        <f t="array" ref="N342">IF(ISNA(INDEX(O342:AP342,MATCH(FALSE,ISBLANK(O342:AP342),0))),"",INDEX(O342:AP342,MATCH(FALSE,ISBLANK(O342:AP342),0)))</f>
        <v/>
      </c>
      <c r="AQ342" s="19"/>
    </row>
    <row r="343" spans="1:43" ht="14.4">
      <c r="A343" s="4" t="s">
        <v>619</v>
      </c>
      <c r="B343" s="1" t="s">
        <v>1010</v>
      </c>
      <c r="D343" s="3"/>
      <c r="E343" s="3"/>
      <c r="K343" s="1" t="s">
        <v>1037</v>
      </c>
      <c r="N343" s="3" t="str" cm="1">
        <f t="array" ref="N343">IF(ISNA(INDEX(O343:AP343,MATCH(FALSE,ISBLANK(O343:AP343),0))),"",INDEX(O343:AP343,MATCH(FALSE,ISBLANK(O343:AP343),0)))</f>
        <v/>
      </c>
      <c r="AQ343" s="19"/>
    </row>
    <row r="344" spans="1:43" ht="14.4">
      <c r="A344" s="4" t="s">
        <v>619</v>
      </c>
      <c r="B344" s="1" t="s">
        <v>1010</v>
      </c>
      <c r="D344" s="3"/>
      <c r="E344" s="3"/>
      <c r="K344" s="1" t="s">
        <v>1038</v>
      </c>
      <c r="N344" s="3" t="str" cm="1">
        <f t="array" ref="N344">IF(ISNA(INDEX(O344:AP344,MATCH(FALSE,ISBLANK(O344:AP344),0))),"",INDEX(O344:AP344,MATCH(FALSE,ISBLANK(O344:AP344),0)))</f>
        <v/>
      </c>
      <c r="AQ344" s="19"/>
    </row>
    <row r="345" spans="1:43" ht="14.4">
      <c r="A345" s="1" t="s">
        <v>1000</v>
      </c>
      <c r="B345" s="1" t="s">
        <v>1039</v>
      </c>
      <c r="D345" s="3"/>
      <c r="E345" s="3"/>
      <c r="F345" s="4" t="s">
        <v>1040</v>
      </c>
      <c r="G345" s="5"/>
      <c r="K345" s="1" t="s">
        <v>1041</v>
      </c>
      <c r="N345" s="3" t="str" cm="1">
        <f t="array" ref="N345">IF(ISNA(INDEX(O345:AP345,MATCH(FALSE,ISBLANK(O345:AP345),0))),"",INDEX(O345:AP345,MATCH(FALSE,ISBLANK(O345:AP345),0)))</f>
        <v/>
      </c>
      <c r="AQ345" s="19"/>
    </row>
    <row r="346" spans="1:43" ht="14.4">
      <c r="A346" s="1" t="s">
        <v>1000</v>
      </c>
      <c r="B346" s="1" t="s">
        <v>1039</v>
      </c>
      <c r="D346" s="3"/>
      <c r="E346" s="3"/>
      <c r="F346" s="4" t="s">
        <v>1042</v>
      </c>
      <c r="G346" s="5"/>
      <c r="N346" s="3" t="str" cm="1">
        <f t="array" ref="N346">IF(ISNA(INDEX(O346:AP346,MATCH(FALSE,ISBLANK(O346:AP346),0))),"",INDEX(O346:AP346,MATCH(FALSE,ISBLANK(O346:AP346),0)))</f>
        <v/>
      </c>
      <c r="AQ346" s="19"/>
    </row>
    <row r="347" spans="1:43" ht="14.4">
      <c r="A347" s="1" t="s">
        <v>1000</v>
      </c>
      <c r="B347" s="1" t="s">
        <v>1039</v>
      </c>
      <c r="D347" s="3"/>
      <c r="F347" s="4" t="s">
        <v>1043</v>
      </c>
      <c r="G347" s="5"/>
      <c r="N347" s="3" t="str" cm="1">
        <f t="array" ref="N347">IF(ISNA(INDEX(O347:AP347,MATCH(FALSE,ISBLANK(O347:AP347),0))),"",INDEX(O347:AP347,MATCH(FALSE,ISBLANK(O347:AP347),0)))</f>
        <v/>
      </c>
      <c r="AQ347" s="19"/>
    </row>
    <row r="348" spans="1:43" ht="14.4">
      <c r="D348" s="3"/>
      <c r="E348" s="3"/>
      <c r="G348" s="5"/>
    </row>
    <row r="349" spans="1:43" ht="14.4">
      <c r="D349" s="3"/>
      <c r="G349" s="5"/>
    </row>
    <row r="350" spans="1:43" ht="14.4">
      <c r="D350" s="3"/>
      <c r="G350" s="5"/>
    </row>
    <row r="351" spans="1:43" ht="14.4">
      <c r="D351" s="3"/>
      <c r="G351" s="5"/>
    </row>
    <row r="352" spans="1:43" ht="14.4">
      <c r="D352" s="3"/>
      <c r="G352" s="5"/>
    </row>
    <row r="353" spans="4:7" ht="14.4">
      <c r="D353" s="3"/>
      <c r="G353" s="5"/>
    </row>
    <row r="354" spans="4:7" ht="14.4">
      <c r="D354" s="3"/>
      <c r="G354" s="5"/>
    </row>
    <row r="355" spans="4:7" ht="14.4">
      <c r="D355" s="3"/>
      <c r="G355" s="5"/>
    </row>
    <row r="356" spans="4:7" ht="14.4">
      <c r="D356" s="3"/>
      <c r="G356" s="5"/>
    </row>
    <row r="357" spans="4:7" ht="14.4">
      <c r="D357" s="3"/>
      <c r="G357" s="5"/>
    </row>
    <row r="358" spans="4:7" ht="14.4">
      <c r="D358" s="3"/>
      <c r="G358" s="5"/>
    </row>
    <row r="359" spans="4:7" ht="14.4">
      <c r="D359" s="3"/>
      <c r="G359" s="5"/>
    </row>
    <row r="360" spans="4:7" ht="14.4">
      <c r="D360" s="3"/>
      <c r="G360" s="5"/>
    </row>
    <row r="361" spans="4:7" ht="14.4">
      <c r="D361" s="3"/>
      <c r="G361" s="5"/>
    </row>
    <row r="362" spans="4:7" ht="14.4">
      <c r="D362" s="3"/>
      <c r="G362" s="5"/>
    </row>
    <row r="363" spans="4:7" ht="14.4">
      <c r="D363" s="3"/>
      <c r="G363" s="5"/>
    </row>
    <row r="364" spans="4:7" ht="14.4">
      <c r="D364" s="3"/>
      <c r="G364" s="5"/>
    </row>
    <row r="365" spans="4:7" ht="14.4">
      <c r="D365" s="3"/>
      <c r="G365" s="5"/>
    </row>
    <row r="366" spans="4:7" ht="14.4">
      <c r="D366" s="3"/>
      <c r="G366" s="5"/>
    </row>
    <row r="367" spans="4:7" ht="14.4">
      <c r="D367" s="3"/>
      <c r="G367" s="5"/>
    </row>
    <row r="368" spans="4:7" ht="14.4">
      <c r="D368" s="3"/>
      <c r="G368" s="5"/>
    </row>
    <row r="369" spans="4:7" ht="14.4">
      <c r="D369" s="3"/>
      <c r="G369" s="5"/>
    </row>
    <row r="370" spans="4:7" ht="14.4">
      <c r="D370" s="3"/>
      <c r="G370" s="5"/>
    </row>
    <row r="371" spans="4:7" ht="14.4">
      <c r="D371" s="3"/>
      <c r="G371" s="5"/>
    </row>
    <row r="372" spans="4:7" ht="14.4">
      <c r="D372" s="3"/>
      <c r="G372" s="5"/>
    </row>
    <row r="373" spans="4:7" ht="14.4">
      <c r="D373" s="3"/>
      <c r="G373" s="5"/>
    </row>
    <row r="374" spans="4:7" ht="14.4">
      <c r="D374" s="3"/>
      <c r="G374" s="5"/>
    </row>
    <row r="375" spans="4:7" ht="14.4">
      <c r="D375" s="3"/>
      <c r="G375" s="5"/>
    </row>
    <row r="376" spans="4:7" ht="14.4">
      <c r="D376" s="3"/>
      <c r="G376" s="5"/>
    </row>
    <row r="377" spans="4:7" ht="14.4">
      <c r="D377" s="3"/>
      <c r="G377" s="5"/>
    </row>
    <row r="378" spans="4:7" ht="14.4">
      <c r="D378" s="3"/>
      <c r="G378" s="5"/>
    </row>
    <row r="379" spans="4:7" ht="14.4">
      <c r="D379" s="3"/>
      <c r="G379" s="5"/>
    </row>
    <row r="380" spans="4:7" ht="14.4">
      <c r="D380" s="3"/>
      <c r="G380" s="5"/>
    </row>
    <row r="381" spans="4:7" ht="13.2">
      <c r="G381" s="5"/>
    </row>
    <row r="382" spans="4:7" ht="13.2">
      <c r="G382" s="5"/>
    </row>
    <row r="383" spans="4:7" ht="13.2">
      <c r="G383" s="5"/>
    </row>
    <row r="384" spans="4:7" ht="13.2">
      <c r="G384" s="5"/>
    </row>
    <row r="385" spans="7:7" ht="13.2">
      <c r="G385" s="5"/>
    </row>
    <row r="386" spans="7:7" ht="13.2">
      <c r="G386" s="5"/>
    </row>
    <row r="387" spans="7:7" ht="13.2">
      <c r="G387" s="5"/>
    </row>
    <row r="388" spans="7:7" ht="13.2">
      <c r="G388" s="5"/>
    </row>
    <row r="389" spans="7:7" ht="13.2">
      <c r="G389" s="5"/>
    </row>
    <row r="390" spans="7:7" ht="13.2">
      <c r="G390" s="5"/>
    </row>
    <row r="391" spans="7:7" ht="13.2">
      <c r="G391" s="5"/>
    </row>
    <row r="392" spans="7:7" ht="13.2">
      <c r="G392" s="5"/>
    </row>
    <row r="393" spans="7:7" ht="13.2">
      <c r="G393" s="5"/>
    </row>
    <row r="394" spans="7:7" ht="13.2">
      <c r="G394" s="5"/>
    </row>
    <row r="395" spans="7:7" ht="13.2">
      <c r="G395" s="5"/>
    </row>
    <row r="396" spans="7:7" ht="13.2">
      <c r="G396" s="5"/>
    </row>
    <row r="397" spans="7:7" ht="13.2">
      <c r="G397" s="5"/>
    </row>
    <row r="398" spans="7:7" ht="13.2">
      <c r="G398" s="5"/>
    </row>
    <row r="399" spans="7:7" ht="13.2">
      <c r="G399" s="5"/>
    </row>
    <row r="400" spans="7:7" ht="13.2">
      <c r="G400" s="5"/>
    </row>
    <row r="401" spans="7:7" ht="13.2">
      <c r="G401" s="5"/>
    </row>
    <row r="402" spans="7:7" ht="13.2">
      <c r="G402" s="5"/>
    </row>
    <row r="403" spans="7:7" ht="13.2">
      <c r="G403" s="5"/>
    </row>
    <row r="404" spans="7:7" ht="13.2">
      <c r="G404" s="5"/>
    </row>
    <row r="405" spans="7:7" ht="13.2">
      <c r="G405" s="5"/>
    </row>
    <row r="406" spans="7:7" ht="13.2">
      <c r="G406" s="5"/>
    </row>
    <row r="407" spans="7:7" ht="13.2">
      <c r="G407" s="5"/>
    </row>
    <row r="408" spans="7:7" ht="13.2">
      <c r="G408" s="5"/>
    </row>
    <row r="409" spans="7:7" ht="13.2">
      <c r="G409" s="5"/>
    </row>
    <row r="410" spans="7:7" ht="13.2">
      <c r="G410" s="5"/>
    </row>
    <row r="411" spans="7:7" ht="13.2">
      <c r="G411" s="5"/>
    </row>
    <row r="412" spans="7:7" ht="13.2">
      <c r="G412" s="5"/>
    </row>
    <row r="413" spans="7:7" ht="13.2">
      <c r="G413" s="5"/>
    </row>
    <row r="414" spans="7:7" ht="13.2">
      <c r="G414" s="5"/>
    </row>
    <row r="415" spans="7:7" ht="13.2">
      <c r="G415" s="5"/>
    </row>
    <row r="416" spans="7:7" ht="13.2">
      <c r="G416" s="5"/>
    </row>
    <row r="417" spans="7:7" ht="13.2">
      <c r="G417" s="5"/>
    </row>
    <row r="418" spans="7:7" ht="13.2">
      <c r="G418" s="5"/>
    </row>
    <row r="419" spans="7:7" ht="13.2">
      <c r="G419" s="5"/>
    </row>
    <row r="420" spans="7:7" ht="13.2">
      <c r="G420" s="5"/>
    </row>
    <row r="421" spans="7:7" ht="13.2">
      <c r="G421" s="5"/>
    </row>
    <row r="422" spans="7:7" ht="13.2">
      <c r="G422" s="5"/>
    </row>
    <row r="423" spans="7:7" ht="13.2">
      <c r="G423" s="5"/>
    </row>
    <row r="424" spans="7:7" ht="13.2">
      <c r="G424" s="5"/>
    </row>
    <row r="425" spans="7:7" ht="13.2">
      <c r="G425" s="5"/>
    </row>
    <row r="426" spans="7:7" ht="13.2">
      <c r="G426" s="5"/>
    </row>
    <row r="427" spans="7:7" ht="13.2">
      <c r="G427" s="5"/>
    </row>
    <row r="428" spans="7:7" ht="13.2">
      <c r="G428" s="5"/>
    </row>
    <row r="429" spans="7:7" ht="13.2">
      <c r="G429" s="5"/>
    </row>
    <row r="430" spans="7:7" ht="13.2">
      <c r="G430" s="5"/>
    </row>
    <row r="431" spans="7:7" ht="13.2">
      <c r="G431" s="5"/>
    </row>
    <row r="432" spans="7:7" ht="13.2">
      <c r="G432" s="5"/>
    </row>
    <row r="433" spans="7:7" ht="13.2">
      <c r="G433" s="5"/>
    </row>
    <row r="434" spans="7:7" ht="13.2">
      <c r="G434" s="5"/>
    </row>
    <row r="435" spans="7:7" ht="13.2">
      <c r="G435" s="5"/>
    </row>
    <row r="436" spans="7:7" ht="13.2">
      <c r="G436" s="5"/>
    </row>
    <row r="437" spans="7:7" ht="13.2">
      <c r="G437" s="5"/>
    </row>
    <row r="438" spans="7:7" ht="13.2">
      <c r="G438" s="5"/>
    </row>
    <row r="439" spans="7:7" ht="13.2">
      <c r="G439" s="5"/>
    </row>
    <row r="440" spans="7:7" ht="13.2">
      <c r="G440" s="5"/>
    </row>
    <row r="441" spans="7:7" ht="13.2">
      <c r="G441" s="5"/>
    </row>
    <row r="442" spans="7:7" ht="13.2">
      <c r="G442" s="5"/>
    </row>
    <row r="443" spans="7:7" ht="13.2">
      <c r="G443" s="5"/>
    </row>
    <row r="444" spans="7:7" ht="13.2">
      <c r="G444" s="5"/>
    </row>
    <row r="445" spans="7:7" ht="13.2">
      <c r="G445" s="5"/>
    </row>
    <row r="446" spans="7:7" ht="13.2">
      <c r="G446" s="5"/>
    </row>
    <row r="447" spans="7:7" ht="13.2">
      <c r="G447" s="5"/>
    </row>
    <row r="448" spans="7:7" ht="13.2">
      <c r="G448" s="5"/>
    </row>
    <row r="449" spans="7:7" ht="13.2">
      <c r="G449" s="5"/>
    </row>
    <row r="450" spans="7:7" ht="13.2">
      <c r="G450" s="5"/>
    </row>
    <row r="451" spans="7:7" ht="13.2">
      <c r="G451" s="5"/>
    </row>
    <row r="452" spans="7:7" ht="13.2">
      <c r="G452" s="5"/>
    </row>
    <row r="453" spans="7:7" ht="13.2">
      <c r="G453" s="5"/>
    </row>
    <row r="454" spans="7:7" ht="13.2">
      <c r="G454" s="5"/>
    </row>
    <row r="455" spans="7:7" ht="13.2">
      <c r="G455" s="5"/>
    </row>
    <row r="456" spans="7:7" ht="13.2">
      <c r="G456" s="5"/>
    </row>
    <row r="457" spans="7:7" ht="13.2">
      <c r="G457" s="5"/>
    </row>
    <row r="458" spans="7:7" ht="13.2">
      <c r="G458" s="5"/>
    </row>
    <row r="459" spans="7:7" ht="13.2">
      <c r="G459" s="5"/>
    </row>
    <row r="460" spans="7:7" ht="13.2">
      <c r="G460" s="5"/>
    </row>
    <row r="461" spans="7:7" ht="13.2">
      <c r="G461" s="5"/>
    </row>
    <row r="462" spans="7:7" ht="13.2">
      <c r="G462" s="5"/>
    </row>
    <row r="463" spans="7:7" ht="13.2">
      <c r="G463" s="5"/>
    </row>
    <row r="464" spans="7:7" ht="13.2">
      <c r="G464" s="5"/>
    </row>
    <row r="465" spans="7:7" ht="13.2">
      <c r="G465" s="5"/>
    </row>
    <row r="466" spans="7:7" ht="13.2">
      <c r="G466" s="5"/>
    </row>
    <row r="467" spans="7:7" ht="13.2">
      <c r="G467" s="5"/>
    </row>
    <row r="468" spans="7:7" ht="13.2">
      <c r="G468" s="5"/>
    </row>
    <row r="469" spans="7:7" ht="13.2">
      <c r="G469" s="5"/>
    </row>
    <row r="470" spans="7:7" ht="13.2">
      <c r="G470" s="5"/>
    </row>
    <row r="471" spans="7:7" ht="13.2">
      <c r="G471" s="5"/>
    </row>
    <row r="472" spans="7:7" ht="13.2">
      <c r="G472" s="5"/>
    </row>
    <row r="473" spans="7:7" ht="13.2">
      <c r="G473" s="5"/>
    </row>
    <row r="474" spans="7:7" ht="13.2">
      <c r="G474" s="5"/>
    </row>
    <row r="475" spans="7:7" ht="13.2">
      <c r="G475" s="5"/>
    </row>
    <row r="476" spans="7:7" ht="13.2">
      <c r="G476" s="5"/>
    </row>
    <row r="477" spans="7:7" ht="13.2">
      <c r="G477" s="5"/>
    </row>
    <row r="478" spans="7:7" ht="13.2">
      <c r="G478" s="5"/>
    </row>
    <row r="479" spans="7:7" ht="13.2">
      <c r="G479" s="5"/>
    </row>
    <row r="480" spans="7:7" ht="13.2">
      <c r="G480" s="5"/>
    </row>
    <row r="481" spans="7:7" ht="13.2">
      <c r="G481" s="5"/>
    </row>
    <row r="482" spans="7:7" ht="13.2">
      <c r="G482" s="5"/>
    </row>
    <row r="483" spans="7:7" ht="13.2">
      <c r="G483" s="5"/>
    </row>
    <row r="484" spans="7:7" ht="13.2">
      <c r="G484" s="5"/>
    </row>
    <row r="485" spans="7:7" ht="13.2">
      <c r="G485" s="5"/>
    </row>
    <row r="486" spans="7:7" ht="13.2">
      <c r="G486" s="5"/>
    </row>
    <row r="487" spans="7:7" ht="13.2">
      <c r="G487" s="5"/>
    </row>
    <row r="488" spans="7:7" ht="13.2">
      <c r="G488" s="5"/>
    </row>
    <row r="489" spans="7:7" ht="13.2">
      <c r="G489" s="5"/>
    </row>
    <row r="490" spans="7:7" ht="13.2">
      <c r="G490" s="5"/>
    </row>
    <row r="491" spans="7:7" ht="13.2">
      <c r="G491" s="5"/>
    </row>
    <row r="492" spans="7:7" ht="13.2">
      <c r="G492" s="5"/>
    </row>
    <row r="493" spans="7:7" ht="13.2">
      <c r="G493" s="5"/>
    </row>
    <row r="494" spans="7:7" ht="13.2">
      <c r="G494" s="5"/>
    </row>
    <row r="495" spans="7:7" ht="13.2">
      <c r="G495" s="5"/>
    </row>
    <row r="496" spans="7:7" ht="13.2">
      <c r="G496" s="5"/>
    </row>
    <row r="497" spans="7:7" ht="13.2">
      <c r="G497" s="5"/>
    </row>
    <row r="498" spans="7:7" ht="13.2">
      <c r="G498" s="5"/>
    </row>
    <row r="499" spans="7:7" ht="13.2">
      <c r="G499" s="5"/>
    </row>
    <row r="500" spans="7:7" ht="13.2">
      <c r="G500" s="5"/>
    </row>
    <row r="501" spans="7:7" ht="13.2">
      <c r="G501" s="5"/>
    </row>
    <row r="502" spans="7:7" ht="13.2">
      <c r="G502" s="5"/>
    </row>
    <row r="503" spans="7:7" ht="13.2">
      <c r="G503" s="5"/>
    </row>
    <row r="504" spans="7:7" ht="13.2">
      <c r="G504" s="5"/>
    </row>
    <row r="505" spans="7:7" ht="13.2">
      <c r="G505" s="5"/>
    </row>
    <row r="506" spans="7:7" ht="13.2">
      <c r="G506" s="5"/>
    </row>
    <row r="507" spans="7:7" ht="13.2">
      <c r="G507" s="5"/>
    </row>
    <row r="508" spans="7:7" ht="13.2">
      <c r="G508" s="5"/>
    </row>
    <row r="509" spans="7:7" ht="13.2">
      <c r="G509" s="5"/>
    </row>
    <row r="510" spans="7:7" ht="13.2">
      <c r="G510" s="5"/>
    </row>
    <row r="511" spans="7:7" ht="13.2">
      <c r="G511" s="5"/>
    </row>
    <row r="512" spans="7:7" ht="13.2">
      <c r="G512" s="5"/>
    </row>
    <row r="513" spans="7:7" ht="13.2">
      <c r="G513" s="5"/>
    </row>
    <row r="514" spans="7:7" ht="13.2">
      <c r="G514" s="5"/>
    </row>
    <row r="515" spans="7:7" ht="13.2">
      <c r="G515" s="5"/>
    </row>
    <row r="516" spans="7:7" ht="13.2">
      <c r="G516" s="5"/>
    </row>
    <row r="517" spans="7:7" ht="13.2">
      <c r="G517" s="5"/>
    </row>
    <row r="518" spans="7:7" ht="13.2">
      <c r="G518" s="5"/>
    </row>
    <row r="519" spans="7:7" ht="13.2">
      <c r="G519" s="5"/>
    </row>
    <row r="520" spans="7:7" ht="13.2">
      <c r="G520" s="5"/>
    </row>
    <row r="521" spans="7:7" ht="13.2">
      <c r="G521" s="5"/>
    </row>
    <row r="522" spans="7:7" ht="13.2">
      <c r="G522" s="5"/>
    </row>
    <row r="523" spans="7:7" ht="13.2">
      <c r="G523" s="5"/>
    </row>
    <row r="524" spans="7:7" ht="13.2">
      <c r="G524" s="5"/>
    </row>
    <row r="525" spans="7:7" ht="13.2">
      <c r="G525" s="5"/>
    </row>
    <row r="526" spans="7:7" ht="13.2">
      <c r="G526" s="5"/>
    </row>
    <row r="527" spans="7:7" ht="13.2">
      <c r="G527" s="5"/>
    </row>
    <row r="528" spans="7:7" ht="13.2">
      <c r="G528" s="5"/>
    </row>
    <row r="529" spans="7:7" ht="13.2">
      <c r="G529" s="5"/>
    </row>
    <row r="530" spans="7:7" ht="13.2">
      <c r="G530" s="5"/>
    </row>
    <row r="531" spans="7:7" ht="13.2">
      <c r="G531" s="5"/>
    </row>
    <row r="532" spans="7:7" ht="13.2">
      <c r="G532" s="5"/>
    </row>
    <row r="533" spans="7:7" ht="13.2">
      <c r="G533" s="5"/>
    </row>
    <row r="534" spans="7:7" ht="13.2">
      <c r="G534" s="5"/>
    </row>
    <row r="535" spans="7:7" ht="13.2">
      <c r="G535" s="5"/>
    </row>
    <row r="536" spans="7:7" ht="13.2">
      <c r="G536" s="5"/>
    </row>
    <row r="537" spans="7:7" ht="13.2">
      <c r="G537" s="5"/>
    </row>
    <row r="538" spans="7:7" ht="13.2">
      <c r="G538" s="5"/>
    </row>
    <row r="539" spans="7:7" ht="13.2">
      <c r="G539" s="5"/>
    </row>
    <row r="540" spans="7:7" ht="13.2">
      <c r="G540" s="5"/>
    </row>
    <row r="541" spans="7:7" ht="13.2">
      <c r="G541" s="5"/>
    </row>
    <row r="542" spans="7:7" ht="13.2">
      <c r="G542" s="5"/>
    </row>
    <row r="543" spans="7:7" ht="13.2">
      <c r="G543" s="5"/>
    </row>
    <row r="544" spans="7:7" ht="13.2">
      <c r="G544" s="5"/>
    </row>
    <row r="545" spans="7:7" ht="13.2">
      <c r="G545" s="5"/>
    </row>
    <row r="546" spans="7:7" ht="13.2">
      <c r="G546" s="5"/>
    </row>
    <row r="547" spans="7:7" ht="13.2">
      <c r="G547" s="5"/>
    </row>
    <row r="548" spans="7:7" ht="13.2">
      <c r="G548" s="5"/>
    </row>
    <row r="549" spans="7:7" ht="13.2">
      <c r="G549" s="5"/>
    </row>
    <row r="550" spans="7:7" ht="13.2">
      <c r="G550" s="5"/>
    </row>
    <row r="551" spans="7:7" ht="13.2">
      <c r="G551" s="5"/>
    </row>
    <row r="552" spans="7:7" ht="13.2">
      <c r="G552" s="5"/>
    </row>
    <row r="553" spans="7:7" ht="13.2">
      <c r="G553" s="5"/>
    </row>
    <row r="554" spans="7:7" ht="13.2">
      <c r="G554" s="5"/>
    </row>
    <row r="555" spans="7:7" ht="13.2">
      <c r="G555" s="5"/>
    </row>
    <row r="556" spans="7:7" ht="13.2">
      <c r="G556" s="5"/>
    </row>
    <row r="557" spans="7:7" ht="13.2">
      <c r="G557" s="5"/>
    </row>
    <row r="558" spans="7:7" ht="13.2">
      <c r="G558" s="5"/>
    </row>
    <row r="559" spans="7:7" ht="13.2">
      <c r="G559" s="5"/>
    </row>
    <row r="560" spans="7:7" ht="13.2">
      <c r="G560" s="5"/>
    </row>
    <row r="561" spans="7:7" ht="13.2">
      <c r="G561" s="5"/>
    </row>
    <row r="562" spans="7:7" ht="13.2">
      <c r="G562" s="5"/>
    </row>
    <row r="563" spans="7:7" ht="13.2">
      <c r="G563" s="5"/>
    </row>
    <row r="564" spans="7:7" ht="13.2">
      <c r="G564" s="5"/>
    </row>
    <row r="565" spans="7:7" ht="13.2">
      <c r="G565" s="5"/>
    </row>
    <row r="566" spans="7:7" ht="13.2">
      <c r="G566" s="5"/>
    </row>
    <row r="567" spans="7:7" ht="13.2">
      <c r="G567" s="5"/>
    </row>
    <row r="568" spans="7:7" ht="13.2">
      <c r="G568" s="5"/>
    </row>
    <row r="569" spans="7:7" ht="13.2">
      <c r="G569" s="5"/>
    </row>
    <row r="570" spans="7:7" ht="13.2">
      <c r="G570" s="5"/>
    </row>
    <row r="571" spans="7:7" ht="13.2">
      <c r="G571" s="5"/>
    </row>
    <row r="572" spans="7:7" ht="13.2">
      <c r="G572" s="5"/>
    </row>
    <row r="573" spans="7:7" ht="13.2">
      <c r="G573" s="5"/>
    </row>
    <row r="574" spans="7:7" ht="13.2">
      <c r="G574" s="5"/>
    </row>
    <row r="575" spans="7:7" ht="13.2">
      <c r="G575" s="5"/>
    </row>
    <row r="576" spans="7:7" ht="13.2">
      <c r="G576" s="5"/>
    </row>
    <row r="577" spans="7:7" ht="13.2">
      <c r="G577" s="5"/>
    </row>
    <row r="578" spans="7:7" ht="13.2">
      <c r="G578" s="5"/>
    </row>
    <row r="579" spans="7:7" ht="13.2">
      <c r="G579" s="5"/>
    </row>
    <row r="580" spans="7:7" ht="13.2">
      <c r="G580" s="5"/>
    </row>
    <row r="581" spans="7:7" ht="13.2">
      <c r="G581" s="5"/>
    </row>
    <row r="582" spans="7:7" ht="13.2">
      <c r="G582" s="5"/>
    </row>
    <row r="583" spans="7:7" ht="13.2">
      <c r="G583" s="5"/>
    </row>
    <row r="584" spans="7:7" ht="13.2">
      <c r="G584" s="5"/>
    </row>
    <row r="585" spans="7:7" ht="13.2">
      <c r="G585" s="5"/>
    </row>
    <row r="586" spans="7:7" ht="13.2">
      <c r="G586" s="5"/>
    </row>
    <row r="587" spans="7:7" ht="13.2">
      <c r="G587" s="5"/>
    </row>
    <row r="588" spans="7:7" ht="13.2">
      <c r="G588" s="5"/>
    </row>
    <row r="589" spans="7:7" ht="13.2">
      <c r="G589" s="5"/>
    </row>
    <row r="590" spans="7:7" ht="13.2">
      <c r="G590" s="5"/>
    </row>
    <row r="591" spans="7:7" ht="13.2">
      <c r="G591" s="5"/>
    </row>
    <row r="592" spans="7:7" ht="13.2">
      <c r="G592" s="5"/>
    </row>
    <row r="593" spans="7:7" ht="13.2">
      <c r="G593" s="5"/>
    </row>
    <row r="594" spans="7:7" ht="13.2">
      <c r="G594" s="5"/>
    </row>
    <row r="595" spans="7:7" ht="13.2">
      <c r="G595" s="5"/>
    </row>
    <row r="596" spans="7:7" ht="13.2">
      <c r="G596" s="5"/>
    </row>
    <row r="597" spans="7:7" ht="13.2">
      <c r="G597" s="5"/>
    </row>
    <row r="598" spans="7:7" ht="13.2">
      <c r="G598" s="5"/>
    </row>
    <row r="599" spans="7:7" ht="13.2">
      <c r="G599" s="5"/>
    </row>
    <row r="600" spans="7:7" ht="13.2">
      <c r="G600" s="5"/>
    </row>
    <row r="601" spans="7:7" ht="13.2">
      <c r="G601" s="5"/>
    </row>
    <row r="602" spans="7:7" ht="13.2">
      <c r="G602" s="5"/>
    </row>
    <row r="603" spans="7:7" ht="13.2">
      <c r="G603" s="5"/>
    </row>
    <row r="604" spans="7:7" ht="13.2">
      <c r="G604" s="5"/>
    </row>
    <row r="605" spans="7:7" ht="13.2">
      <c r="G605" s="5"/>
    </row>
    <row r="606" spans="7:7" ht="13.2">
      <c r="G606" s="5"/>
    </row>
    <row r="607" spans="7:7" ht="13.2">
      <c r="G607" s="5"/>
    </row>
    <row r="608" spans="7:7" ht="13.2">
      <c r="G608" s="5"/>
    </row>
    <row r="609" spans="7:7" ht="13.2">
      <c r="G609" s="5"/>
    </row>
    <row r="610" spans="7:7" ht="13.2">
      <c r="G610" s="5"/>
    </row>
    <row r="611" spans="7:7" ht="13.2">
      <c r="G611" s="5"/>
    </row>
    <row r="612" spans="7:7" ht="13.2">
      <c r="G612" s="5"/>
    </row>
    <row r="613" spans="7:7" ht="13.2">
      <c r="G613" s="5"/>
    </row>
    <row r="614" spans="7:7" ht="13.2">
      <c r="G614" s="5"/>
    </row>
    <row r="615" spans="7:7" ht="13.2">
      <c r="G615" s="5"/>
    </row>
    <row r="616" spans="7:7" ht="13.2">
      <c r="G616" s="5"/>
    </row>
    <row r="617" spans="7:7" ht="13.2">
      <c r="G617" s="5"/>
    </row>
    <row r="618" spans="7:7" ht="13.2">
      <c r="G618" s="5"/>
    </row>
    <row r="619" spans="7:7" ht="13.2">
      <c r="G619" s="5"/>
    </row>
    <row r="620" spans="7:7" ht="13.2">
      <c r="G620" s="5"/>
    </row>
    <row r="621" spans="7:7" ht="13.2">
      <c r="G621" s="5"/>
    </row>
    <row r="622" spans="7:7" ht="13.2">
      <c r="G622" s="5"/>
    </row>
    <row r="623" spans="7:7" ht="13.2">
      <c r="G623" s="5"/>
    </row>
    <row r="624" spans="7:7" ht="13.2">
      <c r="G624" s="5"/>
    </row>
    <row r="625" spans="7:7" ht="13.2">
      <c r="G625" s="5"/>
    </row>
    <row r="626" spans="7:7" ht="13.2">
      <c r="G626" s="5"/>
    </row>
    <row r="627" spans="7:7" ht="13.2">
      <c r="G627" s="5"/>
    </row>
    <row r="628" spans="7:7" ht="13.2">
      <c r="G628" s="5"/>
    </row>
    <row r="629" spans="7:7" ht="13.2">
      <c r="G629" s="5"/>
    </row>
    <row r="630" spans="7:7" ht="13.2">
      <c r="G630" s="5"/>
    </row>
    <row r="631" spans="7:7" ht="13.2">
      <c r="G631" s="5"/>
    </row>
    <row r="632" spans="7:7" ht="13.2">
      <c r="G632" s="5"/>
    </row>
    <row r="633" spans="7:7" ht="13.2">
      <c r="G633" s="5"/>
    </row>
    <row r="634" spans="7:7" ht="13.2">
      <c r="G634" s="5"/>
    </row>
    <row r="635" spans="7:7" ht="13.2">
      <c r="G635" s="5"/>
    </row>
    <row r="636" spans="7:7" ht="13.2">
      <c r="G636" s="5"/>
    </row>
    <row r="637" spans="7:7" ht="13.2">
      <c r="G637" s="5"/>
    </row>
    <row r="638" spans="7:7" ht="13.2">
      <c r="G638" s="5"/>
    </row>
    <row r="639" spans="7:7" ht="13.2">
      <c r="G639" s="5"/>
    </row>
    <row r="640" spans="7:7" ht="13.2">
      <c r="G640" s="5"/>
    </row>
    <row r="641" spans="7:7" ht="13.2">
      <c r="G641" s="5"/>
    </row>
    <row r="642" spans="7:7" ht="13.2">
      <c r="G642" s="5"/>
    </row>
    <row r="643" spans="7:7" ht="13.2">
      <c r="G643" s="5"/>
    </row>
    <row r="644" spans="7:7" ht="13.2">
      <c r="G644" s="5"/>
    </row>
    <row r="645" spans="7:7" ht="13.2">
      <c r="G645" s="5"/>
    </row>
    <row r="646" spans="7:7" ht="13.2">
      <c r="G646" s="5"/>
    </row>
    <row r="647" spans="7:7" ht="13.2">
      <c r="G647" s="5"/>
    </row>
    <row r="648" spans="7:7" ht="13.2">
      <c r="G648" s="5"/>
    </row>
    <row r="649" spans="7:7" ht="13.2">
      <c r="G649" s="5"/>
    </row>
    <row r="650" spans="7:7" ht="13.2">
      <c r="G650" s="5"/>
    </row>
    <row r="651" spans="7:7" ht="13.2">
      <c r="G651" s="5"/>
    </row>
    <row r="652" spans="7:7" ht="13.2">
      <c r="G652" s="5"/>
    </row>
    <row r="653" spans="7:7" ht="13.2">
      <c r="G653" s="5"/>
    </row>
    <row r="654" spans="7:7" ht="13.2">
      <c r="G654" s="5"/>
    </row>
    <row r="655" spans="7:7" ht="13.2">
      <c r="G655" s="5"/>
    </row>
    <row r="656" spans="7:7" ht="13.2">
      <c r="G656" s="5"/>
    </row>
    <row r="657" spans="7:7" ht="13.2">
      <c r="G657" s="5"/>
    </row>
    <row r="658" spans="7:7" ht="13.2">
      <c r="G658" s="5"/>
    </row>
    <row r="659" spans="7:7" ht="13.2">
      <c r="G659" s="5"/>
    </row>
    <row r="660" spans="7:7" ht="13.2">
      <c r="G660" s="5"/>
    </row>
    <row r="661" spans="7:7" ht="13.2">
      <c r="G661" s="5"/>
    </row>
    <row r="662" spans="7:7" ht="13.2">
      <c r="G662" s="5"/>
    </row>
    <row r="663" spans="7:7" ht="13.2">
      <c r="G663" s="5"/>
    </row>
    <row r="664" spans="7:7" ht="13.2">
      <c r="G664" s="5"/>
    </row>
    <row r="665" spans="7:7" ht="13.2">
      <c r="G665" s="5"/>
    </row>
    <row r="666" spans="7:7" ht="13.2">
      <c r="G666" s="5"/>
    </row>
    <row r="667" spans="7:7" ht="13.2">
      <c r="G667" s="5"/>
    </row>
    <row r="668" spans="7:7" ht="13.2">
      <c r="G668" s="5"/>
    </row>
    <row r="669" spans="7:7" ht="13.2">
      <c r="G669" s="5"/>
    </row>
    <row r="670" spans="7:7" ht="13.2">
      <c r="G670" s="5"/>
    </row>
    <row r="671" spans="7:7" ht="13.2">
      <c r="G671" s="5"/>
    </row>
    <row r="672" spans="7:7" ht="13.2">
      <c r="G672" s="5"/>
    </row>
    <row r="673" spans="7:7" ht="13.2">
      <c r="G673" s="5"/>
    </row>
    <row r="674" spans="7:7" ht="13.2">
      <c r="G674" s="5"/>
    </row>
    <row r="675" spans="7:7" ht="13.2">
      <c r="G675" s="5"/>
    </row>
    <row r="676" spans="7:7" ht="13.2">
      <c r="G676" s="5"/>
    </row>
    <row r="677" spans="7:7" ht="13.2">
      <c r="G677" s="5"/>
    </row>
    <row r="678" spans="7:7" ht="13.2">
      <c r="G678" s="5"/>
    </row>
    <row r="679" spans="7:7" ht="13.2">
      <c r="G679" s="5"/>
    </row>
    <row r="680" spans="7:7" ht="13.2">
      <c r="G680" s="5"/>
    </row>
    <row r="681" spans="7:7" ht="13.2">
      <c r="G681" s="5"/>
    </row>
    <row r="682" spans="7:7" ht="13.2">
      <c r="G682" s="5"/>
    </row>
    <row r="683" spans="7:7" ht="13.2">
      <c r="G683" s="5"/>
    </row>
    <row r="684" spans="7:7" ht="13.2">
      <c r="G684" s="5"/>
    </row>
    <row r="685" spans="7:7" ht="13.2">
      <c r="G685" s="5"/>
    </row>
    <row r="686" spans="7:7" ht="13.2">
      <c r="G686" s="5"/>
    </row>
    <row r="687" spans="7:7" ht="13.2">
      <c r="G687" s="5"/>
    </row>
    <row r="688" spans="7:7" ht="13.2">
      <c r="G688" s="5"/>
    </row>
    <row r="689" spans="7:7" ht="13.2">
      <c r="G689" s="5"/>
    </row>
    <row r="690" spans="7:7" ht="13.2">
      <c r="G690" s="5"/>
    </row>
    <row r="691" spans="7:7" ht="13.2">
      <c r="G691" s="5"/>
    </row>
    <row r="692" spans="7:7" ht="13.2">
      <c r="G692" s="5"/>
    </row>
    <row r="693" spans="7:7" ht="13.2">
      <c r="G693" s="5"/>
    </row>
    <row r="694" spans="7:7" ht="13.2">
      <c r="G694" s="5"/>
    </row>
    <row r="695" spans="7:7" ht="13.2">
      <c r="G695" s="5"/>
    </row>
    <row r="696" spans="7:7" ht="13.2">
      <c r="G696" s="5"/>
    </row>
    <row r="697" spans="7:7" ht="13.2">
      <c r="G697" s="5"/>
    </row>
    <row r="698" spans="7:7" ht="13.2">
      <c r="G698" s="5"/>
    </row>
    <row r="699" spans="7:7" ht="13.2">
      <c r="G699" s="5"/>
    </row>
    <row r="700" spans="7:7" ht="13.2">
      <c r="G700" s="5"/>
    </row>
    <row r="701" spans="7:7" ht="13.2">
      <c r="G701" s="5"/>
    </row>
    <row r="702" spans="7:7" ht="13.2">
      <c r="G702" s="5"/>
    </row>
    <row r="703" spans="7:7" ht="13.2">
      <c r="G703" s="5"/>
    </row>
    <row r="704" spans="7:7" ht="13.2">
      <c r="G704" s="5"/>
    </row>
    <row r="705" spans="7:7" ht="13.2">
      <c r="G705" s="5"/>
    </row>
    <row r="706" spans="7:7" ht="13.2">
      <c r="G706" s="5"/>
    </row>
    <row r="707" spans="7:7" ht="13.2">
      <c r="G707" s="5"/>
    </row>
    <row r="708" spans="7:7" ht="13.2">
      <c r="G708" s="5"/>
    </row>
    <row r="709" spans="7:7" ht="13.2">
      <c r="G709" s="5"/>
    </row>
    <row r="710" spans="7:7" ht="13.2">
      <c r="G710" s="5"/>
    </row>
    <row r="711" spans="7:7" ht="13.2">
      <c r="G711" s="5"/>
    </row>
    <row r="712" spans="7:7" ht="13.2">
      <c r="G712" s="5"/>
    </row>
    <row r="713" spans="7:7" ht="13.2">
      <c r="G713" s="5"/>
    </row>
    <row r="714" spans="7:7" ht="13.2">
      <c r="G714" s="5"/>
    </row>
    <row r="715" spans="7:7" ht="13.2">
      <c r="G715" s="5"/>
    </row>
    <row r="716" spans="7:7" ht="13.2">
      <c r="G716" s="5"/>
    </row>
    <row r="717" spans="7:7" ht="13.2">
      <c r="G717" s="5"/>
    </row>
    <row r="718" spans="7:7" ht="13.2">
      <c r="G718" s="5"/>
    </row>
    <row r="719" spans="7:7" ht="13.2">
      <c r="G719" s="5"/>
    </row>
    <row r="720" spans="7:7" ht="13.2">
      <c r="G720" s="5"/>
    </row>
    <row r="721" spans="7:7" ht="13.2">
      <c r="G721" s="5"/>
    </row>
    <row r="722" spans="7:7" ht="13.2">
      <c r="G722" s="5"/>
    </row>
    <row r="723" spans="7:7" ht="13.2">
      <c r="G723" s="5"/>
    </row>
    <row r="724" spans="7:7" ht="13.2">
      <c r="G724" s="5"/>
    </row>
    <row r="725" spans="7:7" ht="13.2">
      <c r="G725" s="5"/>
    </row>
    <row r="726" spans="7:7" ht="13.2">
      <c r="G726" s="5"/>
    </row>
    <row r="727" spans="7:7" ht="13.2">
      <c r="G727" s="5"/>
    </row>
    <row r="728" spans="7:7" ht="13.2">
      <c r="G728" s="5"/>
    </row>
    <row r="729" spans="7:7" ht="13.2">
      <c r="G729" s="5"/>
    </row>
    <row r="730" spans="7:7" ht="13.2">
      <c r="G730" s="5"/>
    </row>
    <row r="731" spans="7:7" ht="13.2">
      <c r="G731" s="5"/>
    </row>
    <row r="732" spans="7:7" ht="13.2">
      <c r="G732" s="5"/>
    </row>
    <row r="733" spans="7:7" ht="13.2">
      <c r="G733" s="5"/>
    </row>
    <row r="734" spans="7:7" ht="13.2">
      <c r="G734" s="5"/>
    </row>
    <row r="735" spans="7:7" ht="13.2">
      <c r="G735" s="5"/>
    </row>
    <row r="736" spans="7:7" ht="13.2">
      <c r="G736" s="5"/>
    </row>
    <row r="737" spans="7:7" ht="13.2">
      <c r="G737" s="5"/>
    </row>
    <row r="738" spans="7:7" ht="13.2">
      <c r="G738" s="5"/>
    </row>
    <row r="739" spans="7:7" ht="13.2">
      <c r="G739" s="5"/>
    </row>
    <row r="740" spans="7:7" ht="13.2">
      <c r="G740" s="5"/>
    </row>
    <row r="741" spans="7:7" ht="13.2">
      <c r="G741" s="5"/>
    </row>
    <row r="742" spans="7:7" ht="13.2">
      <c r="G742" s="5"/>
    </row>
    <row r="743" spans="7:7" ht="13.2">
      <c r="G743" s="5"/>
    </row>
    <row r="744" spans="7:7" ht="13.2">
      <c r="G744" s="5"/>
    </row>
    <row r="745" spans="7:7" ht="13.2">
      <c r="G745" s="5"/>
    </row>
    <row r="746" spans="7:7" ht="13.2">
      <c r="G746" s="5"/>
    </row>
    <row r="747" spans="7:7" ht="13.2">
      <c r="G747" s="5"/>
    </row>
    <row r="748" spans="7:7" ht="13.2">
      <c r="G748" s="5"/>
    </row>
    <row r="749" spans="7:7" ht="13.2">
      <c r="G749" s="5"/>
    </row>
    <row r="750" spans="7:7" ht="13.2">
      <c r="G750" s="5"/>
    </row>
    <row r="751" spans="7:7" ht="13.2">
      <c r="G751" s="5"/>
    </row>
    <row r="752" spans="7:7" ht="13.2">
      <c r="G752" s="5"/>
    </row>
    <row r="753" spans="7:7" ht="13.2">
      <c r="G753" s="5"/>
    </row>
    <row r="754" spans="7:7" ht="13.2">
      <c r="G754" s="5"/>
    </row>
    <row r="755" spans="7:7" ht="13.2">
      <c r="G755" s="5"/>
    </row>
    <row r="756" spans="7:7" ht="13.2">
      <c r="G756" s="5"/>
    </row>
    <row r="757" spans="7:7" ht="13.2">
      <c r="G757" s="5"/>
    </row>
    <row r="758" spans="7:7" ht="13.2">
      <c r="G758" s="5"/>
    </row>
    <row r="759" spans="7:7" ht="13.2">
      <c r="G759" s="5"/>
    </row>
    <row r="760" spans="7:7" ht="13.2">
      <c r="G760" s="5"/>
    </row>
    <row r="761" spans="7:7" ht="13.2">
      <c r="G761" s="5"/>
    </row>
    <row r="762" spans="7:7" ht="13.2">
      <c r="G762" s="5"/>
    </row>
    <row r="763" spans="7:7" ht="13.2">
      <c r="G763" s="5"/>
    </row>
    <row r="764" spans="7:7" ht="13.2">
      <c r="G764" s="5"/>
    </row>
    <row r="765" spans="7:7" ht="13.2">
      <c r="G765" s="5"/>
    </row>
    <row r="766" spans="7:7" ht="13.2">
      <c r="G766" s="5"/>
    </row>
    <row r="767" spans="7:7" ht="13.2">
      <c r="G767" s="5"/>
    </row>
    <row r="768" spans="7:7" ht="13.2">
      <c r="G768" s="5"/>
    </row>
    <row r="769" spans="7:7" ht="13.2">
      <c r="G769" s="5"/>
    </row>
    <row r="770" spans="7:7" ht="13.2">
      <c r="G770" s="5"/>
    </row>
    <row r="771" spans="7:7" ht="13.2">
      <c r="G771" s="5"/>
    </row>
    <row r="772" spans="7:7" ht="13.2">
      <c r="G772" s="5"/>
    </row>
    <row r="773" spans="7:7" ht="13.2">
      <c r="G773" s="5"/>
    </row>
    <row r="774" spans="7:7" ht="13.2">
      <c r="G774" s="5"/>
    </row>
    <row r="775" spans="7:7" ht="13.2">
      <c r="G775" s="5"/>
    </row>
    <row r="776" spans="7:7" ht="13.2">
      <c r="G776" s="5"/>
    </row>
    <row r="777" spans="7:7" ht="13.2">
      <c r="G777" s="5"/>
    </row>
    <row r="778" spans="7:7" ht="13.2">
      <c r="G778" s="5"/>
    </row>
    <row r="779" spans="7:7" ht="13.2">
      <c r="G779" s="5"/>
    </row>
    <row r="780" spans="7:7" ht="13.2">
      <c r="G780" s="5"/>
    </row>
    <row r="781" spans="7:7" ht="13.2">
      <c r="G781" s="5"/>
    </row>
    <row r="782" spans="7:7" ht="13.2">
      <c r="G782" s="5"/>
    </row>
    <row r="783" spans="7:7" ht="13.2">
      <c r="G783" s="5"/>
    </row>
    <row r="784" spans="7:7" ht="13.2">
      <c r="G784" s="5"/>
    </row>
    <row r="785" spans="7:7" ht="13.2">
      <c r="G785" s="5"/>
    </row>
    <row r="786" spans="7:7" ht="13.2">
      <c r="G786" s="5"/>
    </row>
    <row r="787" spans="7:7" ht="13.2">
      <c r="G787" s="5"/>
    </row>
    <row r="788" spans="7:7" ht="13.2">
      <c r="G788" s="5"/>
    </row>
    <row r="789" spans="7:7" ht="13.2">
      <c r="G789" s="5"/>
    </row>
    <row r="790" spans="7:7" ht="13.2">
      <c r="G790" s="5"/>
    </row>
    <row r="791" spans="7:7" ht="13.2">
      <c r="G791" s="5"/>
    </row>
    <row r="792" spans="7:7" ht="13.2">
      <c r="G792" s="5"/>
    </row>
    <row r="793" spans="7:7" ht="13.2">
      <c r="G793" s="5"/>
    </row>
    <row r="794" spans="7:7" ht="13.2">
      <c r="G794" s="5"/>
    </row>
    <row r="795" spans="7:7" ht="13.2">
      <c r="G795" s="5"/>
    </row>
    <row r="796" spans="7:7" ht="13.2">
      <c r="G796" s="5"/>
    </row>
    <row r="797" spans="7:7" ht="13.2">
      <c r="G797" s="5"/>
    </row>
    <row r="798" spans="7:7" ht="13.2">
      <c r="G798" s="5"/>
    </row>
    <row r="799" spans="7:7" ht="13.2">
      <c r="G799" s="5"/>
    </row>
    <row r="800" spans="7:7" ht="13.2">
      <c r="G800" s="5"/>
    </row>
    <row r="801" spans="7:7" ht="13.2">
      <c r="G801" s="5"/>
    </row>
    <row r="802" spans="7:7" ht="13.2">
      <c r="G802" s="5"/>
    </row>
    <row r="803" spans="7:7" ht="13.2">
      <c r="G803" s="5"/>
    </row>
    <row r="804" spans="7:7" ht="13.2">
      <c r="G804" s="5"/>
    </row>
    <row r="805" spans="7:7" ht="13.2">
      <c r="G805" s="5"/>
    </row>
    <row r="806" spans="7:7" ht="13.2">
      <c r="G806" s="5"/>
    </row>
    <row r="807" spans="7:7" ht="13.2">
      <c r="G807" s="5"/>
    </row>
    <row r="808" spans="7:7" ht="13.2">
      <c r="G808" s="5"/>
    </row>
    <row r="809" spans="7:7" ht="13.2">
      <c r="G809" s="5"/>
    </row>
    <row r="810" spans="7:7" ht="13.2">
      <c r="G810" s="5"/>
    </row>
    <row r="811" spans="7:7" ht="13.2">
      <c r="G811" s="5"/>
    </row>
    <row r="812" spans="7:7" ht="13.2">
      <c r="G812" s="5"/>
    </row>
    <row r="813" spans="7:7" ht="13.2">
      <c r="G813" s="5"/>
    </row>
    <row r="814" spans="7:7" ht="13.2">
      <c r="G814" s="5"/>
    </row>
    <row r="815" spans="7:7" ht="13.2">
      <c r="G815" s="5"/>
    </row>
    <row r="816" spans="7:7" ht="13.2">
      <c r="G816" s="5"/>
    </row>
    <row r="817" spans="7:7" ht="13.2">
      <c r="G817" s="5"/>
    </row>
    <row r="818" spans="7:7" ht="13.2">
      <c r="G818" s="5"/>
    </row>
    <row r="819" spans="7:7" ht="13.2">
      <c r="G819" s="5"/>
    </row>
    <row r="820" spans="7:7" ht="13.2">
      <c r="G820" s="5"/>
    </row>
    <row r="821" spans="7:7" ht="13.2">
      <c r="G821" s="5"/>
    </row>
    <row r="822" spans="7:7" ht="13.2">
      <c r="G822" s="5"/>
    </row>
    <row r="823" spans="7:7" ht="13.2">
      <c r="G823" s="5"/>
    </row>
    <row r="824" spans="7:7" ht="13.2">
      <c r="G824" s="5"/>
    </row>
    <row r="825" spans="7:7" ht="13.2">
      <c r="G825" s="5"/>
    </row>
    <row r="826" spans="7:7" ht="13.2">
      <c r="G826" s="5"/>
    </row>
    <row r="827" spans="7:7" ht="13.2">
      <c r="G827" s="5"/>
    </row>
    <row r="828" spans="7:7" ht="13.2">
      <c r="G828" s="5"/>
    </row>
    <row r="829" spans="7:7" ht="13.2">
      <c r="G829" s="5"/>
    </row>
    <row r="830" spans="7:7" ht="13.2">
      <c r="G830" s="5"/>
    </row>
    <row r="831" spans="7:7" ht="13.2">
      <c r="G831" s="5"/>
    </row>
    <row r="832" spans="7:7" ht="13.2">
      <c r="G832" s="5"/>
    </row>
    <row r="833" spans="7:7" ht="13.2">
      <c r="G833" s="5"/>
    </row>
    <row r="834" spans="7:7" ht="13.2">
      <c r="G834" s="5"/>
    </row>
    <row r="835" spans="7:7" ht="13.2">
      <c r="G835" s="5"/>
    </row>
    <row r="836" spans="7:7" ht="13.2">
      <c r="G836" s="5"/>
    </row>
    <row r="837" spans="7:7" ht="13.2">
      <c r="G837" s="5"/>
    </row>
    <row r="838" spans="7:7" ht="13.2">
      <c r="G838" s="5"/>
    </row>
    <row r="839" spans="7:7" ht="13.2">
      <c r="G839" s="5"/>
    </row>
    <row r="840" spans="7:7" ht="13.2">
      <c r="G840" s="5"/>
    </row>
    <row r="841" spans="7:7" ht="13.2">
      <c r="G841" s="5"/>
    </row>
    <row r="842" spans="7:7" ht="13.2">
      <c r="G842" s="5"/>
    </row>
    <row r="843" spans="7:7" ht="13.2">
      <c r="G843" s="5"/>
    </row>
    <row r="844" spans="7:7" ht="13.2">
      <c r="G844" s="5"/>
    </row>
    <row r="845" spans="7:7" ht="13.2">
      <c r="G845" s="5"/>
    </row>
    <row r="846" spans="7:7" ht="13.2">
      <c r="G846" s="5"/>
    </row>
    <row r="847" spans="7:7" ht="13.2">
      <c r="G847" s="5"/>
    </row>
    <row r="848" spans="7:7" ht="13.2">
      <c r="G848" s="5"/>
    </row>
    <row r="849" spans="7:7" ht="13.2">
      <c r="G849" s="5"/>
    </row>
    <row r="850" spans="7:7" ht="13.2">
      <c r="G850" s="5"/>
    </row>
    <row r="851" spans="7:7" ht="13.2">
      <c r="G851" s="5"/>
    </row>
    <row r="852" spans="7:7" ht="13.2">
      <c r="G852" s="5"/>
    </row>
    <row r="853" spans="7:7" ht="13.2">
      <c r="G853" s="5"/>
    </row>
    <row r="854" spans="7:7" ht="13.2">
      <c r="G854" s="5"/>
    </row>
    <row r="855" spans="7:7" ht="13.2">
      <c r="G855" s="5"/>
    </row>
    <row r="856" spans="7:7" ht="13.2">
      <c r="G856" s="5"/>
    </row>
    <row r="857" spans="7:7" ht="13.2">
      <c r="G857" s="5"/>
    </row>
    <row r="858" spans="7:7" ht="13.2">
      <c r="G858" s="5"/>
    </row>
    <row r="859" spans="7:7" ht="13.2">
      <c r="G859" s="5"/>
    </row>
    <row r="860" spans="7:7" ht="13.2">
      <c r="G860" s="5"/>
    </row>
    <row r="861" spans="7:7" ht="13.2">
      <c r="G861" s="5"/>
    </row>
    <row r="862" spans="7:7" ht="13.2">
      <c r="G862" s="5"/>
    </row>
    <row r="863" spans="7:7" ht="13.2">
      <c r="G863" s="5"/>
    </row>
    <row r="864" spans="7:7" ht="13.2">
      <c r="G864" s="5"/>
    </row>
    <row r="865" spans="7:7" ht="13.2">
      <c r="G865" s="5"/>
    </row>
    <row r="866" spans="7:7" ht="13.2">
      <c r="G866" s="5"/>
    </row>
    <row r="867" spans="7:7" ht="13.2">
      <c r="G867" s="5"/>
    </row>
    <row r="868" spans="7:7" ht="13.2">
      <c r="G868" s="5"/>
    </row>
    <row r="869" spans="7:7" ht="13.2">
      <c r="G869" s="5"/>
    </row>
    <row r="870" spans="7:7" ht="13.2">
      <c r="G870" s="5"/>
    </row>
    <row r="871" spans="7:7" ht="13.2">
      <c r="G871" s="5"/>
    </row>
    <row r="872" spans="7:7" ht="13.2">
      <c r="G872" s="5"/>
    </row>
    <row r="873" spans="7:7" ht="13.2">
      <c r="G873" s="5"/>
    </row>
    <row r="874" spans="7:7" ht="13.2">
      <c r="G874" s="5"/>
    </row>
    <row r="875" spans="7:7" ht="13.2">
      <c r="G875" s="5"/>
    </row>
    <row r="876" spans="7:7" ht="13.2">
      <c r="G876" s="5"/>
    </row>
    <row r="877" spans="7:7" ht="13.2">
      <c r="G877" s="5"/>
    </row>
    <row r="878" spans="7:7" ht="13.2">
      <c r="G878" s="5"/>
    </row>
    <row r="879" spans="7:7" ht="13.2">
      <c r="G879" s="5"/>
    </row>
    <row r="880" spans="7:7" ht="13.2">
      <c r="G880" s="5"/>
    </row>
    <row r="881" spans="7:7" ht="13.2">
      <c r="G881" s="5"/>
    </row>
    <row r="882" spans="7:7" ht="13.2">
      <c r="G882" s="5"/>
    </row>
    <row r="883" spans="7:7" ht="13.2">
      <c r="G883" s="5"/>
    </row>
    <row r="884" spans="7:7" ht="13.2">
      <c r="G884" s="5"/>
    </row>
    <row r="885" spans="7:7" ht="13.2">
      <c r="G885" s="5"/>
    </row>
    <row r="886" spans="7:7" ht="13.2">
      <c r="G886" s="5"/>
    </row>
    <row r="887" spans="7:7" ht="13.2">
      <c r="G887" s="5"/>
    </row>
    <row r="888" spans="7:7" ht="13.2">
      <c r="G888" s="5"/>
    </row>
    <row r="889" spans="7:7" ht="13.2">
      <c r="G889" s="5"/>
    </row>
    <row r="890" spans="7:7" ht="13.2">
      <c r="G890" s="5"/>
    </row>
    <row r="891" spans="7:7" ht="13.2">
      <c r="G891" s="5"/>
    </row>
    <row r="892" spans="7:7" ht="13.2">
      <c r="G892" s="5"/>
    </row>
    <row r="893" spans="7:7" ht="13.2">
      <c r="G893" s="5"/>
    </row>
    <row r="894" spans="7:7" ht="13.2">
      <c r="G894" s="5"/>
    </row>
    <row r="895" spans="7:7" ht="13.2">
      <c r="G895" s="5"/>
    </row>
    <row r="896" spans="7:7" ht="13.2">
      <c r="G896" s="5"/>
    </row>
    <row r="897" spans="7:7" ht="13.2">
      <c r="G897" s="5"/>
    </row>
    <row r="898" spans="7:7" ht="13.2">
      <c r="G898" s="5"/>
    </row>
    <row r="899" spans="7:7" ht="13.2">
      <c r="G899" s="5"/>
    </row>
    <row r="900" spans="7:7" ht="13.2">
      <c r="G900" s="5"/>
    </row>
    <row r="901" spans="7:7" ht="13.2">
      <c r="G901" s="5"/>
    </row>
    <row r="902" spans="7:7" ht="13.2">
      <c r="G902" s="5"/>
    </row>
    <row r="903" spans="7:7" ht="13.2">
      <c r="G903" s="5"/>
    </row>
    <row r="904" spans="7:7" ht="13.2">
      <c r="G904" s="5"/>
    </row>
    <row r="905" spans="7:7" ht="13.2">
      <c r="G905" s="5"/>
    </row>
    <row r="906" spans="7:7" ht="13.2">
      <c r="G906" s="5"/>
    </row>
    <row r="907" spans="7:7" ht="13.2">
      <c r="G907" s="5"/>
    </row>
    <row r="908" spans="7:7" ht="13.2">
      <c r="G908" s="5"/>
    </row>
    <row r="909" spans="7:7" ht="13.2">
      <c r="G909" s="5"/>
    </row>
    <row r="910" spans="7:7" ht="13.2">
      <c r="G910" s="5"/>
    </row>
    <row r="911" spans="7:7" ht="13.2">
      <c r="G911" s="5"/>
    </row>
    <row r="912" spans="7:7" ht="13.2">
      <c r="G912" s="5"/>
    </row>
    <row r="913" spans="7:7" ht="13.2">
      <c r="G913" s="5"/>
    </row>
    <row r="914" spans="7:7" ht="13.2">
      <c r="G914" s="5"/>
    </row>
    <row r="915" spans="7:7" ht="13.2">
      <c r="G915" s="5"/>
    </row>
    <row r="916" spans="7:7" ht="13.2">
      <c r="G916" s="5"/>
    </row>
    <row r="917" spans="7:7" ht="13.2">
      <c r="G917" s="5"/>
    </row>
    <row r="918" spans="7:7" ht="13.2">
      <c r="G918" s="5"/>
    </row>
    <row r="919" spans="7:7" ht="13.2">
      <c r="G919" s="5"/>
    </row>
    <row r="920" spans="7:7" ht="13.2">
      <c r="G920" s="5"/>
    </row>
    <row r="921" spans="7:7" ht="13.2">
      <c r="G921" s="5"/>
    </row>
    <row r="922" spans="7:7" ht="13.2">
      <c r="G922" s="5"/>
    </row>
    <row r="923" spans="7:7" ht="13.2">
      <c r="G923" s="5"/>
    </row>
    <row r="924" spans="7:7" ht="13.2">
      <c r="G924" s="5"/>
    </row>
    <row r="925" spans="7:7" ht="13.2">
      <c r="G925" s="5"/>
    </row>
    <row r="926" spans="7:7" ht="13.2">
      <c r="G926" s="5"/>
    </row>
    <row r="927" spans="7:7" ht="13.2">
      <c r="G927" s="5"/>
    </row>
    <row r="928" spans="7:7" ht="13.2">
      <c r="G928" s="5"/>
    </row>
    <row r="929" spans="7:7" ht="13.2">
      <c r="G929" s="5"/>
    </row>
    <row r="930" spans="7:7" ht="13.2">
      <c r="G930" s="5"/>
    </row>
    <row r="931" spans="7:7" ht="13.2">
      <c r="G931" s="5"/>
    </row>
    <row r="932" spans="7:7" ht="13.2">
      <c r="G932" s="5"/>
    </row>
    <row r="933" spans="7:7" ht="13.2">
      <c r="G933" s="5"/>
    </row>
    <row r="934" spans="7:7" ht="13.2">
      <c r="G934" s="5"/>
    </row>
    <row r="935" spans="7:7" ht="13.2">
      <c r="G935" s="5"/>
    </row>
    <row r="936" spans="7:7" ht="13.2">
      <c r="G936" s="5"/>
    </row>
    <row r="937" spans="7:7" ht="13.2">
      <c r="G937" s="5"/>
    </row>
    <row r="938" spans="7:7" ht="13.2">
      <c r="G938" s="5"/>
    </row>
    <row r="939" spans="7:7" ht="13.2">
      <c r="G939" s="5"/>
    </row>
    <row r="940" spans="7:7" ht="13.2">
      <c r="G940" s="5"/>
    </row>
    <row r="941" spans="7:7" ht="13.2">
      <c r="G941" s="5"/>
    </row>
    <row r="942" spans="7:7" ht="13.2">
      <c r="G942" s="5"/>
    </row>
    <row r="943" spans="7:7" ht="13.2">
      <c r="G943" s="5"/>
    </row>
    <row r="944" spans="7:7" ht="13.2">
      <c r="G944" s="5"/>
    </row>
    <row r="945" spans="7:7" ht="13.2">
      <c r="G945" s="5"/>
    </row>
    <row r="946" spans="7:7" ht="13.2">
      <c r="G946" s="5"/>
    </row>
    <row r="947" spans="7:7" ht="13.2">
      <c r="G947" s="5"/>
    </row>
    <row r="948" spans="7:7" ht="13.2">
      <c r="G948" s="5"/>
    </row>
    <row r="949" spans="7:7" ht="13.2">
      <c r="G949" s="5"/>
    </row>
    <row r="950" spans="7:7" ht="13.2">
      <c r="G950" s="5"/>
    </row>
    <row r="951" spans="7:7" ht="13.2">
      <c r="G951" s="5"/>
    </row>
    <row r="952" spans="7:7" ht="13.2">
      <c r="G952" s="5"/>
    </row>
    <row r="953" spans="7:7" ht="13.2">
      <c r="G953" s="5"/>
    </row>
    <row r="954" spans="7:7" ht="13.2">
      <c r="G954" s="5"/>
    </row>
    <row r="955" spans="7:7" ht="13.2">
      <c r="G955" s="5"/>
    </row>
    <row r="956" spans="7:7" ht="13.2">
      <c r="G956" s="5"/>
    </row>
    <row r="957" spans="7:7" ht="13.2">
      <c r="G957" s="5"/>
    </row>
    <row r="958" spans="7:7" ht="13.2">
      <c r="G958" s="5"/>
    </row>
    <row r="959" spans="7:7" ht="13.2">
      <c r="G959" s="5"/>
    </row>
    <row r="960" spans="7:7" ht="13.2">
      <c r="G960" s="5"/>
    </row>
    <row r="961" spans="7:7" ht="13.2">
      <c r="G961" s="5"/>
    </row>
    <row r="962" spans="7:7" ht="13.2">
      <c r="G962" s="5"/>
    </row>
    <row r="963" spans="7:7" ht="13.2">
      <c r="G963" s="5"/>
    </row>
    <row r="964" spans="7:7" ht="13.2">
      <c r="G964" s="5"/>
    </row>
    <row r="965" spans="7:7" ht="13.2">
      <c r="G965" s="5"/>
    </row>
    <row r="966" spans="7:7" ht="13.2">
      <c r="G966" s="5"/>
    </row>
    <row r="967" spans="7:7" ht="13.2">
      <c r="G967" s="5"/>
    </row>
    <row r="968" spans="7:7" ht="13.2">
      <c r="G968" s="5"/>
    </row>
    <row r="969" spans="7:7" ht="13.2">
      <c r="G969" s="5"/>
    </row>
    <row r="970" spans="7:7" ht="13.2">
      <c r="G970" s="5"/>
    </row>
    <row r="971" spans="7:7" ht="13.2">
      <c r="G971" s="5"/>
    </row>
    <row r="972" spans="7:7" ht="13.2">
      <c r="G972" s="5"/>
    </row>
    <row r="973" spans="7:7" ht="13.2">
      <c r="G973" s="5"/>
    </row>
    <row r="974" spans="7:7" ht="13.2">
      <c r="G974" s="5"/>
    </row>
    <row r="975" spans="7:7" ht="13.2">
      <c r="G975" s="5"/>
    </row>
    <row r="976" spans="7:7" ht="13.2">
      <c r="G976" s="5"/>
    </row>
    <row r="977" spans="7:7" ht="13.2">
      <c r="G977" s="5"/>
    </row>
    <row r="978" spans="7:7" ht="13.2">
      <c r="G978" s="5"/>
    </row>
    <row r="979" spans="7:7" ht="13.2">
      <c r="G979" s="5"/>
    </row>
    <row r="980" spans="7:7" ht="13.2">
      <c r="G980" s="5"/>
    </row>
    <row r="981" spans="7:7" ht="13.2">
      <c r="G981" s="5"/>
    </row>
    <row r="982" spans="7:7" ht="13.2">
      <c r="G982" s="5"/>
    </row>
    <row r="983" spans="7:7" ht="13.2">
      <c r="G983" s="5"/>
    </row>
    <row r="984" spans="7:7" ht="13.2">
      <c r="G984" s="5"/>
    </row>
    <row r="985" spans="7:7" ht="13.2">
      <c r="G985" s="5"/>
    </row>
    <row r="986" spans="7:7" ht="13.2">
      <c r="G986" s="5"/>
    </row>
    <row r="987" spans="7:7" ht="13.2">
      <c r="G987" s="5"/>
    </row>
    <row r="988" spans="7:7" ht="13.2">
      <c r="G988" s="5"/>
    </row>
    <row r="989" spans="7:7" ht="13.2">
      <c r="G989" s="5"/>
    </row>
    <row r="990" spans="7:7" ht="13.2">
      <c r="G990" s="5"/>
    </row>
    <row r="991" spans="7:7" ht="13.2">
      <c r="G991" s="5"/>
    </row>
    <row r="992" spans="7:7" ht="13.2">
      <c r="G992" s="5"/>
    </row>
    <row r="993" spans="7:7" ht="13.2">
      <c r="G993" s="5"/>
    </row>
    <row r="994" spans="7:7" ht="13.2">
      <c r="G994" s="5"/>
    </row>
    <row r="995" spans="7:7" ht="13.2">
      <c r="G995" s="5"/>
    </row>
    <row r="996" spans="7:7" ht="13.2">
      <c r="G996" s="5"/>
    </row>
    <row r="997" spans="7:7" ht="13.2">
      <c r="G997" s="5"/>
    </row>
    <row r="998" spans="7:7" ht="13.2">
      <c r="G998" s="5"/>
    </row>
    <row r="999" spans="7:7" ht="13.2">
      <c r="G999" s="5"/>
    </row>
    <row r="1000" spans="7:7" ht="13.2">
      <c r="G1000" s="5"/>
    </row>
    <row r="1001" spans="7:7" ht="13.2">
      <c r="G1001" s="5"/>
    </row>
    <row r="1002" spans="7:7" ht="13.2">
      <c r="G1002" s="5"/>
    </row>
    <row r="1003" spans="7:7" ht="13.2">
      <c r="G1003" s="5"/>
    </row>
    <row r="1004" spans="7:7" ht="13.2">
      <c r="G1004" s="5"/>
    </row>
    <row r="1005" spans="7:7" ht="13.2">
      <c r="G1005" s="5"/>
    </row>
    <row r="1006" spans="7:7" ht="13.2">
      <c r="G1006" s="5"/>
    </row>
    <row r="1007" spans="7:7" ht="13.2">
      <c r="G1007" s="5"/>
    </row>
    <row r="1008" spans="7:7" ht="13.2">
      <c r="G1008" s="5"/>
    </row>
    <row r="1009" spans="7:7" ht="13.2">
      <c r="G1009" s="5"/>
    </row>
    <row r="1010" spans="7:7" ht="13.2">
      <c r="G1010" s="5"/>
    </row>
    <row r="1011" spans="7:7" ht="13.2">
      <c r="G1011" s="5"/>
    </row>
    <row r="1012" spans="7:7" ht="13.2">
      <c r="G1012" s="5"/>
    </row>
    <row r="1013" spans="7:7" ht="13.2">
      <c r="G1013" s="5"/>
    </row>
    <row r="1014" spans="7:7" ht="13.2">
      <c r="G1014" s="5"/>
    </row>
    <row r="1015" spans="7:7" ht="13.2">
      <c r="G1015" s="5"/>
    </row>
    <row r="1016" spans="7:7" ht="13.2">
      <c r="G1016" s="5"/>
    </row>
    <row r="1017" spans="7:7" ht="13.2">
      <c r="G1017" s="5"/>
    </row>
    <row r="1018" spans="7:7" ht="13.2">
      <c r="G1018" s="5"/>
    </row>
    <row r="1019" spans="7:7" ht="13.2">
      <c r="G1019" s="5"/>
    </row>
    <row r="1020" spans="7:7" ht="13.2">
      <c r="G1020" s="5"/>
    </row>
    <row r="1021" spans="7:7" ht="13.2">
      <c r="G1021" s="5"/>
    </row>
    <row r="1022" spans="7:7" ht="13.2">
      <c r="G1022" s="5"/>
    </row>
    <row r="1023" spans="7:7" ht="13.2">
      <c r="G1023" s="5"/>
    </row>
    <row r="1024" spans="7:7" ht="13.2">
      <c r="G1024" s="5"/>
    </row>
    <row r="1025" spans="7:7" ht="13.2">
      <c r="G1025" s="5"/>
    </row>
    <row r="1026" spans="7:7" ht="13.2">
      <c r="G1026" s="5"/>
    </row>
    <row r="1027" spans="7:7" ht="13.2">
      <c r="G1027" s="5"/>
    </row>
    <row r="1028" spans="7:7" ht="13.2">
      <c r="G1028" s="5"/>
    </row>
    <row r="1029" spans="7:7" ht="13.2">
      <c r="G1029" s="5"/>
    </row>
    <row r="1030" spans="7:7" ht="13.2">
      <c r="G1030" s="5"/>
    </row>
    <row r="1031" spans="7:7" ht="13.2">
      <c r="G1031" s="5"/>
    </row>
    <row r="1032" spans="7:7" ht="13.2">
      <c r="G1032" s="5"/>
    </row>
    <row r="1033" spans="7:7" ht="13.2">
      <c r="G1033" s="5"/>
    </row>
    <row r="1034" spans="7:7" ht="13.2">
      <c r="G1034" s="5"/>
    </row>
    <row r="1035" spans="7:7" ht="13.2">
      <c r="G1035" s="5"/>
    </row>
    <row r="1036" spans="7:7" ht="13.2">
      <c r="G1036" s="5"/>
    </row>
    <row r="1037" spans="7:7" ht="13.2">
      <c r="G1037" s="5"/>
    </row>
    <row r="1038" spans="7:7" ht="13.2">
      <c r="G1038" s="5"/>
    </row>
    <row r="1039" spans="7:7" ht="13.2">
      <c r="G1039" s="5"/>
    </row>
    <row r="1040" spans="7:7" ht="13.2">
      <c r="G1040" s="5"/>
    </row>
    <row r="1041" spans="7:7" ht="13.2">
      <c r="G1041" s="5"/>
    </row>
    <row r="1042" spans="7:7" ht="13.2">
      <c r="G1042" s="5"/>
    </row>
    <row r="1043" spans="7:7" ht="13.2">
      <c r="G1043" s="5"/>
    </row>
    <row r="1044" spans="7:7" ht="13.2">
      <c r="G1044" s="5"/>
    </row>
    <row r="1045" spans="7:7" ht="13.2">
      <c r="G1045" s="5"/>
    </row>
    <row r="1046" spans="7:7" ht="13.2">
      <c r="G1046" s="5"/>
    </row>
    <row r="1047" spans="7:7" ht="13.2">
      <c r="G1047" s="5"/>
    </row>
    <row r="1048" spans="7:7" ht="13.2">
      <c r="G1048" s="5"/>
    </row>
    <row r="1049" spans="7:7" ht="13.2">
      <c r="G1049" s="5"/>
    </row>
    <row r="1050" spans="7:7" ht="13.2">
      <c r="G1050" s="5"/>
    </row>
    <row r="1051" spans="7:7" ht="13.2">
      <c r="G1051" s="5"/>
    </row>
    <row r="1052" spans="7:7" ht="13.2">
      <c r="G1052" s="5"/>
    </row>
    <row r="1053" spans="7:7" ht="13.2">
      <c r="G1053" s="5"/>
    </row>
    <row r="1054" spans="7:7" ht="13.2">
      <c r="G1054" s="5"/>
    </row>
    <row r="1055" spans="7:7" ht="13.2">
      <c r="G1055" s="5"/>
    </row>
    <row r="1056" spans="7:7" ht="13.2">
      <c r="G1056" s="5"/>
    </row>
    <row r="1057" spans="7:7" ht="13.2">
      <c r="G1057" s="5"/>
    </row>
    <row r="1058" spans="7:7" ht="13.2">
      <c r="G1058" s="5"/>
    </row>
    <row r="1059" spans="7:7" ht="13.2">
      <c r="G1059" s="5"/>
    </row>
    <row r="1060" spans="7:7" ht="13.2">
      <c r="G1060" s="5"/>
    </row>
    <row r="1061" spans="7:7" ht="13.2">
      <c r="G1061" s="5"/>
    </row>
    <row r="1062" spans="7:7" ht="13.2">
      <c r="G1062" s="5"/>
    </row>
    <row r="1063" spans="7:7" ht="13.2">
      <c r="G1063" s="5"/>
    </row>
    <row r="1064" spans="7:7" ht="13.2">
      <c r="G1064" s="5"/>
    </row>
    <row r="1065" spans="7:7" ht="13.2">
      <c r="G1065" s="5"/>
    </row>
    <row r="1066" spans="7:7" ht="13.2">
      <c r="G1066" s="5"/>
    </row>
    <row r="1067" spans="7:7" ht="13.2">
      <c r="G1067" s="5"/>
    </row>
    <row r="1068" spans="7:7" ht="13.2">
      <c r="G1068" s="5"/>
    </row>
    <row r="1069" spans="7:7" ht="13.2">
      <c r="G1069" s="5"/>
    </row>
    <row r="1070" spans="7:7" ht="13.2">
      <c r="G1070" s="5"/>
    </row>
    <row r="1071" spans="7:7" ht="13.2">
      <c r="G1071" s="5"/>
    </row>
    <row r="1072" spans="7:7" ht="13.2">
      <c r="G1072" s="5"/>
    </row>
    <row r="1073" spans="7:7" ht="13.2">
      <c r="G1073" s="5"/>
    </row>
    <row r="1074" spans="7:7" ht="13.2">
      <c r="G1074" s="5"/>
    </row>
    <row r="1075" spans="7:7" ht="13.2">
      <c r="G1075" s="5"/>
    </row>
    <row r="1076" spans="7:7" ht="13.2">
      <c r="G1076" s="5"/>
    </row>
    <row r="1077" spans="7:7" ht="13.2">
      <c r="G1077" s="5"/>
    </row>
    <row r="1078" spans="7:7" ht="13.2">
      <c r="G1078" s="5"/>
    </row>
    <row r="1079" spans="7:7" ht="13.2">
      <c r="G1079" s="5"/>
    </row>
    <row r="1080" spans="7:7" ht="13.2">
      <c r="G1080" s="5"/>
    </row>
    <row r="1081" spans="7:7" ht="13.2">
      <c r="G1081" s="5"/>
    </row>
    <row r="1082" spans="7:7" ht="13.2">
      <c r="G1082" s="5"/>
    </row>
    <row r="1083" spans="7:7" ht="13.2">
      <c r="G1083" s="5"/>
    </row>
    <row r="1084" spans="7:7" ht="13.2">
      <c r="G1084" s="5"/>
    </row>
    <row r="1085" spans="7:7" ht="13.2">
      <c r="G1085" s="5"/>
    </row>
    <row r="1086" spans="7:7" ht="13.2">
      <c r="G1086" s="5"/>
    </row>
    <row r="1087" spans="7:7" ht="13.2">
      <c r="G1087" s="5"/>
    </row>
    <row r="1088" spans="7:7" ht="13.2">
      <c r="G1088" s="5"/>
    </row>
    <row r="1089" spans="7:7" ht="13.2">
      <c r="G1089" s="5"/>
    </row>
    <row r="1090" spans="7:7" ht="13.2">
      <c r="G1090" s="5"/>
    </row>
    <row r="1091" spans="7:7" ht="13.2">
      <c r="G1091" s="5"/>
    </row>
    <row r="1092" spans="7:7" ht="13.2">
      <c r="G1092" s="5"/>
    </row>
    <row r="1093" spans="7:7" ht="13.2">
      <c r="G1093" s="5"/>
    </row>
    <row r="1094" spans="7:7" ht="13.2">
      <c r="G1094" s="5"/>
    </row>
    <row r="1095" spans="7:7" ht="13.2">
      <c r="G1095" s="5"/>
    </row>
    <row r="1096" spans="7:7" ht="13.2">
      <c r="G1096" s="5"/>
    </row>
    <row r="1097" spans="7:7" ht="13.2">
      <c r="G1097" s="5"/>
    </row>
    <row r="1098" spans="7:7" ht="13.2">
      <c r="G1098" s="5"/>
    </row>
    <row r="1099" spans="7:7" ht="13.2">
      <c r="G1099" s="5"/>
    </row>
    <row r="1100" spans="7:7" ht="13.2">
      <c r="G1100" s="5"/>
    </row>
    <row r="1101" spans="7:7" ht="13.2">
      <c r="G1101" s="5"/>
    </row>
    <row r="1102" spans="7:7" ht="13.2">
      <c r="G1102" s="5"/>
    </row>
    <row r="1103" spans="7:7" ht="13.2">
      <c r="G1103" s="5"/>
    </row>
    <row r="1104" spans="7:7" ht="13.2">
      <c r="G1104" s="5"/>
    </row>
    <row r="1105" spans="7:7" ht="13.2">
      <c r="G1105" s="5"/>
    </row>
    <row r="1106" spans="7:7" ht="13.2">
      <c r="G1106" s="5"/>
    </row>
    <row r="1107" spans="7:7" ht="13.2">
      <c r="G1107" s="5"/>
    </row>
    <row r="1108" spans="7:7" ht="13.2">
      <c r="G1108" s="5"/>
    </row>
    <row r="1109" spans="7:7" ht="13.2">
      <c r="G1109" s="5"/>
    </row>
    <row r="1110" spans="7:7" ht="13.2">
      <c r="G1110" s="5"/>
    </row>
    <row r="1111" spans="7:7" ht="13.2">
      <c r="G1111" s="5"/>
    </row>
    <row r="1112" spans="7:7" ht="13.2">
      <c r="G1112" s="5"/>
    </row>
    <row r="1113" spans="7:7" ht="13.2">
      <c r="G1113" s="5"/>
    </row>
    <row r="1114" spans="7:7" ht="13.2">
      <c r="G1114" s="5"/>
    </row>
    <row r="1115" spans="7:7" ht="13.2">
      <c r="G1115" s="5"/>
    </row>
    <row r="1116" spans="7:7" ht="13.2">
      <c r="G1116" s="5"/>
    </row>
    <row r="1117" spans="7:7" ht="13.2">
      <c r="G1117" s="5"/>
    </row>
    <row r="1118" spans="7:7" ht="13.2">
      <c r="G1118" s="5"/>
    </row>
    <row r="1119" spans="7:7" ht="13.2">
      <c r="G1119" s="5"/>
    </row>
    <row r="1120" spans="7:7" ht="13.2">
      <c r="G1120" s="5"/>
    </row>
    <row r="1121" spans="7:7" ht="13.2">
      <c r="G1121" s="5"/>
    </row>
    <row r="1122" spans="7:7" ht="13.2">
      <c r="G1122" s="5"/>
    </row>
    <row r="1123" spans="7:7" ht="13.2">
      <c r="G1123" s="5"/>
    </row>
    <row r="1124" spans="7:7" ht="13.2">
      <c r="G1124" s="5"/>
    </row>
    <row r="1125" spans="7:7" ht="13.2">
      <c r="G1125" s="5"/>
    </row>
    <row r="1126" spans="7:7" ht="13.2">
      <c r="G1126" s="5"/>
    </row>
    <row r="1127" spans="7:7" ht="13.2">
      <c r="G1127" s="5"/>
    </row>
    <row r="1128" spans="7:7" ht="13.2">
      <c r="G1128" s="5"/>
    </row>
    <row r="1129" spans="7:7" ht="13.2">
      <c r="G1129" s="5"/>
    </row>
    <row r="1130" spans="7:7" ht="13.2">
      <c r="G1130" s="5"/>
    </row>
    <row r="1131" spans="7:7" ht="13.2">
      <c r="G1131" s="5"/>
    </row>
    <row r="1132" spans="7:7" ht="13.2">
      <c r="G1132" s="5"/>
    </row>
    <row r="1133" spans="7:7" ht="13.2">
      <c r="G1133" s="5"/>
    </row>
    <row r="1134" spans="7:7" ht="13.2">
      <c r="G1134" s="5"/>
    </row>
    <row r="1135" spans="7:7" ht="13.2">
      <c r="G1135" s="5"/>
    </row>
    <row r="1136" spans="7:7" ht="13.2">
      <c r="G1136" s="5"/>
    </row>
    <row r="1137" spans="7:7" ht="13.2">
      <c r="G1137" s="5"/>
    </row>
    <row r="1138" spans="7:7" ht="13.2">
      <c r="G1138" s="5"/>
    </row>
    <row r="1139" spans="7:7" ht="13.2">
      <c r="G1139" s="5"/>
    </row>
    <row r="1140" spans="7:7" ht="13.2">
      <c r="G1140" s="5"/>
    </row>
    <row r="1141" spans="7:7" ht="13.2">
      <c r="G1141" s="5"/>
    </row>
    <row r="1142" spans="7:7" ht="13.2">
      <c r="G1142" s="5"/>
    </row>
    <row r="1143" spans="7:7" ht="13.2">
      <c r="G1143" s="5"/>
    </row>
    <row r="1144" spans="7:7" ht="13.2">
      <c r="G1144" s="5"/>
    </row>
    <row r="1145" spans="7:7" ht="13.2">
      <c r="G1145" s="5"/>
    </row>
    <row r="1146" spans="7:7" ht="13.2">
      <c r="G1146" s="5"/>
    </row>
    <row r="1147" spans="7:7" ht="13.2">
      <c r="G1147" s="5"/>
    </row>
    <row r="1148" spans="7:7" ht="13.2">
      <c r="G1148" s="5"/>
    </row>
    <row r="1149" spans="7:7" ht="13.2">
      <c r="G1149" s="5"/>
    </row>
    <row r="1150" spans="7:7" ht="13.2">
      <c r="G1150" s="5"/>
    </row>
    <row r="1151" spans="7:7" ht="13.2">
      <c r="G1151" s="5"/>
    </row>
    <row r="1152" spans="7:7" ht="13.2">
      <c r="G1152" s="5"/>
    </row>
    <row r="1153" spans="7:7" ht="13.2">
      <c r="G1153" s="5"/>
    </row>
    <row r="1154" spans="7:7" ht="13.2">
      <c r="G1154" s="5"/>
    </row>
    <row r="1155" spans="7:7" ht="13.2">
      <c r="G1155" s="5"/>
    </row>
    <row r="1156" spans="7:7" ht="13.2">
      <c r="G1156" s="5"/>
    </row>
    <row r="1157" spans="7:7" ht="13.2">
      <c r="G1157" s="5"/>
    </row>
    <row r="1158" spans="7:7" ht="13.2">
      <c r="G1158" s="5"/>
    </row>
    <row r="1159" spans="7:7" ht="13.2">
      <c r="G1159" s="5"/>
    </row>
    <row r="1160" spans="7:7" ht="13.2">
      <c r="G1160" s="5"/>
    </row>
    <row r="1161" spans="7:7" ht="13.2">
      <c r="G1161" s="5"/>
    </row>
    <row r="1162" spans="7:7" ht="13.2">
      <c r="G1162" s="5"/>
    </row>
    <row r="1163" spans="7:7" ht="13.2">
      <c r="G1163" s="5"/>
    </row>
    <row r="1164" spans="7:7" ht="13.2">
      <c r="G1164" s="5"/>
    </row>
    <row r="1165" spans="7:7" ht="13.2">
      <c r="G1165" s="5"/>
    </row>
    <row r="1166" spans="7:7" ht="13.2">
      <c r="G1166" s="5"/>
    </row>
    <row r="1167" spans="7:7" ht="13.2">
      <c r="G1167" s="5"/>
    </row>
    <row r="1168" spans="7:7" ht="13.2">
      <c r="G1168" s="5"/>
    </row>
    <row r="1169" spans="7:7" ht="13.2">
      <c r="G1169" s="5"/>
    </row>
    <row r="1170" spans="7:7" ht="13.2">
      <c r="G1170" s="5"/>
    </row>
    <row r="1171" spans="7:7" ht="13.2">
      <c r="G1171" s="5"/>
    </row>
    <row r="1172" spans="7:7" ht="13.2">
      <c r="G1172" s="5"/>
    </row>
    <row r="1173" spans="7:7" ht="13.2">
      <c r="G1173" s="5"/>
    </row>
    <row r="1174" spans="7:7" ht="13.2">
      <c r="G1174" s="5"/>
    </row>
    <row r="1175" spans="7:7" ht="13.2">
      <c r="G1175" s="5"/>
    </row>
    <row r="1176" spans="7:7" ht="13.2">
      <c r="G1176" s="5"/>
    </row>
    <row r="1177" spans="7:7" ht="13.2">
      <c r="G1177" s="5"/>
    </row>
    <row r="1178" spans="7:7" ht="13.2">
      <c r="G1178" s="5"/>
    </row>
    <row r="1179" spans="7:7" ht="13.2">
      <c r="G1179" s="5"/>
    </row>
    <row r="1180" spans="7:7" ht="13.2">
      <c r="G1180" s="5"/>
    </row>
    <row r="1181" spans="7:7" ht="13.2">
      <c r="G1181" s="5"/>
    </row>
    <row r="1182" spans="7:7" ht="13.2">
      <c r="G1182" s="5"/>
    </row>
    <row r="1183" spans="7:7" ht="13.2">
      <c r="G1183" s="5"/>
    </row>
    <row r="1184" spans="7:7" ht="13.2">
      <c r="G1184" s="5"/>
    </row>
    <row r="1185" spans="7:7" ht="13.2">
      <c r="G1185" s="5"/>
    </row>
    <row r="1186" spans="7:7" ht="13.2">
      <c r="G1186" s="5"/>
    </row>
    <row r="1187" spans="7:7" ht="13.2">
      <c r="G1187" s="5"/>
    </row>
    <row r="1188" spans="7:7" ht="13.2">
      <c r="G1188" s="5"/>
    </row>
    <row r="1189" spans="7:7" ht="13.2">
      <c r="G1189" s="5"/>
    </row>
    <row r="1190" spans="7:7" ht="13.2">
      <c r="G1190" s="5"/>
    </row>
    <row r="1191" spans="7:7" ht="13.2">
      <c r="G1191" s="5"/>
    </row>
    <row r="1192" spans="7:7" ht="13.2">
      <c r="G1192" s="5"/>
    </row>
    <row r="1193" spans="7:7" ht="13.2">
      <c r="G1193" s="5"/>
    </row>
    <row r="1194" spans="7:7" ht="13.2">
      <c r="G1194" s="5"/>
    </row>
    <row r="1195" spans="7:7" ht="13.2">
      <c r="G1195" s="5"/>
    </row>
    <row r="1196" spans="7:7" ht="13.2">
      <c r="G1196" s="5"/>
    </row>
    <row r="1197" spans="7:7" ht="13.2">
      <c r="G1197" s="5"/>
    </row>
    <row r="1198" spans="7:7" ht="13.2">
      <c r="G1198" s="5"/>
    </row>
    <row r="1199" spans="7:7" ht="13.2">
      <c r="G1199" s="5"/>
    </row>
    <row r="1200" spans="7:7" ht="13.2">
      <c r="G1200" s="5"/>
    </row>
    <row r="1201" spans="7:7" ht="13.2">
      <c r="G1201" s="5"/>
    </row>
    <row r="1202" spans="7:7" ht="13.2">
      <c r="G1202" s="5"/>
    </row>
    <row r="1203" spans="7:7" ht="13.2">
      <c r="G1203" s="5"/>
    </row>
    <row r="1204" spans="7:7" ht="13.2">
      <c r="G1204" s="5"/>
    </row>
    <row r="1205" spans="7:7" ht="13.2">
      <c r="G1205" s="5"/>
    </row>
    <row r="1206" spans="7:7" ht="13.2">
      <c r="G1206" s="5"/>
    </row>
    <row r="1207" spans="7:7" ht="13.2">
      <c r="G1207" s="5"/>
    </row>
    <row r="1208" spans="7:7" ht="13.2">
      <c r="G1208" s="5"/>
    </row>
    <row r="1209" spans="7:7" ht="13.2">
      <c r="G1209" s="5"/>
    </row>
    <row r="1210" spans="7:7" ht="13.2">
      <c r="G1210" s="5"/>
    </row>
    <row r="1211" spans="7:7" ht="13.2">
      <c r="G1211" s="5"/>
    </row>
    <row r="1212" spans="7:7" ht="13.2">
      <c r="G1212" s="5"/>
    </row>
    <row r="1213" spans="7:7" ht="13.2">
      <c r="G1213" s="5"/>
    </row>
    <row r="1214" spans="7:7" ht="13.2">
      <c r="G1214" s="5"/>
    </row>
    <row r="1215" spans="7:7" ht="13.2">
      <c r="G1215" s="5"/>
    </row>
    <row r="1216" spans="7:7" ht="13.2">
      <c r="G1216" s="5"/>
    </row>
    <row r="1217" spans="7:7" ht="13.2">
      <c r="G1217" s="5"/>
    </row>
    <row r="1218" spans="7:7" ht="13.2">
      <c r="G1218" s="5"/>
    </row>
    <row r="1219" spans="7:7" ht="13.2">
      <c r="G1219" s="5"/>
    </row>
    <row r="1220" spans="7:7" ht="13.2">
      <c r="G1220" s="5"/>
    </row>
    <row r="1221" spans="7:7" ht="13.2">
      <c r="G1221" s="5"/>
    </row>
    <row r="1222" spans="7:7" ht="13.2">
      <c r="G1222" s="5"/>
    </row>
    <row r="1223" spans="7:7" ht="13.2">
      <c r="G1223" s="5"/>
    </row>
    <row r="1224" spans="7:7" ht="13.2">
      <c r="G1224" s="5"/>
    </row>
    <row r="1225" spans="7:7" ht="13.2">
      <c r="G1225" s="5"/>
    </row>
    <row r="1226" spans="7:7" ht="13.2">
      <c r="G1226" s="5"/>
    </row>
    <row r="1227" spans="7:7" ht="13.2">
      <c r="G1227" s="5"/>
    </row>
    <row r="1228" spans="7:7" ht="13.2">
      <c r="G1228" s="5"/>
    </row>
    <row r="1229" spans="7:7" ht="13.2">
      <c r="G1229" s="5"/>
    </row>
    <row r="1230" spans="7:7" ht="13.2">
      <c r="G1230" s="5"/>
    </row>
    <row r="1231" spans="7:7" ht="13.2">
      <c r="G1231" s="5"/>
    </row>
    <row r="1232" spans="7:7" ht="13.2">
      <c r="G1232" s="5"/>
    </row>
    <row r="1233" spans="7:7" ht="13.2">
      <c r="G1233" s="5"/>
    </row>
    <row r="1234" spans="7:7" ht="13.2">
      <c r="G1234" s="5"/>
    </row>
    <row r="1235" spans="7:7" ht="13.2">
      <c r="G1235" s="5"/>
    </row>
    <row r="1236" spans="7:7" ht="13.2">
      <c r="G1236" s="5"/>
    </row>
    <row r="1237" spans="7:7" ht="13.2">
      <c r="G1237" s="5"/>
    </row>
    <row r="1238" spans="7:7" ht="13.2">
      <c r="G1238" s="5"/>
    </row>
    <row r="1239" spans="7:7" ht="13.2">
      <c r="G1239" s="5"/>
    </row>
    <row r="1240" spans="7:7" ht="13.2">
      <c r="G1240" s="5"/>
    </row>
    <row r="1241" spans="7:7" ht="13.2">
      <c r="G1241" s="5"/>
    </row>
    <row r="1242" spans="7:7" ht="13.2">
      <c r="G1242" s="5"/>
    </row>
    <row r="1243" spans="7:7" ht="13.2">
      <c r="G1243" s="5"/>
    </row>
    <row r="1244" spans="7:7" ht="13.2">
      <c r="G1244" s="5"/>
    </row>
    <row r="1245" spans="7:7" ht="13.2">
      <c r="G1245" s="5"/>
    </row>
    <row r="1246" spans="7:7" ht="13.2">
      <c r="G1246" s="5"/>
    </row>
    <row r="1247" spans="7:7" ht="13.2">
      <c r="G1247" s="5"/>
    </row>
    <row r="1248" spans="7:7" ht="13.2">
      <c r="G1248" s="5"/>
    </row>
    <row r="1249" spans="7:7" ht="13.2">
      <c r="G1249" s="5"/>
    </row>
    <row r="1250" spans="7:7" ht="13.2">
      <c r="G1250" s="5"/>
    </row>
    <row r="1251" spans="7:7" ht="13.2">
      <c r="G1251" s="5"/>
    </row>
    <row r="1252" spans="7:7" ht="13.2">
      <c r="G1252" s="5"/>
    </row>
    <row r="1253" spans="7:7" ht="13.2">
      <c r="G1253" s="5"/>
    </row>
    <row r="1254" spans="7:7" ht="13.2">
      <c r="G1254" s="5"/>
    </row>
    <row r="1255" spans="7:7" ht="13.2">
      <c r="G1255" s="5"/>
    </row>
    <row r="1256" spans="7:7" ht="13.2">
      <c r="G1256" s="5"/>
    </row>
    <row r="1257" spans="7:7" ht="13.2">
      <c r="G1257" s="5"/>
    </row>
    <row r="1258" spans="7:7" ht="13.2">
      <c r="G1258" s="5"/>
    </row>
    <row r="1259" spans="7:7" ht="13.2">
      <c r="G1259" s="5"/>
    </row>
    <row r="1260" spans="7:7" ht="13.2">
      <c r="G1260" s="5"/>
    </row>
    <row r="1261" spans="7:7" ht="13.2">
      <c r="G1261" s="5"/>
    </row>
    <row r="1262" spans="7:7" ht="13.2">
      <c r="G1262" s="5"/>
    </row>
    <row r="1263" spans="7:7" ht="13.2">
      <c r="G1263" s="5"/>
    </row>
    <row r="1264" spans="7:7" ht="13.2">
      <c r="G1264" s="5"/>
    </row>
    <row r="1265" spans="7:7" ht="13.2">
      <c r="G1265" s="5"/>
    </row>
    <row r="1266" spans="7:7" ht="13.2">
      <c r="G1266" s="5"/>
    </row>
    <row r="1267" spans="7:7" ht="13.2">
      <c r="G1267" s="5"/>
    </row>
    <row r="1268" spans="7:7" ht="13.2">
      <c r="G1268" s="5"/>
    </row>
    <row r="1269" spans="7:7" ht="13.2">
      <c r="G1269" s="5"/>
    </row>
    <row r="1270" spans="7:7" ht="13.2">
      <c r="G1270" s="5"/>
    </row>
    <row r="1271" spans="7:7" ht="13.2">
      <c r="G1271" s="5"/>
    </row>
    <row r="1272" spans="7:7" ht="13.2">
      <c r="G1272" s="5"/>
    </row>
    <row r="1273" spans="7:7" ht="13.2">
      <c r="G1273" s="5"/>
    </row>
    <row r="1274" spans="7:7" ht="13.2">
      <c r="G1274" s="5"/>
    </row>
    <row r="1275" spans="7:7" ht="13.2">
      <c r="G1275" s="5"/>
    </row>
    <row r="1276" spans="7:7" ht="13.2">
      <c r="G1276" s="5"/>
    </row>
    <row r="1277" spans="7:7" ht="13.2">
      <c r="G1277" s="5"/>
    </row>
    <row r="1278" spans="7:7" ht="13.2">
      <c r="G1278" s="5"/>
    </row>
    <row r="1279" spans="7:7" ht="13.2">
      <c r="G1279" s="5"/>
    </row>
    <row r="1280" spans="7:7" ht="13.2">
      <c r="G1280" s="5"/>
    </row>
    <row r="1281" spans="7:7" ht="13.2">
      <c r="G1281" s="5"/>
    </row>
    <row r="1282" spans="7:7" ht="13.2">
      <c r="G1282" s="5"/>
    </row>
    <row r="1283" spans="7:7" ht="13.2">
      <c r="G1283" s="5"/>
    </row>
    <row r="1284" spans="7:7" ht="13.2">
      <c r="G1284" s="5"/>
    </row>
    <row r="1285" spans="7:7" ht="13.2">
      <c r="G1285" s="5"/>
    </row>
    <row r="1286" spans="7:7" ht="13.2">
      <c r="G1286" s="5"/>
    </row>
    <row r="1287" spans="7:7" ht="13.2">
      <c r="G1287" s="5"/>
    </row>
    <row r="1288" spans="7:7" ht="13.2">
      <c r="G1288"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M677"/>
  <sheetViews>
    <sheetView topLeftCell="A586" workbookViewId="0">
      <selection activeCell="J673" sqref="J673"/>
    </sheetView>
  </sheetViews>
  <sheetFormatPr baseColWidth="10" defaultColWidth="12.6640625" defaultRowHeight="15.75" customHeight="1"/>
  <cols>
    <col min="10" max="10" width="65.33203125" customWidth="1"/>
    <col min="12" max="12" width="25.88671875" customWidth="1"/>
  </cols>
  <sheetData>
    <row r="1" spans="1:39" ht="15.75" customHeight="1">
      <c r="A1" s="1" t="s">
        <v>81</v>
      </c>
      <c r="B1" s="1" t="s">
        <v>82</v>
      </c>
      <c r="C1" s="1" t="s">
        <v>83</v>
      </c>
      <c r="D1" s="1" t="s">
        <v>84</v>
      </c>
      <c r="E1" s="1" t="s">
        <v>85</v>
      </c>
      <c r="F1" s="1" t="s">
        <v>86</v>
      </c>
      <c r="G1" s="1" t="s">
        <v>87</v>
      </c>
      <c r="H1" s="1" t="s">
        <v>88</v>
      </c>
      <c r="I1" s="1" t="s">
        <v>89</v>
      </c>
      <c r="J1" s="1" t="s">
        <v>90</v>
      </c>
      <c r="K1" s="1" t="s">
        <v>91</v>
      </c>
      <c r="L1" s="1" t="s">
        <v>92</v>
      </c>
      <c r="M1" s="1" t="s">
        <v>1044</v>
      </c>
      <c r="N1" s="3"/>
      <c r="P1" s="3"/>
      <c r="Q1" s="3"/>
      <c r="S1" s="3"/>
      <c r="T1" s="3"/>
      <c r="U1" s="3"/>
      <c r="V1" s="3"/>
      <c r="W1" s="3"/>
      <c r="X1" s="3"/>
      <c r="Y1" s="3"/>
      <c r="Z1" s="3"/>
      <c r="AA1" s="3"/>
      <c r="AB1" s="3"/>
      <c r="AC1" s="3"/>
      <c r="AD1" s="3"/>
      <c r="AE1" s="3"/>
      <c r="AF1" s="3"/>
      <c r="AG1" s="3"/>
      <c r="AH1" s="3"/>
      <c r="AI1" s="3"/>
      <c r="AJ1" s="3"/>
      <c r="AK1" s="3"/>
      <c r="AL1" s="3"/>
      <c r="AM1" s="3"/>
    </row>
    <row r="2" spans="1:39" ht="13.2">
      <c r="A2" s="1" t="str">
        <f ca="1">IFERROR(__xludf.DUMMYFUNCTION("IMPORTRANGE(""https://docs.google.com/spreadsheets/d/1BCbdmKz-Qgtt7rB_ylKiWolmoC4I0weZUT_oqDACokI/edit?gid=1385066428#gid=1385066428"", ""Castillo-Figueroa_2021!D3:P52"")"),"Body mass")</f>
        <v>Body mass</v>
      </c>
      <c r="B2" s="1"/>
      <c r="C2" s="1"/>
      <c r="D2" s="1"/>
      <c r="E2" s="1" t="str">
        <f ca="1">IFERROR(__xludf.DUMMYFUNCTION("""COMPUTED_VALUE"""),"numeric")</f>
        <v>numeric</v>
      </c>
      <c r="F2" s="1" t="str">
        <f ca="1">IFERROR(__xludf.DUMMYFUNCTION("""COMPUTED_VALUE"""),"g")</f>
        <v>g</v>
      </c>
      <c r="G2" s="1" t="str">
        <f ca="1">IFERROR(__xludf.DUMMYFUNCTION("""COMPUTED_VALUE"""),".na")</f>
        <v>.na</v>
      </c>
      <c r="H2" s="1"/>
      <c r="I2" s="1"/>
      <c r="J2" s="1" t="str">
        <f ca="1">IFERROR(__xludf.DUMMYFUNCTION("""COMPUTED_VALUE"""),"Based on weight")</f>
        <v>Based on weight</v>
      </c>
      <c r="K2" s="1" t="str">
        <f ca="1">IFERROR(__xludf.DUMMYFUNCTION("""COMPUTED_VALUE"""),"SI, FM")</f>
        <v>SI, FM</v>
      </c>
      <c r="L2" s="8" t="str">
        <f ca="1">IFERROR(__xludf.DUMMYFUNCTION("""COMPUTED_VALUE"""),"https://doi.org/10.11606/1807-0205/2021.61.24")</f>
        <v>https://doi.org/10.11606/1807-0205/2021.61.24</v>
      </c>
      <c r="M2" s="1" t="str">
        <f ca="1">IFERROR(__xludf.DUMMYFUNCTION("""COMPUTED_VALUE"""),"Castillo-Figueroa_2021")</f>
        <v>Castillo-Figueroa_2021</v>
      </c>
    </row>
    <row r="3" spans="1:39" ht="13.2">
      <c r="A3" s="1" t="str">
        <f ca="1">IFERROR(__xludf.DUMMYFUNCTION("""COMPUTED_VALUE"""),"Total length")</f>
        <v>Total length</v>
      </c>
      <c r="B3" s="1"/>
      <c r="C3" s="1"/>
      <c r="D3" s="1"/>
      <c r="E3" s="1" t="str">
        <f ca="1">IFERROR(__xludf.DUMMYFUNCTION("""COMPUTED_VALUE"""),"numeric")</f>
        <v>numeric</v>
      </c>
      <c r="F3" s="1" t="str">
        <f ca="1">IFERROR(__xludf.DUMMYFUNCTION("""COMPUTED_VALUE"""),"mm")</f>
        <v>mm</v>
      </c>
      <c r="G3" s="1" t="str">
        <f ca="1">IFERROR(__xludf.DUMMYFUNCTION("""COMPUTED_VALUE"""),".na")</f>
        <v>.na</v>
      </c>
      <c r="H3" s="1"/>
      <c r="I3" s="1"/>
      <c r="J3" s="1" t="str">
        <f ca="1">IFERROR(__xludf.DUMMYFUNCTION("""COMPUTED_VALUE"""),"Measurement from the tail (if any) to the head (tail + body + head). If 
there is no tail, the measurement encompasses the lower end of the body to 
the head")</f>
        <v>Measurement from the tail (if any) to the head (tail + body + head). If 
there is no tail, the measurement encompasses the lower end of the body to 
the head</v>
      </c>
      <c r="K3" s="1" t="str">
        <f ca="1">IFERROR(__xludf.DUMMYFUNCTION("""COMPUTED_VALUE"""),"FM")</f>
        <v>FM</v>
      </c>
      <c r="L3" s="8" t="str">
        <f ca="1">IFERROR(__xludf.DUMMYFUNCTION("""COMPUTED_VALUE"""),"https://doi.org/10.11606/1807-0205/2021.61.24")</f>
        <v>https://doi.org/10.11606/1807-0205/2021.61.24</v>
      </c>
      <c r="M3" s="1" t="str">
        <f ca="1">IFERROR(__xludf.DUMMYFUNCTION("""COMPUTED_VALUE"""),"Castillo-Figueroa_2021")</f>
        <v>Castillo-Figueroa_2021</v>
      </c>
    </row>
    <row r="4" spans="1:39" ht="13.2">
      <c r="A4" s="1" t="str">
        <f ca="1">IFERROR(__xludf.DUMMYFUNCTION("""COMPUTED_VALUE"""),"Forearm length")</f>
        <v>Forearm length</v>
      </c>
      <c r="B4" s="1"/>
      <c r="C4" s="1"/>
      <c r="D4" s="1"/>
      <c r="E4" s="1" t="str">
        <f ca="1">IFERROR(__xludf.DUMMYFUNCTION("""COMPUTED_VALUE"""),"numeric")</f>
        <v>numeric</v>
      </c>
      <c r="F4" s="1" t="str">
        <f ca="1">IFERROR(__xludf.DUMMYFUNCTION("""COMPUTED_VALUE"""),"mm")</f>
        <v>mm</v>
      </c>
      <c r="G4" s="1" t="str">
        <f ca="1">IFERROR(__xludf.DUMMYFUNCTION("""COMPUTED_VALUE"""),".na")</f>
        <v>.na</v>
      </c>
      <c r="H4" s="1"/>
      <c r="I4" s="1"/>
      <c r="J4" s="1" t="str">
        <f ca="1">IFERROR(__xludf.DUMMYFUNCTION("""COMPUTED_VALUE"""),"Measurement from the base of the elbow (tip of the olecranon process) to 
the distal region of the forearm where it joins the carpus")</f>
        <v>Measurement from the base of the elbow (tip of the olecranon process) to 
the distal region of the forearm where it joins the carpus</v>
      </c>
      <c r="K4" s="1" t="str">
        <f ca="1">IFERROR(__xludf.DUMMYFUNCTION("""COMPUTED_VALUE"""),"SI, FM, BC")</f>
        <v>SI, FM, BC</v>
      </c>
      <c r="L4" s="8" t="str">
        <f ca="1">IFERROR(__xludf.DUMMYFUNCTION("""COMPUTED_VALUE"""),"https://doi.org/10.11606/1807-0205/2021.61.24")</f>
        <v>https://doi.org/10.11606/1807-0205/2021.61.24</v>
      </c>
      <c r="M4" s="1" t="str">
        <f ca="1">IFERROR(__xludf.DUMMYFUNCTION("""COMPUTED_VALUE"""),"Castillo-Figueroa_2021")</f>
        <v>Castillo-Figueroa_2021</v>
      </c>
    </row>
    <row r="5" spans="1:39" ht="13.2">
      <c r="A5" s="1" t="str">
        <f ca="1">IFERROR(__xludf.DUMMYFUNCTION("""COMPUTED_VALUE"""),"Length of the third digit")</f>
        <v>Length of the third digit</v>
      </c>
      <c r="B5" s="1"/>
      <c r="C5" s="1"/>
      <c r="D5" s="1"/>
      <c r="E5" s="1" t="str">
        <f ca="1">IFERROR(__xludf.DUMMYFUNCTION("""COMPUTED_VALUE"""),"numeric")</f>
        <v>numeric</v>
      </c>
      <c r="F5" s="1" t="str">
        <f ca="1">IFERROR(__xludf.DUMMYFUNCTION("""COMPUTED_VALUE"""),"mm")</f>
        <v>mm</v>
      </c>
      <c r="G5" s="1" t="str">
        <f ca="1">IFERROR(__xludf.DUMMYFUNCTION("""COMPUTED_VALUE"""),".na")</f>
        <v>.na</v>
      </c>
      <c r="H5" s="1"/>
      <c r="I5" s="1"/>
      <c r="J5" s="1" t="str">
        <f ca="1">IFERROR(__xludf.DUMMYFUNCTION("""COMPUTED_VALUE"""),"In biological collections the trait is the result of the sum of the 
metacarpus and its three phalanges. The metacarpus is measured from the 
joint with the phalanx to the junction with the carpus. The phalanx is 
measured as the maximum distance between "&amp;"the joints. In the field, the 
trait is measured from the junction of the metacarpus with the carpus to 
the tip of the third phalanx")</f>
        <v>In biological collections the trait is the result of the sum of the 
metacarpus and its three phalanges. The metacarpus is measured from the 
joint with the phalanx to the junction with the carpus. The phalanx is 
measured as the maximum distance between the joints. In the field, the 
trait is measured from the junction of the metacarpus with the carpus to 
the tip of the third phalanx</v>
      </c>
      <c r="K5" s="1" t="str">
        <f ca="1">IFERROR(__xludf.DUMMYFUNCTION("""COMPUTED_VALUE"""),"FM, BC")</f>
        <v>FM, BC</v>
      </c>
      <c r="L5" s="8" t="str">
        <f ca="1">IFERROR(__xludf.DUMMYFUNCTION("""COMPUTED_VALUE"""),"https://doi.org/10.11606/1807-0205/2021.61.24")</f>
        <v>https://doi.org/10.11606/1807-0205/2021.61.24</v>
      </c>
      <c r="M5" s="1" t="str">
        <f ca="1">IFERROR(__xludf.DUMMYFUNCTION("""COMPUTED_VALUE"""),"Castillo-Figueroa_2021")</f>
        <v>Castillo-Figueroa_2021</v>
      </c>
    </row>
    <row r="6" spans="1:39" ht="13.2">
      <c r="A6" s="1" t="str">
        <f ca="1">IFERROR(__xludf.DUMMYFUNCTION("""COMPUTED_VALUE"""),"Length of the fifth digit")</f>
        <v>Length of the fifth digit</v>
      </c>
      <c r="B6" s="1"/>
      <c r="C6" s="1"/>
      <c r="D6" s="1"/>
      <c r="E6" s="1" t="str">
        <f ca="1">IFERROR(__xludf.DUMMYFUNCTION("""COMPUTED_VALUE"""),"numeric")</f>
        <v>numeric</v>
      </c>
      <c r="F6" s="1" t="str">
        <f ca="1">IFERROR(__xludf.DUMMYFUNCTION("""COMPUTED_VALUE"""),"mm")</f>
        <v>mm</v>
      </c>
      <c r="G6" s="1" t="str">
        <f ca="1">IFERROR(__xludf.DUMMYFUNCTION("""COMPUTED_VALUE"""),".na")</f>
        <v>.na</v>
      </c>
      <c r="H6" s="1"/>
      <c r="I6" s="1"/>
      <c r="J6" s="1" t="str">
        <f ca="1">IFERROR(__xludf.DUMMYFUNCTION("""COMPUTED_VALUE"""),"In biological collections the trait is the result of the sum of the 
metacarpus and its two phalanges. The metacarpus is measured from the joint 
with the phalanx to the junction with the carpus. The phalanx is measured 
as the maximum distance between th"&amp;"e joints. In the field, it is measured 
from the junction of the metacarpus with the carps to the tip of the second 
phalanx")</f>
        <v>In biological collections the trait is the result of the sum of the 
metacarpus and its two phalanges. The metacarpus is measured from the joint 
with the phalanx to the junction with the carpus. The phalanx is measured 
as the maximum distance between the joints. In the field, it is measured 
from the junction of the metacarpus with the carps to the tip of the second 
phalanx</v>
      </c>
      <c r="K6" s="1" t="str">
        <f ca="1">IFERROR(__xludf.DUMMYFUNCTION("""COMPUTED_VALUE"""),"FM, BC")</f>
        <v>FM, BC</v>
      </c>
      <c r="L6" s="8" t="str">
        <f ca="1">IFERROR(__xludf.DUMMYFUNCTION("""COMPUTED_VALUE"""),"https://doi.org/10.11606/1807-0205/2021.61.24")</f>
        <v>https://doi.org/10.11606/1807-0205/2021.61.24</v>
      </c>
      <c r="M6" s="1" t="str">
        <f ca="1">IFERROR(__xludf.DUMMYFUNCTION("""COMPUTED_VALUE"""),"Castillo-Figueroa_2021")</f>
        <v>Castillo-Figueroa_2021</v>
      </c>
    </row>
    <row r="7" spans="1:39" ht="13.2">
      <c r="A7" s="1" t="str">
        <f ca="1">IFERROR(__xludf.DUMMYFUNCTION("""COMPUTED_VALUE"""),"Wing loading")</f>
        <v>Wing loading</v>
      </c>
      <c r="B7" s="1"/>
      <c r="C7" s="1"/>
      <c r="D7" s="1"/>
      <c r="E7" s="1" t="str">
        <f ca="1">IFERROR(__xludf.DUMMYFUNCTION("""COMPUTED_VALUE"""),"numeric")</f>
        <v>numeric</v>
      </c>
      <c r="F7" s="1" t="str">
        <f ca="1">IFERROR(__xludf.DUMMYFUNCTION("""COMPUTED_VALUE"""),"Newtons/m2")</f>
        <v>Newtons/m2</v>
      </c>
      <c r="G7" s="1" t="str">
        <f ca="1">IFERROR(__xludf.DUMMYFUNCTION("""COMPUTED_VALUE"""),".na")</f>
        <v>.na</v>
      </c>
      <c r="H7" s="1"/>
      <c r="I7" s="1"/>
      <c r="J7" s="1" t="str">
        <f ca="1">IFERROR(__xludf.DUMMYFUNCTION("""COMPUTED_VALUE"""),"Wing loading (Wl) is body mass in kg times acceleration of gravity (Mg) 
divided by its wing area in m2 (S); *gravity acceleration = 9.8 m/s2; Wl = 
Mg/S (N/m2)")</f>
        <v>Wing loading (Wl) is body mass in kg times acceleration of gravity (Mg) 
divided by its wing area in m2 (S); *gravity acceleration = 9.8 m/s2; Wl = 
Mg/S (N/m2)</v>
      </c>
      <c r="K7" s="1" t="str">
        <f ca="1">IFERROR(__xludf.DUMMYFUNCTION("""COMPUTED_VALUE"""),"FM, SI")</f>
        <v>FM, SI</v>
      </c>
      <c r="L7" s="8" t="str">
        <f ca="1">IFERROR(__xludf.DUMMYFUNCTION("""COMPUTED_VALUE"""),"https://doi.org/10.11606/1807-0205/2021.61.24")</f>
        <v>https://doi.org/10.11606/1807-0205/2021.61.24</v>
      </c>
      <c r="M7" s="1" t="str">
        <f ca="1">IFERROR(__xludf.DUMMYFUNCTION("""COMPUTED_VALUE"""),"Castillo-Figueroa_2021")</f>
        <v>Castillo-Figueroa_2021</v>
      </c>
    </row>
    <row r="8" spans="1:39" ht="13.2">
      <c r="A8" s="1" t="str">
        <f ca="1">IFERROR(__xludf.DUMMYFUNCTION("""COMPUTED_VALUE"""),"Aspect ratio")</f>
        <v>Aspect ratio</v>
      </c>
      <c r="B8" s="1"/>
      <c r="C8" s="1"/>
      <c r="D8" s="1"/>
      <c r="E8" s="1" t="str">
        <f ca="1">IFERROR(__xludf.DUMMYFUNCTION("""COMPUTED_VALUE"""),"numeric")</f>
        <v>numeric</v>
      </c>
      <c r="F8" s="1" t="str">
        <f ca="1">IFERROR(__xludf.DUMMYFUNCTION("""COMPUTED_VALUE"""),".na")</f>
        <v>.na</v>
      </c>
      <c r="G8" s="1" t="str">
        <f ca="1">IFERROR(__xludf.DUMMYFUNCTION("""COMPUTED_VALUE"""),".na")</f>
        <v>.na</v>
      </c>
      <c r="H8" s="1"/>
      <c r="I8" s="1"/>
      <c r="J8" s="1" t="str">
        <f ca="1">IFERROR(__xludf.DUMMYFUNCTION("""COMPUTED_VALUE"""),"Aspect ratio (A) is the result of the wing span squared (m2) (B) divided by 
wing area (m2) (S); A = B2/S")</f>
        <v>Aspect ratio (A) is the result of the wing span squared (m2) (B) divided by 
wing area (m2) (S); A = B2/S</v>
      </c>
      <c r="K8" s="1" t="str">
        <f ca="1">IFERROR(__xludf.DUMMYFUNCTION("""COMPUTED_VALUE"""),"FM, SI")</f>
        <v>FM, SI</v>
      </c>
      <c r="L8" s="8" t="str">
        <f ca="1">IFERROR(__xludf.DUMMYFUNCTION("""COMPUTED_VALUE"""),"https://doi.org/10.11606/1807-0205/2021.61.24")</f>
        <v>https://doi.org/10.11606/1807-0205/2021.61.24</v>
      </c>
      <c r="M8" s="1" t="str">
        <f ca="1">IFERROR(__xludf.DUMMYFUNCTION("""COMPUTED_VALUE"""),"Castillo-Figueroa_2021")</f>
        <v>Castillo-Figueroa_2021</v>
      </c>
    </row>
    <row r="9" spans="1:39" ht="13.2">
      <c r="A9" s="1" t="str">
        <f ca="1">IFERROR(__xludf.DUMMYFUNCTION("""COMPUTED_VALUE"""),"Tip shape index")</f>
        <v>Tip shape index</v>
      </c>
      <c r="B9" s="1"/>
      <c r="C9" s="1"/>
      <c r="D9" s="1"/>
      <c r="E9" s="1" t="str">
        <f ca="1">IFERROR(__xludf.DUMMYFUNCTION("""COMPUTED_VALUE"""),"numeric")</f>
        <v>numeric</v>
      </c>
      <c r="F9" s="1" t="str">
        <f ca="1">IFERROR(__xludf.DUMMYFUNCTION("""COMPUTED_VALUE"""),".na")</f>
        <v>.na</v>
      </c>
      <c r="G9" s="1" t="str">
        <f ca="1">IFERROR(__xludf.DUMMYFUNCTION("""COMPUTED_VALUE"""),".na")</f>
        <v>.na</v>
      </c>
      <c r="H9" s="1"/>
      <c r="I9" s="1"/>
      <c r="J9" s="1" t="str">
        <f ca="1">IFERROR(__xludf.DUMMYFUNCTION("""COMPUTED_VALUE"""),"Tip shape index (I) is the tip area ratio (Ts) divided by tip length ratio 
(Tl) minus Ts; I = Ts/(Tl-Ts)")</f>
        <v>Tip shape index (I) is the tip area ratio (Ts) divided by tip length ratio 
(Tl) minus Ts; I = Ts/(Tl-Ts)</v>
      </c>
      <c r="K9" s="1" t="str">
        <f ca="1">IFERROR(__xludf.DUMMYFUNCTION("""COMPUTED_VALUE"""),"FM, SI")</f>
        <v>FM, SI</v>
      </c>
      <c r="L9" s="8" t="str">
        <f ca="1">IFERROR(__xludf.DUMMYFUNCTION("""COMPUTED_VALUE"""),"https://doi.org/10.11606/1807-0205/2021.61.24")</f>
        <v>https://doi.org/10.11606/1807-0205/2021.61.24</v>
      </c>
      <c r="M9" s="1" t="str">
        <f ca="1">IFERROR(__xludf.DUMMYFUNCTION("""COMPUTED_VALUE"""),"Castillo-Figueroa_2021")</f>
        <v>Castillo-Figueroa_2021</v>
      </c>
    </row>
    <row r="10" spans="1:39" ht="13.2">
      <c r="A10" s="1" t="str">
        <f ca="1">IFERROR(__xludf.DUMMYFUNCTION("""COMPUTED_VALUE"""),"Wing span")</f>
        <v>Wing span</v>
      </c>
      <c r="B10" s="1"/>
      <c r="C10" s="1"/>
      <c r="D10" s="1"/>
      <c r="E10" s="1" t="str">
        <f ca="1">IFERROR(__xludf.DUMMYFUNCTION("""COMPUTED_VALUE"""),"numeric")</f>
        <v>numeric</v>
      </c>
      <c r="F10" s="1" t="str">
        <f ca="1">IFERROR(__xludf.DUMMYFUNCTION("""COMPUTED_VALUE"""),"mm")</f>
        <v>mm</v>
      </c>
      <c r="G10" s="1" t="str">
        <f ca="1">IFERROR(__xludf.DUMMYFUNCTION("""COMPUTED_VALUE"""),".na")</f>
        <v>.na</v>
      </c>
      <c r="H10" s="1"/>
      <c r="I10" s="1"/>
      <c r="J10" s="1" t="str">
        <f ca="1">IFERROR(__xludf.DUMMYFUNCTION("""COMPUTED_VALUE"""),"Measurement taken from tip to tip of the extended wings held along to the 
long axis of the body")</f>
        <v>Measurement taken from tip to tip of the extended wings held along to the 
long axis of the body</v>
      </c>
      <c r="K10" s="1" t="str">
        <f ca="1">IFERROR(__xludf.DUMMYFUNCTION("""COMPUTED_VALUE"""),"FM, SI")</f>
        <v>FM, SI</v>
      </c>
      <c r="L10" s="8" t="str">
        <f ca="1">IFERROR(__xludf.DUMMYFUNCTION("""COMPUTED_VALUE"""),"https://doi.org/10.11606/1807-0205/2021.61.24")</f>
        <v>https://doi.org/10.11606/1807-0205/2021.61.24</v>
      </c>
      <c r="M10" s="1" t="str">
        <f ca="1">IFERROR(__xludf.DUMMYFUNCTION("""COMPUTED_VALUE"""),"Castillo-Figueroa_2021")</f>
        <v>Castillo-Figueroa_2021</v>
      </c>
    </row>
    <row r="11" spans="1:39" ht="13.2">
      <c r="A11" s="1" t="str">
        <f ca="1">IFERROR(__xludf.DUMMYFUNCTION("""COMPUTED_VALUE"""),"Length of the pollex without claw")</f>
        <v>Length of the pollex without claw</v>
      </c>
      <c r="B11" s="1"/>
      <c r="C11" s="1"/>
      <c r="D11" s="1"/>
      <c r="E11" s="1" t="str">
        <f ca="1">IFERROR(__xludf.DUMMYFUNCTION("""COMPUTED_VALUE"""),"numeric")</f>
        <v>numeric</v>
      </c>
      <c r="F11" s="1" t="str">
        <f ca="1">IFERROR(__xludf.DUMMYFUNCTION("""COMPUTED_VALUE"""),"mm")</f>
        <v>mm</v>
      </c>
      <c r="G11" s="1" t="str">
        <f ca="1">IFERROR(__xludf.DUMMYFUNCTION("""COMPUTED_VALUE"""),".na")</f>
        <v>.na</v>
      </c>
      <c r="H11" s="1"/>
      <c r="I11" s="1"/>
      <c r="J11" s="1" t="str">
        <f ca="1">IFERROR(__xludf.DUMMYFUNCTION("""COMPUTED_VALUE"""),"Measurement from the beginning of the phalanx of finger to the beginning of 
the claw")</f>
        <v>Measurement from the beginning of the phalanx of finger to the beginning of 
the claw</v>
      </c>
      <c r="K11" s="1" t="str">
        <f ca="1">IFERROR(__xludf.DUMMYFUNCTION("""COMPUTED_VALUE"""),"FM, BC")</f>
        <v>FM, BC</v>
      </c>
      <c r="L11" s="8" t="str">
        <f ca="1">IFERROR(__xludf.DUMMYFUNCTION("""COMPUTED_VALUE"""),"https://doi.org/10.11606/1807-0205/2021.61.24")</f>
        <v>https://doi.org/10.11606/1807-0205/2021.61.24</v>
      </c>
      <c r="M11" s="1" t="str">
        <f ca="1">IFERROR(__xludf.DUMMYFUNCTION("""COMPUTED_VALUE"""),"Castillo-Figueroa_2021")</f>
        <v>Castillo-Figueroa_2021</v>
      </c>
    </row>
    <row r="12" spans="1:39" ht="13.2">
      <c r="A12" s="1" t="str">
        <f ca="1">IFERROR(__xludf.DUMMYFUNCTION("""COMPUTED_VALUE"""),"Length of the pollex with claw")</f>
        <v>Length of the pollex with claw</v>
      </c>
      <c r="B12" s="1"/>
      <c r="C12" s="1"/>
      <c r="D12" s="1"/>
      <c r="E12" s="1" t="str">
        <f ca="1">IFERROR(__xludf.DUMMYFUNCTION("""COMPUTED_VALUE"""),"numeric")</f>
        <v>numeric</v>
      </c>
      <c r="F12" s="1" t="str">
        <f ca="1">IFERROR(__xludf.DUMMYFUNCTION("""COMPUTED_VALUE"""),"mm")</f>
        <v>mm</v>
      </c>
      <c r="G12" s="1" t="str">
        <f ca="1">IFERROR(__xludf.DUMMYFUNCTION("""COMPUTED_VALUE"""),".na")</f>
        <v>.na</v>
      </c>
      <c r="H12" s="1"/>
      <c r="I12" s="1"/>
      <c r="J12" s="1" t="str">
        <f ca="1">IFERROR(__xludf.DUMMYFUNCTION("""COMPUTED_VALUE"""),"Measurement from the beginning of the phalanx of the thumb to the tip of 
the claw")</f>
        <v>Measurement from the beginning of the phalanx of the thumb to the tip of 
the claw</v>
      </c>
      <c r="K12" s="1" t="str">
        <f ca="1">IFERROR(__xludf.DUMMYFUNCTION("""COMPUTED_VALUE"""),"FM, BC")</f>
        <v>FM, BC</v>
      </c>
      <c r="L12" s="8" t="str">
        <f ca="1">IFERROR(__xludf.DUMMYFUNCTION("""COMPUTED_VALUE"""),"https://doi.org/10.11606/1807-0205/2021.61.24")</f>
        <v>https://doi.org/10.11606/1807-0205/2021.61.24</v>
      </c>
      <c r="M12" s="1" t="str">
        <f ca="1">IFERROR(__xludf.DUMMYFUNCTION("""COMPUTED_VALUE"""),"Castillo-Figueroa_2021")</f>
        <v>Castillo-Figueroa_2021</v>
      </c>
    </row>
    <row r="13" spans="1:39" ht="13.2">
      <c r="A13" s="1" t="str">
        <f ca="1">IFERROR(__xludf.DUMMYFUNCTION("""COMPUTED_VALUE"""),"Length of the foot without claw")</f>
        <v>Length of the foot without claw</v>
      </c>
      <c r="B13" s="1"/>
      <c r="C13" s="1"/>
      <c r="D13" s="1"/>
      <c r="E13" s="1" t="str">
        <f ca="1">IFERROR(__xludf.DUMMYFUNCTION("""COMPUTED_VALUE"""),"numeric")</f>
        <v>numeric</v>
      </c>
      <c r="F13" s="1" t="str">
        <f ca="1">IFERROR(__xludf.DUMMYFUNCTION("""COMPUTED_VALUE"""),"mm")</f>
        <v>mm</v>
      </c>
      <c r="G13" s="1" t="str">
        <f ca="1">IFERROR(__xludf.DUMMYFUNCTION("""COMPUTED_VALUE"""),".na")</f>
        <v>.na</v>
      </c>
      <c r="H13" s="1"/>
      <c r="I13" s="1"/>
      <c r="J13" s="1" t="str">
        <f ca="1">IFERROR(__xludf.DUMMYFUNCTION("""COMPUTED_VALUE"""),"Measurement from the joint with the tibia to the beginning of the claws")</f>
        <v>Measurement from the joint with the tibia to the beginning of the claws</v>
      </c>
      <c r="K13" s="1" t="str">
        <f ca="1">IFERROR(__xludf.DUMMYFUNCTION("""COMPUTED_VALUE"""),"FM, BC")</f>
        <v>FM, BC</v>
      </c>
      <c r="L13" s="8" t="str">
        <f ca="1">IFERROR(__xludf.DUMMYFUNCTION("""COMPUTED_VALUE"""),"https://doi.org/10.11606/1807-0205/2021.61.24")</f>
        <v>https://doi.org/10.11606/1807-0205/2021.61.24</v>
      </c>
      <c r="M13" s="1" t="str">
        <f ca="1">IFERROR(__xludf.DUMMYFUNCTION("""COMPUTED_VALUE"""),"Castillo-Figueroa_2021")</f>
        <v>Castillo-Figueroa_2021</v>
      </c>
    </row>
    <row r="14" spans="1:39" ht="13.2">
      <c r="A14" s="1" t="str">
        <f ca="1">IFERROR(__xludf.DUMMYFUNCTION("""COMPUTED_VALUE"""),"length of the foot with claw")</f>
        <v>length of the foot with claw</v>
      </c>
      <c r="B14" s="1"/>
      <c r="C14" s="1"/>
      <c r="D14" s="1"/>
      <c r="E14" s="1" t="str">
        <f ca="1">IFERROR(__xludf.DUMMYFUNCTION("""COMPUTED_VALUE"""),"numeric")</f>
        <v>numeric</v>
      </c>
      <c r="F14" s="1" t="str">
        <f ca="1">IFERROR(__xludf.DUMMYFUNCTION("""COMPUTED_VALUE"""),"mm")</f>
        <v>mm</v>
      </c>
      <c r="G14" s="1" t="str">
        <f ca="1">IFERROR(__xludf.DUMMYFUNCTION("""COMPUTED_VALUE"""),".na")</f>
        <v>.na</v>
      </c>
      <c r="H14" s="1"/>
      <c r="I14" s="1"/>
      <c r="J14" s="1" t="str">
        <f ca="1">IFERROR(__xludf.DUMMYFUNCTION("""COMPUTED_VALUE"""),"Measurement from the tibia joint to the tip of the claw")</f>
        <v>Measurement from the tibia joint to the tip of the claw</v>
      </c>
      <c r="K14" s="1" t="str">
        <f ca="1">IFERROR(__xludf.DUMMYFUNCTION("""COMPUTED_VALUE"""),"FM, BC")</f>
        <v>FM, BC</v>
      </c>
      <c r="L14" s="8" t="str">
        <f ca="1">IFERROR(__xludf.DUMMYFUNCTION("""COMPUTED_VALUE"""),"https://doi.org/10.11606/1807-0205/2021.61.24")</f>
        <v>https://doi.org/10.11606/1807-0205/2021.61.24</v>
      </c>
      <c r="M14" s="1" t="str">
        <f ca="1">IFERROR(__xludf.DUMMYFUNCTION("""COMPUTED_VALUE"""),"Castillo-Figueroa_2021")</f>
        <v>Castillo-Figueroa_2021</v>
      </c>
    </row>
    <row r="15" spans="1:39" ht="13.2">
      <c r="A15" s="1" t="str">
        <f ca="1">IFERROR(__xludf.DUMMYFUNCTION("""COMPUTED_VALUE"""),"Length of the tibia")</f>
        <v>Length of the tibia</v>
      </c>
      <c r="B15" s="1"/>
      <c r="C15" s="1"/>
      <c r="D15" s="1"/>
      <c r="E15" s="1" t="str">
        <f ca="1">IFERROR(__xludf.DUMMYFUNCTION("""COMPUTED_VALUE"""),"numeric")</f>
        <v>numeric</v>
      </c>
      <c r="F15" s="1" t="str">
        <f ca="1">IFERROR(__xludf.DUMMYFUNCTION("""COMPUTED_VALUE"""),"mm")</f>
        <v>mm</v>
      </c>
      <c r="G15" s="1" t="str">
        <f ca="1">IFERROR(__xludf.DUMMYFUNCTION("""COMPUTED_VALUE"""),".na")</f>
        <v>.na</v>
      </c>
      <c r="H15" s="1"/>
      <c r="I15" s="1"/>
      <c r="J15" s="1" t="str">
        <f ca="1">IFERROR(__xludf.DUMMYFUNCTION("""COMPUTED_VALUE"""),"Measurement from the joint with the femur to the joint with the foot")</f>
        <v>Measurement from the joint with the femur to the joint with the foot</v>
      </c>
      <c r="K15" s="1" t="str">
        <f ca="1">IFERROR(__xludf.DUMMYFUNCTION("""COMPUTED_VALUE"""),"FM, BC")</f>
        <v>FM, BC</v>
      </c>
      <c r="L15" s="8" t="str">
        <f ca="1">IFERROR(__xludf.DUMMYFUNCTION("""COMPUTED_VALUE"""),"https://doi.org/10.11606/1807-0205/2021.61.24")</f>
        <v>https://doi.org/10.11606/1807-0205/2021.61.24</v>
      </c>
      <c r="M15" s="1" t="str">
        <f ca="1">IFERROR(__xludf.DUMMYFUNCTION("""COMPUTED_VALUE"""),"Castillo-Figueroa_2021")</f>
        <v>Castillo-Figueroa_2021</v>
      </c>
    </row>
    <row r="16" spans="1:39" ht="13.2">
      <c r="A16" s="1" t="str">
        <f ca="1">IFERROR(__xludf.DUMMYFUNCTION("""COMPUTED_VALUE"""),"Length of calcaneus")</f>
        <v>Length of calcaneus</v>
      </c>
      <c r="B16" s="1"/>
      <c r="C16" s="1"/>
      <c r="D16" s="1"/>
      <c r="E16" s="1" t="str">
        <f ca="1">IFERROR(__xludf.DUMMYFUNCTION("""COMPUTED_VALUE"""),"numeric")</f>
        <v>numeric</v>
      </c>
      <c r="F16" s="1" t="str">
        <f ca="1">IFERROR(__xludf.DUMMYFUNCTION("""COMPUTED_VALUE"""),"mm")</f>
        <v>mm</v>
      </c>
      <c r="G16" s="1" t="str">
        <f ca="1">IFERROR(__xludf.DUMMYFUNCTION("""COMPUTED_VALUE"""),".na")</f>
        <v>.na</v>
      </c>
      <c r="H16" s="1"/>
      <c r="I16" s="1"/>
      <c r="J16" s="1" t="str">
        <f ca="1">IFERROR(__xludf.DUMMYFUNCTION("""COMPUTED_VALUE"""),"Measure from the base of the calcaneus to the tip of it")</f>
        <v>Measure from the base of the calcaneus to the tip of it</v>
      </c>
      <c r="K16" s="1" t="str">
        <f ca="1">IFERROR(__xludf.DUMMYFUNCTION("""COMPUTED_VALUE"""),"FM, BC")</f>
        <v>FM, BC</v>
      </c>
      <c r="L16" s="8" t="str">
        <f ca="1">IFERROR(__xludf.DUMMYFUNCTION("""COMPUTED_VALUE"""),"https://doi.org/10.11606/1807-0205/2021.61.24")</f>
        <v>https://doi.org/10.11606/1807-0205/2021.61.24</v>
      </c>
      <c r="M16" s="1" t="str">
        <f ca="1">IFERROR(__xludf.DUMMYFUNCTION("""COMPUTED_VALUE"""),"Castillo-Figueroa_2021")</f>
        <v>Castillo-Figueroa_2021</v>
      </c>
    </row>
    <row r="17" spans="1:13" ht="13.2">
      <c r="A17" s="1" t="str">
        <f ca="1">IFERROR(__xludf.DUMMYFUNCTION("""COMPUTED_VALUE"""),"Length of the ear")</f>
        <v>Length of the ear</v>
      </c>
      <c r="B17" s="1"/>
      <c r="C17" s="1"/>
      <c r="D17" s="1"/>
      <c r="E17" s="1" t="str">
        <f ca="1">IFERROR(__xludf.DUMMYFUNCTION("""COMPUTED_VALUE"""),"numeric")</f>
        <v>numeric</v>
      </c>
      <c r="F17" s="1" t="str">
        <f ca="1">IFERROR(__xludf.DUMMYFUNCTION("""COMPUTED_VALUE"""),"mm")</f>
        <v>mm</v>
      </c>
      <c r="G17" s="1" t="str">
        <f ca="1">IFERROR(__xludf.DUMMYFUNCTION("""COMPUTED_VALUE"""),".na")</f>
        <v>.na</v>
      </c>
      <c r="H17" s="1"/>
      <c r="I17" s="1"/>
      <c r="J17" s="1" t="str">
        <f ca="1">IFERROR(__xludf.DUMMYFUNCTION("""COMPUTED_VALUE"""),"Measure from the base of the ear to its most apical region")</f>
        <v>Measure from the base of the ear to its most apical region</v>
      </c>
      <c r="K17" s="1" t="str">
        <f ca="1">IFERROR(__xludf.DUMMYFUNCTION("""COMPUTED_VALUE"""),"FM")</f>
        <v>FM</v>
      </c>
      <c r="L17" s="8" t="str">
        <f ca="1">IFERROR(__xludf.DUMMYFUNCTION("""COMPUTED_VALUE"""),"https://doi.org/10.11606/1807-0205/2021.61.24")</f>
        <v>https://doi.org/10.11606/1807-0205/2021.61.24</v>
      </c>
      <c r="M17" s="1" t="str">
        <f ca="1">IFERROR(__xludf.DUMMYFUNCTION("""COMPUTED_VALUE"""),"Castillo-Figueroa_2021")</f>
        <v>Castillo-Figueroa_2021</v>
      </c>
    </row>
    <row r="18" spans="1:13" ht="13.2">
      <c r="A18" s="1" t="str">
        <f ca="1">IFERROR(__xludf.DUMMYFUNCTION("""COMPUTED_VALUE"""),"Length of tragus")</f>
        <v>Length of tragus</v>
      </c>
      <c r="B18" s="1"/>
      <c r="C18" s="1"/>
      <c r="D18" s="1"/>
      <c r="E18" s="1" t="str">
        <f ca="1">IFERROR(__xludf.DUMMYFUNCTION("""COMPUTED_VALUE"""),"numeric")</f>
        <v>numeric</v>
      </c>
      <c r="F18" s="1" t="str">
        <f ca="1">IFERROR(__xludf.DUMMYFUNCTION("""COMPUTED_VALUE"""),"mm")</f>
        <v>mm</v>
      </c>
      <c r="G18" s="1" t="str">
        <f ca="1">IFERROR(__xludf.DUMMYFUNCTION("""COMPUTED_VALUE"""),".na")</f>
        <v>.na</v>
      </c>
      <c r="H18" s="1"/>
      <c r="I18" s="1"/>
      <c r="J18" s="1" t="str">
        <f ca="1">IFERROR(__xludf.DUMMYFUNCTION("""COMPUTED_VALUE"""),"Measure from the base to the tip of the structure")</f>
        <v>Measure from the base to the tip of the structure</v>
      </c>
      <c r="K18" s="1" t="str">
        <f ca="1">IFERROR(__xludf.DUMMYFUNCTION("""COMPUTED_VALUE"""),"FM")</f>
        <v>FM</v>
      </c>
      <c r="L18" s="8" t="str">
        <f ca="1">IFERROR(__xludf.DUMMYFUNCTION("""COMPUTED_VALUE"""),"https://doi.org/10.11606/1807-0205/2021.61.24")</f>
        <v>https://doi.org/10.11606/1807-0205/2021.61.24</v>
      </c>
      <c r="M18" s="1" t="str">
        <f ca="1">IFERROR(__xludf.DUMMYFUNCTION("""COMPUTED_VALUE"""),"Castillo-Figueroa_2021")</f>
        <v>Castillo-Figueroa_2021</v>
      </c>
    </row>
    <row r="19" spans="1:13" ht="13.2">
      <c r="A19" s="1" t="str">
        <f ca="1">IFERROR(__xludf.DUMMYFUNCTION("""COMPUTED_VALUE"""),"Length of nose leaf")</f>
        <v>Length of nose leaf</v>
      </c>
      <c r="B19" s="1"/>
      <c r="C19" s="1"/>
      <c r="D19" s="1"/>
      <c r="E19" s="1" t="str">
        <f ca="1">IFERROR(__xludf.DUMMYFUNCTION("""COMPUTED_VALUE"""),"numeric")</f>
        <v>numeric</v>
      </c>
      <c r="F19" s="1" t="str">
        <f ca="1">IFERROR(__xludf.DUMMYFUNCTION("""COMPUTED_VALUE"""),"mm")</f>
        <v>mm</v>
      </c>
      <c r="G19" s="1" t="str">
        <f ca="1">IFERROR(__xludf.DUMMYFUNCTION("""COMPUTED_VALUE"""),".na")</f>
        <v>.na</v>
      </c>
      <c r="H19" s="1"/>
      <c r="I19" s="1"/>
      <c r="J19" s="1" t="str">
        <f ca="1">IFERROR(__xludf.DUMMYFUNCTION("""COMPUTED_VALUE"""),"Measurement from the base of the nasal horseshoe to the tip of the lancet")</f>
        <v>Measurement from the base of the nasal horseshoe to the tip of the lancet</v>
      </c>
      <c r="K19" s="1" t="str">
        <f ca="1">IFERROR(__xludf.DUMMYFUNCTION("""COMPUTED_VALUE"""),"FM, BC")</f>
        <v>FM, BC</v>
      </c>
      <c r="L19" s="8" t="str">
        <f ca="1">IFERROR(__xludf.DUMMYFUNCTION("""COMPUTED_VALUE"""),"https://doi.org/10.11606/1807-0205/2021.61.24")</f>
        <v>https://doi.org/10.11606/1807-0205/2021.61.24</v>
      </c>
      <c r="M19" s="1" t="str">
        <f ca="1">IFERROR(__xludf.DUMMYFUNCTION("""COMPUTED_VALUE"""),"Castillo-Figueroa_2021")</f>
        <v>Castillo-Figueroa_2021</v>
      </c>
    </row>
    <row r="20" spans="1:13" ht="13.2">
      <c r="A20" s="1" t="str">
        <f ca="1">IFERROR(__xludf.DUMMYFUNCTION("""COMPUTED_VALUE"""),"Inner nostril width ratio")</f>
        <v>Inner nostril width ratio</v>
      </c>
      <c r="B20" s="1"/>
      <c r="C20" s="1"/>
      <c r="D20" s="1"/>
      <c r="E20" s="1" t="str">
        <f ca="1">IFERROR(__xludf.DUMMYFUNCTION("""COMPUTED_VALUE"""),"numeric")</f>
        <v>numeric</v>
      </c>
      <c r="F20" s="1" t="str">
        <f ca="1">IFERROR(__xludf.DUMMYFUNCTION("""COMPUTED_VALUE"""),".na")</f>
        <v>.na</v>
      </c>
      <c r="G20" s="1" t="str">
        <f ca="1">IFERROR(__xludf.DUMMYFUNCTION("""COMPUTED_VALUE"""),".na")</f>
        <v>.na</v>
      </c>
      <c r="H20" s="1"/>
      <c r="I20" s="1"/>
      <c r="J20" s="1" t="str">
        <f ca="1">IFERROR(__xludf.DUMMYFUNCTION("""COMPUTED_VALUE"""),"Ratio of the cranial width to the inner nostril width")</f>
        <v>Ratio of the cranial width to the inner nostril width</v>
      </c>
      <c r="K20" s="1" t="str">
        <f ca="1">IFERROR(__xludf.DUMMYFUNCTION("""COMPUTED_VALUE"""),"FM, BC")</f>
        <v>FM, BC</v>
      </c>
      <c r="L20" s="8" t="str">
        <f ca="1">IFERROR(__xludf.DUMMYFUNCTION("""COMPUTED_VALUE"""),"https://doi.org/10.11606/1807-0205/2021.61.24")</f>
        <v>https://doi.org/10.11606/1807-0205/2021.61.24</v>
      </c>
      <c r="M20" s="1" t="str">
        <f ca="1">IFERROR(__xludf.DUMMYFUNCTION("""COMPUTED_VALUE"""),"Castillo-Figueroa_2021")</f>
        <v>Castillo-Figueroa_2021</v>
      </c>
    </row>
    <row r="21" spans="1:13" ht="13.2">
      <c r="A21" s="1" t="str">
        <f ca="1">IFERROR(__xludf.DUMMYFUNCTION("""COMPUTED_VALUE"""),"Tail length")</f>
        <v>Tail length</v>
      </c>
      <c r="B21" s="1"/>
      <c r="C21" s="1"/>
      <c r="D21" s="1"/>
      <c r="E21" s="1" t="str">
        <f ca="1">IFERROR(__xludf.DUMMYFUNCTION("""COMPUTED_VALUE"""),"numeric")</f>
        <v>numeric</v>
      </c>
      <c r="F21" s="1" t="str">
        <f ca="1">IFERROR(__xludf.DUMMYFUNCTION("""COMPUTED_VALUE"""),"Value of the trait in millimeters (mm)")</f>
        <v>Value of the trait in millimeters (mm)</v>
      </c>
      <c r="G21" s="1" t="str">
        <f ca="1">IFERROR(__xludf.DUMMYFUNCTION("""COMPUTED_VALUE"""),".na")</f>
        <v>.na</v>
      </c>
      <c r="H21" s="1"/>
      <c r="I21" s="1"/>
      <c r="J21" s="1" t="str">
        <f ca="1">IFERROR(__xludf.DUMMYFUNCTION("""COMPUTED_VALUE"""),"Measurement from the insertion of the tail in the body to its distal end")</f>
        <v>Measurement from the insertion of the tail in the body to its distal end</v>
      </c>
      <c r="K21" s="1" t="str">
        <f ca="1">IFERROR(__xludf.DUMMYFUNCTION("""COMPUTED_VALUE"""),"FM")</f>
        <v>FM</v>
      </c>
      <c r="L21" s="8" t="str">
        <f ca="1">IFERROR(__xludf.DUMMYFUNCTION("""COMPUTED_VALUE"""),"https://doi.org/10.11606/1807-0205/2021.61.24")</f>
        <v>https://doi.org/10.11606/1807-0205/2021.61.24</v>
      </c>
      <c r="M21" s="1" t="str">
        <f ca="1">IFERROR(__xludf.DUMMYFUNCTION("""COMPUTED_VALUE"""),"Castillo-Figueroa_2021")</f>
        <v>Castillo-Figueroa_2021</v>
      </c>
    </row>
    <row r="22" spans="1:13" ht="13.2">
      <c r="A22" s="1" t="str">
        <f ca="1">IFERROR(__xludf.DUMMYFUNCTION("""COMPUTED_VALUE"""),"Uropatagium area")</f>
        <v>Uropatagium area</v>
      </c>
      <c r="B22" s="1"/>
      <c r="C22" s="1"/>
      <c r="D22" s="1"/>
      <c r="E22" s="1" t="str">
        <f ca="1">IFERROR(__xludf.DUMMYFUNCTION("""COMPUTED_VALUE"""),"numeric")</f>
        <v>numeric</v>
      </c>
      <c r="F22" s="1" t="str">
        <f ca="1">IFERROR(__xludf.DUMMYFUNCTION("""COMPUTED_VALUE"""),"Value of the trait in area (m2)")</f>
        <v>Value of the trait in area (m2)</v>
      </c>
      <c r="G22" s="1" t="str">
        <f ca="1">IFERROR(__xludf.DUMMYFUNCTION("""COMPUTED_VALUE"""),".na")</f>
        <v>.na</v>
      </c>
      <c r="H22" s="1"/>
      <c r="I22" s="1"/>
      <c r="J22" s="1" t="str">
        <f ca="1">IFERROR(__xludf.DUMMYFUNCTION("""COMPUTED_VALUE"""),"Measurement of the surface area of the intrafemoral membrane")</f>
        <v>Measurement of the surface area of the intrafemoral membrane</v>
      </c>
      <c r="K22" s="1" t="str">
        <f ca="1">IFERROR(__xludf.DUMMYFUNCTION("""COMPUTED_VALUE"""),"FM")</f>
        <v>FM</v>
      </c>
      <c r="L22" s="8" t="str">
        <f ca="1">IFERROR(__xludf.DUMMYFUNCTION("""COMPUTED_VALUE"""),"https://doi.org/10.11606/1807-0205/2021.61.24")</f>
        <v>https://doi.org/10.11606/1807-0205/2021.61.24</v>
      </c>
      <c r="M22" s="1" t="str">
        <f ca="1">IFERROR(__xludf.DUMMYFUNCTION("""COMPUTED_VALUE"""),"Castillo-Figueroa_2021")</f>
        <v>Castillo-Figueroa_2021</v>
      </c>
    </row>
    <row r="23" spans="1:13" ht="13.2">
      <c r="A23" s="1" t="str">
        <f ca="1">IFERROR(__xludf.DUMMYFUNCTION("""COMPUTED_VALUE"""),"Litters per year")</f>
        <v>Litters per year</v>
      </c>
      <c r="B23" s="1"/>
      <c r="C23" s="1"/>
      <c r="D23" s="1"/>
      <c r="E23" s="1" t="str">
        <f ca="1">IFERROR(__xludf.DUMMYFUNCTION("""COMPUTED_VALUE"""),"numeric")</f>
        <v>numeric</v>
      </c>
      <c r="F23" s="1" t="str">
        <f ca="1">IFERROR(__xludf.DUMMYFUNCTION("""COMPUTED_VALUE"""),"Mean number of litters during a year")</f>
        <v>Mean number of litters during a year</v>
      </c>
      <c r="G23" s="1" t="str">
        <f ca="1">IFERROR(__xludf.DUMMYFUNCTION("""COMPUTED_VALUE"""),".na")</f>
        <v>.na</v>
      </c>
      <c r="H23" s="1"/>
      <c r="I23" s="1"/>
      <c r="J23" s="1" t="str">
        <f ca="1">IFERROR(__xludf.DUMMYFUNCTION("""COMPUTED_VALUE"""),"Number of litters produced per year")</f>
        <v>Number of litters produced per year</v>
      </c>
      <c r="K23" s="1" t="str">
        <f ca="1">IFERROR(__xludf.DUMMYFUNCTION("""COMPUTED_VALUE"""),"FM, SI")</f>
        <v>FM, SI</v>
      </c>
      <c r="L23" s="8" t="str">
        <f ca="1">IFERROR(__xludf.DUMMYFUNCTION("""COMPUTED_VALUE"""),"https://doi.org/10.11606/1807-0205/2021.61.24")</f>
        <v>https://doi.org/10.11606/1807-0205/2021.61.24</v>
      </c>
      <c r="M23" s="1" t="str">
        <f ca="1">IFERROR(__xludf.DUMMYFUNCTION("""COMPUTED_VALUE"""),"Castillo-Figueroa_2021")</f>
        <v>Castillo-Figueroa_2021</v>
      </c>
    </row>
    <row r="24" spans="1:13" ht="13.2">
      <c r="A24" s="1" t="str">
        <f ca="1">IFERROR(__xludf.DUMMYFUNCTION("""COMPUTED_VALUE"""),"Litter size")</f>
        <v>Litter size</v>
      </c>
      <c r="B24" s="1"/>
      <c r="C24" s="1"/>
      <c r="D24" s="1"/>
      <c r="E24" s="1" t="str">
        <f ca="1">IFERROR(__xludf.DUMMYFUNCTION("""COMPUTED_VALUE"""),"numeric")</f>
        <v>numeric</v>
      </c>
      <c r="F24" s="1" t="str">
        <f ca="1">IFERROR(__xludf.DUMMYFUNCTION("""COMPUTED_VALUE"""),"Mean number of pups per litter")</f>
        <v>Mean number of pups per litter</v>
      </c>
      <c r="G24" s="1" t="str">
        <f ca="1">IFERROR(__xludf.DUMMYFUNCTION("""COMPUTED_VALUE"""),".na")</f>
        <v>.na</v>
      </c>
      <c r="H24" s="1"/>
      <c r="I24" s="1"/>
      <c r="J24" s="1" t="str">
        <f ca="1">IFERROR(__xludf.DUMMYFUNCTION("""COMPUTED_VALUE"""),"Number of pups produced per litter")</f>
        <v>Number of pups produced per litter</v>
      </c>
      <c r="K24" s="1" t="str">
        <f ca="1">IFERROR(__xludf.DUMMYFUNCTION("""COMPUTED_VALUE"""),"FM, SI")</f>
        <v>FM, SI</v>
      </c>
      <c r="L24" s="8" t="str">
        <f ca="1">IFERROR(__xludf.DUMMYFUNCTION("""COMPUTED_VALUE"""),"https://doi.org/10.11606/1807-0205/2021.61.24")</f>
        <v>https://doi.org/10.11606/1807-0205/2021.61.24</v>
      </c>
      <c r="M24" s="1" t="str">
        <f ca="1">IFERROR(__xludf.DUMMYFUNCTION("""COMPUTED_VALUE"""),"Castillo-Figueroa_2021")</f>
        <v>Castillo-Figueroa_2021</v>
      </c>
    </row>
    <row r="25" spans="1:13" ht="13.2">
      <c r="A25" s="1" t="str">
        <f ca="1">IFERROR(__xludf.DUMMYFUNCTION("""COMPUTED_VALUE"""),"Gestation duration")</f>
        <v>Gestation duration</v>
      </c>
      <c r="B25" s="1"/>
      <c r="C25" s="1"/>
      <c r="D25" s="1"/>
      <c r="E25" s="1" t="str">
        <f ca="1">IFERROR(__xludf.DUMMYFUNCTION("""COMPUTED_VALUE"""),"numeric")</f>
        <v>numeric</v>
      </c>
      <c r="F25" s="1" t="str">
        <f ca="1">IFERROR(__xludf.DUMMYFUNCTION("""COMPUTED_VALUE"""),"Mean days in pregnancy")</f>
        <v>Mean days in pregnancy</v>
      </c>
      <c r="G25" s="1" t="str">
        <f ca="1">IFERROR(__xludf.DUMMYFUNCTION("""COMPUTED_VALUE"""),".na")</f>
        <v>.na</v>
      </c>
      <c r="H25" s="1"/>
      <c r="I25" s="1"/>
      <c r="J25" s="1" t="str">
        <f ca="1">IFERROR(__xludf.DUMMYFUNCTION("""COMPUTED_VALUE"""),"Length of the pregnancy expressed in days")</f>
        <v>Length of the pregnancy expressed in days</v>
      </c>
      <c r="K25" s="1" t="str">
        <f ca="1">IFERROR(__xludf.DUMMYFUNCTION("""COMPUTED_VALUE"""),"FM, SI")</f>
        <v>FM, SI</v>
      </c>
      <c r="L25" s="8" t="str">
        <f ca="1">IFERROR(__xludf.DUMMYFUNCTION("""COMPUTED_VALUE"""),"https://doi.org/10.11606/1807-0205/2021.61.24")</f>
        <v>https://doi.org/10.11606/1807-0205/2021.61.24</v>
      </c>
      <c r="M25" s="1" t="str">
        <f ca="1">IFERROR(__xludf.DUMMYFUNCTION("""COMPUTED_VALUE"""),"Castillo-Figueroa_2021")</f>
        <v>Castillo-Figueroa_2021</v>
      </c>
    </row>
    <row r="26" spans="1:13" ht="13.2">
      <c r="A26" s="1" t="str">
        <f ca="1">IFERROR(__xludf.DUMMYFUNCTION("""COMPUTED_VALUE"""),"Lactation duration")</f>
        <v>Lactation duration</v>
      </c>
      <c r="B26" s="1"/>
      <c r="C26" s="1"/>
      <c r="D26" s="1"/>
      <c r="E26" s="1" t="str">
        <f ca="1">IFERROR(__xludf.DUMMYFUNCTION("""COMPUTED_VALUE"""),"numeric")</f>
        <v>numeric</v>
      </c>
      <c r="F26" s="1" t="str">
        <f ca="1">IFERROR(__xludf.DUMMYFUNCTION("""COMPUTED_VALUE"""),"Mean days in lactation")</f>
        <v>Mean days in lactation</v>
      </c>
      <c r="G26" s="1" t="str">
        <f ca="1">IFERROR(__xludf.DUMMYFUNCTION("""COMPUTED_VALUE"""),".na")</f>
        <v>.na</v>
      </c>
      <c r="H26" s="1"/>
      <c r="I26" s="1"/>
      <c r="J26" s="1" t="str">
        <f ca="1">IFERROR(__xludf.DUMMYFUNCTION("""COMPUTED_VALUE"""),"Length of the lactation expressed in days")</f>
        <v>Length of the lactation expressed in days</v>
      </c>
      <c r="K26" s="1" t="str">
        <f ca="1">IFERROR(__xludf.DUMMYFUNCTION("""COMPUTED_VALUE"""),"FM, SI")</f>
        <v>FM, SI</v>
      </c>
      <c r="L26" s="8" t="str">
        <f ca="1">IFERROR(__xludf.DUMMYFUNCTION("""COMPUTED_VALUE"""),"https://doi.org/10.11606/1807-0205/2021.61.24")</f>
        <v>https://doi.org/10.11606/1807-0205/2021.61.24</v>
      </c>
      <c r="M26" s="1" t="str">
        <f ca="1">IFERROR(__xludf.DUMMYFUNCTION("""COMPUTED_VALUE"""),"Castillo-Figueroa_2021")</f>
        <v>Castillo-Figueroa_2021</v>
      </c>
    </row>
    <row r="27" spans="1:13" ht="13.2">
      <c r="A27" s="1" t="str">
        <f ca="1">IFERROR(__xludf.DUMMYFUNCTION("""COMPUTED_VALUE"""),"Reproductive status")</f>
        <v>Reproductive status</v>
      </c>
      <c r="B27" s="1"/>
      <c r="C27" s="1"/>
      <c r="D27" s="1"/>
      <c r="E27" s="1" t="str">
        <f ca="1">IFERROR(__xludf.DUMMYFUNCTION("""COMPUTED_VALUE"""),"categorical")</f>
        <v>categorical</v>
      </c>
      <c r="F27" s="1" t="str">
        <f ca="1">IFERROR(__xludf.DUMMYFUNCTION("""COMPUTED_VALUE"""),".na")</f>
        <v>.na</v>
      </c>
      <c r="G27" s="1" t="str">
        <f ca="1">IFERROR(__xludf.DUMMYFUNCTION("""COMPUTED_VALUE"""),"For females the frequencies or population averages of each stage: 
Proestrus. Estrus. Metestrus. Anestrus. For males the frequencies or 
population averages of: Scrotted males Non-scrotted males")</f>
        <v>For females the frequencies or population averages of each stage: 
Proestrus. Estrus. Metestrus. Anestrus. For males the frequencies or 
population averages of: Scrotted males Non-scrotted males</v>
      </c>
      <c r="H27" s="1" t="str">
        <f ca="1">IFERROR(__xludf.DUMMYFUNCTION("""COMPUTED_VALUE"""),".na")</f>
        <v>.na</v>
      </c>
      <c r="I27" s="1" t="str">
        <f ca="1">IFERROR(__xludf.DUMMYFUNCTION("""COMPUTED_VALUE"""),".na")</f>
        <v>.na</v>
      </c>
      <c r="J27" s="1" t="str">
        <f ca="1">IFERROR(__xludf.DUMMYFUNCTION("""COMPUTED_VALUE"""),"Reproductive stage that involves hormonal concentration (progesterone and 
estradiol peaks) and physiological changes in females (corpus luteum and 
ovarian follicle). Vaginal smears can reveal superficial nucleated cells 
(proestrus), superficial non-nuc"&amp;"leated cells parabasal (estrus), 
intermediate cells (metestrus) and parabasal cells (anestrus) in bat 
females. Females can be considered reproductive when they presented a 
dominance in proestrus, estrus, and metestrus. By contrast, 
non-reproductive fe"&amp;"males are when the dominant stage is anestrus. This can 
be measured individually and can also be expressed in frequencies or 
population averages of each stage. For males, reproductive status can be 
determined by examining testes (scrotted or not), thus"&amp;" obtaining 
frequencies or population averages of each condition.")</f>
        <v>Reproductive stage that involves hormonal concentration (progesterone and 
estradiol peaks) and physiological changes in females (corpus luteum and 
ovarian follicle). Vaginal smears can reveal superficial nucleated cells 
(proestrus), superficial non-nucleated cells parabasal (estrus), 
intermediate cells (metestrus) and parabasal cells (anestrus) in bat 
females. Females can be considered reproductive when they presented a 
dominance in proestrus, estrus, and metestrus. By contrast, 
non-reproductive females are when the dominant stage is anestrus. This can 
be measured individually and can also be expressed in frequencies or 
population averages of each stage. For males, reproductive status can be 
determined by examining testes (scrotted or not), thus obtaining 
frequencies or population averages of each condition.</v>
      </c>
      <c r="K27" s="1" t="str">
        <f ca="1">IFERROR(__xludf.DUMMYFUNCTION("""COMPUTED_VALUE"""),"FM")</f>
        <v>FM</v>
      </c>
      <c r="L27" s="8" t="str">
        <f ca="1">IFERROR(__xludf.DUMMYFUNCTION("""COMPUTED_VALUE"""),"https://doi.org/10.11606/1807-0205/2021.61.24")</f>
        <v>https://doi.org/10.11606/1807-0205/2021.61.24</v>
      </c>
      <c r="M27" s="1" t="str">
        <f ca="1">IFERROR(__xludf.DUMMYFUNCTION("""COMPUTED_VALUE"""),"Castillo-Figueroa_2021")</f>
        <v>Castillo-Figueroa_2021</v>
      </c>
    </row>
    <row r="28" spans="1:13" ht="13.2">
      <c r="A28" s="1" t="str">
        <f ca="1">IFERROR(__xludf.DUMMYFUNCTION("""COMPUTED_VALUE"""),"Sexual maturity age")</f>
        <v>Sexual maturity age</v>
      </c>
      <c r="B28" s="1"/>
      <c r="C28" s="1"/>
      <c r="D28" s="1"/>
      <c r="E28" s="1" t="str">
        <f ca="1">IFERROR(__xludf.DUMMYFUNCTION("""COMPUTED_VALUE"""),"numeric")</f>
        <v>numeric</v>
      </c>
      <c r="F28" s="1" t="str">
        <f ca="1">IFERROR(__xludf.DUMMYFUNCTION("""COMPUTED_VALUE"""),"Mean number of years")</f>
        <v>Mean number of years</v>
      </c>
      <c r="G28" s="1" t="str">
        <f ca="1">IFERROR(__xludf.DUMMYFUNCTION("""COMPUTED_VALUE"""),".na")</f>
        <v>.na</v>
      </c>
      <c r="H28" s="1"/>
      <c r="I28" s="1"/>
      <c r="J28" s="1" t="str">
        <f ca="1">IFERROR(__xludf.DUMMYFUNCTION("""COMPUTED_VALUE"""),"Age at first reproductive event (adult)")</f>
        <v>Age at first reproductive event (adult)</v>
      </c>
      <c r="K28" s="1" t="str">
        <f ca="1">IFERROR(__xludf.DUMMYFUNCTION("""COMPUTED_VALUE"""),"FM, SI")</f>
        <v>FM, SI</v>
      </c>
      <c r="L28" s="8" t="str">
        <f ca="1">IFERROR(__xludf.DUMMYFUNCTION("""COMPUTED_VALUE"""),"https://doi.org/10.11606/1807-0205/2021.61.24")</f>
        <v>https://doi.org/10.11606/1807-0205/2021.61.24</v>
      </c>
      <c r="M28" s="1" t="str">
        <f ca="1">IFERROR(__xludf.DUMMYFUNCTION("""COMPUTED_VALUE"""),"Castillo-Figueroa_2021")</f>
        <v>Castillo-Figueroa_2021</v>
      </c>
    </row>
    <row r="29" spans="1:13" ht="13.2">
      <c r="A29" s="1" t="str">
        <f ca="1">IFERROR(__xludf.DUMMYFUNCTION("""COMPUTED_VALUE"""),"Mating systems")</f>
        <v>Mating systems</v>
      </c>
      <c r="B29" s="1"/>
      <c r="C29" s="1"/>
      <c r="D29" s="1"/>
      <c r="E29" s="1" t="str">
        <f ca="1">IFERROR(__xludf.DUMMYFUNCTION("""COMPUTED_VALUE"""),"categorical")</f>
        <v>categorical</v>
      </c>
      <c r="F29" s="1" t="str">
        <f ca="1">IFERROR(__xludf.DUMMYFUNCTION("""COMPUTED_VALUE"""),".na")</f>
        <v>.na</v>
      </c>
      <c r="G29" s="1" t="str">
        <f ca="1">IFERROR(__xludf.DUMMYFUNCTION("""COMPUTED_VALUE"""),"Monogamic; Polygyny; Polyandry; Promiscuty")</f>
        <v>Monogamic; Polygyny; Polyandry; Promiscuty</v>
      </c>
      <c r="H29" s="1" t="str">
        <f ca="1">IFERROR(__xludf.DUMMYFUNCTION("""COMPUTED_VALUE"""),".na")</f>
        <v>.na</v>
      </c>
      <c r="I29" s="1" t="str">
        <f ca="1">IFERROR(__xludf.DUMMYFUNCTION("""COMPUTED_VALUE"""),".na")</f>
        <v>.na</v>
      </c>
      <c r="J29" s="1" t="str">
        <f ca="1">IFERROR(__xludf.DUMMYFUNCTION("""COMPUTED_VALUE"""),"All the potential combinations between bats to find mate and copulate 
during reproductive season")</f>
        <v>All the potential combinations between bats to find mate and copulate 
during reproductive season</v>
      </c>
      <c r="K29" s="1" t="str">
        <f ca="1">IFERROR(__xludf.DUMMYFUNCTION("""COMPUTED_VALUE"""),"FM, SI")</f>
        <v>FM, SI</v>
      </c>
      <c r="L29" s="8" t="str">
        <f ca="1">IFERROR(__xludf.DUMMYFUNCTION("""COMPUTED_VALUE"""),"https://doi.org/10.11606/1807-0205/2021.61.24")</f>
        <v>https://doi.org/10.11606/1807-0205/2021.61.24</v>
      </c>
      <c r="M29" s="1" t="str">
        <f ca="1">IFERROR(__xludf.DUMMYFUNCTION("""COMPUTED_VALUE"""),"Castillo-Figueroa_2021")</f>
        <v>Castillo-Figueroa_2021</v>
      </c>
    </row>
    <row r="30" spans="1:13" ht="13.2">
      <c r="A30" s="1" t="str">
        <f ca="1">IFERROR(__xludf.DUMMYFUNCTION("""COMPUTED_VALUE"""),"Digestive capactiy")</f>
        <v>Digestive capactiy</v>
      </c>
      <c r="B30" s="1"/>
      <c r="C30" s="1"/>
      <c r="D30" s="1"/>
      <c r="E30" s="1" t="str">
        <f ca="1">IFERROR(__xludf.DUMMYFUNCTION("""COMPUTED_VALUE"""),"numeric")</f>
        <v>numeric</v>
      </c>
      <c r="F30" s="1" t="str">
        <f ca="1">IFERROR(__xludf.DUMMYFUNCTION("""COMPUTED_VALUE"""),"Food intake response")</f>
        <v>Food intake response</v>
      </c>
      <c r="G30" s="1" t="str">
        <f ca="1">IFERROR(__xludf.DUMMYFUNCTION("""COMPUTED_VALUE"""),".na")</f>
        <v>.na</v>
      </c>
      <c r="H30" s="1"/>
      <c r="I30" s="1"/>
      <c r="J30" s="1" t="str">
        <f ca="1">IFERROR(__xludf.DUMMYFUNCTION("""COMPUTED_VALUE"""),"Bat capacity to obtain nutrients when consumption item differ in nutrient 
quality. Food intake response is defined as the relationship (following 
power function) between volumetric food intake and nutrient concentration")</f>
        <v>Bat capacity to obtain nutrients when consumption item differ in nutrient 
quality. Food intake response is defined as the relationship (following 
power function) between volumetric food intake and nutrient concentration</v>
      </c>
      <c r="K30" s="1" t="str">
        <f ca="1">IFERROR(__xludf.DUMMYFUNCTION("""COMPUTED_VALUE"""),"LE")</f>
        <v>LE</v>
      </c>
      <c r="L30" s="8" t="str">
        <f ca="1">IFERROR(__xludf.DUMMYFUNCTION("""COMPUTED_VALUE"""),"https://doi.org/10.11606/1807-0205/2021.61.24")</f>
        <v>https://doi.org/10.11606/1807-0205/2021.61.24</v>
      </c>
      <c r="M30" s="1" t="str">
        <f ca="1">IFERROR(__xludf.DUMMYFUNCTION("""COMPUTED_VALUE"""),"Castillo-Figueroa_2021")</f>
        <v>Castillo-Figueroa_2021</v>
      </c>
    </row>
    <row r="31" spans="1:13" ht="13.2">
      <c r="A31" s="1" t="str">
        <f ca="1">IFERROR(__xludf.DUMMYFUNCTION("""COMPUTED_VALUE"""),"Gut size")</f>
        <v>Gut size</v>
      </c>
      <c r="B31" s="1"/>
      <c r="C31" s="1"/>
      <c r="D31" s="1"/>
      <c r="E31" s="1" t="str">
        <f ca="1">IFERROR(__xludf.DUMMYFUNCTION("""COMPUTED_VALUE"""),"numeric")</f>
        <v>numeric</v>
      </c>
      <c r="F31" s="1" t="str">
        <f ca="1">IFERROR(__xludf.DUMMYFUNCTION("""COMPUTED_VALUE"""),"cm2")</f>
        <v>cm2</v>
      </c>
      <c r="G31" s="1" t="str">
        <f ca="1">IFERROR(__xludf.DUMMYFUNCTION("""COMPUTED_VALUE"""),".na")</f>
        <v>.na</v>
      </c>
      <c r="H31" s="1"/>
      <c r="I31" s="1"/>
      <c r="J31" s="1" t="str">
        <f ca="1">IFERROR(__xludf.DUMMYFUNCTION("""COMPUTED_VALUE"""),"Gut area of the total gut. Mean surface area.")</f>
        <v>Gut area of the total gut. Mean surface area.</v>
      </c>
      <c r="K31" s="1" t="str">
        <f ca="1">IFERROR(__xludf.DUMMYFUNCTION("""COMPUTED_VALUE"""),"BC")</f>
        <v>BC</v>
      </c>
      <c r="L31" s="8" t="str">
        <f ca="1">IFERROR(__xludf.DUMMYFUNCTION("""COMPUTED_VALUE"""),"https://doi.org/10.11606/1807-0205/2021.61.24")</f>
        <v>https://doi.org/10.11606/1807-0205/2021.61.24</v>
      </c>
      <c r="M31" s="1" t="str">
        <f ca="1">IFERROR(__xludf.DUMMYFUNCTION("""COMPUTED_VALUE"""),"Castillo-Figueroa_2021")</f>
        <v>Castillo-Figueroa_2021</v>
      </c>
    </row>
    <row r="32" spans="1:13" ht="13.2">
      <c r="A32" s="1" t="str">
        <f ca="1">IFERROR(__xludf.DUMMYFUNCTION("""COMPUTED_VALUE"""),"Gut retention time of seeds")</f>
        <v>Gut retention time of seeds</v>
      </c>
      <c r="B32" s="1"/>
      <c r="C32" s="1"/>
      <c r="D32" s="1"/>
      <c r="E32" s="1" t="str">
        <f ca="1">IFERROR(__xludf.DUMMYFUNCTION("""COMPUTED_VALUE"""),"numeric")</f>
        <v>numeric</v>
      </c>
      <c r="F32" s="1" t="str">
        <f ca="1">IFERROR(__xludf.DUMMYFUNCTION("""COMPUTED_VALUE"""),"minutes")</f>
        <v>minutes</v>
      </c>
      <c r="G32" s="1" t="str">
        <f ca="1">IFERROR(__xludf.DUMMYFUNCTION("""COMPUTED_VALUE"""),".na")</f>
        <v>.na</v>
      </c>
      <c r="H32" s="1"/>
      <c r="I32" s="1"/>
      <c r="J32" s="1" t="str">
        <f ca="1">IFERROR(__xludf.DUMMYFUNCTION("""COMPUTED_VALUE"""),"Time that the seeds are retained inside the gut of the bat until is 
expelled by feces. Mean number of time.")</f>
        <v>Time that the seeds are retained inside the gut of the bat until is 
expelled by feces. Mean number of time.</v>
      </c>
      <c r="K32" s="1" t="str">
        <f ca="1">IFERROR(__xludf.DUMMYFUNCTION("""COMPUTED_VALUE"""),"LE")</f>
        <v>LE</v>
      </c>
      <c r="L32" s="8" t="str">
        <f ca="1">IFERROR(__xludf.DUMMYFUNCTION("""COMPUTED_VALUE"""),"https://doi.org/10.11606/1807-0205/2021.61.24")</f>
        <v>https://doi.org/10.11606/1807-0205/2021.61.24</v>
      </c>
      <c r="M32" s="1" t="str">
        <f ca="1">IFERROR(__xludf.DUMMYFUNCTION("""COMPUTED_VALUE"""),"Castillo-Figueroa_2021")</f>
        <v>Castillo-Figueroa_2021</v>
      </c>
    </row>
    <row r="33" spans="1:13" ht="13.2">
      <c r="A33" s="1" t="str">
        <f ca="1">IFERROR(__xludf.DUMMYFUNCTION("""COMPUTED_VALUE"""),"Type of lingual papillae")</f>
        <v>Type of lingual papillae</v>
      </c>
      <c r="B33" s="1"/>
      <c r="C33" s="1"/>
      <c r="D33" s="1"/>
      <c r="E33" s="1" t="str">
        <f ca="1">IFERROR(__xludf.DUMMYFUNCTION("""COMPUTED_VALUE"""),"character")</f>
        <v>character</v>
      </c>
      <c r="F33" s="1" t="str">
        <f ca="1">IFERROR(__xludf.DUMMYFUNCTION("""COMPUTED_VALUE"""),".na")</f>
        <v>.na</v>
      </c>
      <c r="G33" s="1" t="str">
        <f ca="1">IFERROR(__xludf.DUMMYFUNCTION("""COMPUTED_VALUE"""),"Gustative, including vallate and fungiform, or mechanical comprising basal, 
postero-median, scalelike, filiform, foliate, conical, and horny")</f>
        <v>Gustative, including vallate and fungiform, or mechanical comprising basal, 
postero-median, scalelike, filiform, foliate, conical, and horny</v>
      </c>
      <c r="H33" s="1" t="str">
        <f ca="1">IFERROR(__xludf.DUMMYFUNCTION("""COMPUTED_VALUE"""),".na")</f>
        <v>.na</v>
      </c>
      <c r="I33" s="1" t="str">
        <f ca="1">IFERROR(__xludf.DUMMYFUNCTION("""COMPUTED_VALUE"""),".na")</f>
        <v>.na</v>
      </c>
      <c r="J33" s="1" t="str">
        <f ca="1">IFERROR(__xludf.DUMMYFUNCTION("""COMPUTED_VALUE"""),"Shape of the papillae in tongue")</f>
        <v>Shape of the papillae in tongue</v>
      </c>
      <c r="K33" s="1" t="str">
        <f ca="1">IFERROR(__xludf.DUMMYFUNCTION("""COMPUTED_VALUE"""),"BC")</f>
        <v>BC</v>
      </c>
      <c r="L33" s="8" t="str">
        <f ca="1">IFERROR(__xludf.DUMMYFUNCTION("""COMPUTED_VALUE"""),"https://doi.org/10.11606/1807-0205/2021.61.24")</f>
        <v>https://doi.org/10.11606/1807-0205/2021.61.24</v>
      </c>
      <c r="M33" s="1" t="str">
        <f ca="1">IFERROR(__xludf.DUMMYFUNCTION("""COMPUTED_VALUE"""),"Castillo-Figueroa_2021")</f>
        <v>Castillo-Figueroa_2021</v>
      </c>
    </row>
    <row r="34" spans="1:13" ht="13.2">
      <c r="A34" s="1" t="str">
        <f ca="1">IFERROR(__xludf.DUMMYFUNCTION("""COMPUTED_VALUE"""),"Metabolic rate")</f>
        <v>Metabolic rate</v>
      </c>
      <c r="B34" s="1"/>
      <c r="C34" s="1"/>
      <c r="D34" s="1"/>
      <c r="E34" s="1" t="str">
        <f ca="1">IFERROR(__xludf.DUMMYFUNCTION("""COMPUTED_VALUE"""),"numeric")</f>
        <v>numeric</v>
      </c>
      <c r="F34" s="1" t="str">
        <f ca="1">IFERROR(__xludf.DUMMYFUNCTION("""COMPUTED_VALUE"""),"kcal/day")</f>
        <v>kcal/day</v>
      </c>
      <c r="G34" s="1" t="str">
        <f ca="1">IFERROR(__xludf.DUMMYFUNCTION("""COMPUTED_VALUE"""),".na")</f>
        <v>.na</v>
      </c>
      <c r="H34" s="1"/>
      <c r="I34" s="1"/>
      <c r="J34" s="1" t="str">
        <f ca="1">IFERROR(__xludf.DUMMYFUNCTION("""COMPUTED_VALUE"""),"Energy unit per time required by an individual to maintain its basal 
physiological functions. Mean energetic expenditure")</f>
        <v>Energy unit per time required by an individual to maintain its basal 
physiological functions. Mean energetic expenditure</v>
      </c>
      <c r="K34" s="1" t="str">
        <f ca="1">IFERROR(__xludf.DUMMYFUNCTION("""COMPUTED_VALUE"""),"FM, LE")</f>
        <v>FM, LE</v>
      </c>
      <c r="L34" s="8" t="str">
        <f ca="1">IFERROR(__xludf.DUMMYFUNCTION("""COMPUTED_VALUE"""),"https://doi.org/10.11606/1807-0205/2021.61.24")</f>
        <v>https://doi.org/10.11606/1807-0205/2021.61.24</v>
      </c>
      <c r="M34" s="1" t="str">
        <f ca="1">IFERROR(__xludf.DUMMYFUNCTION("""COMPUTED_VALUE"""),"Castillo-Figueroa_2021")</f>
        <v>Castillo-Figueroa_2021</v>
      </c>
    </row>
    <row r="35" spans="1:13" ht="13.2">
      <c r="A35" s="1" t="str">
        <f ca="1">IFERROR(__xludf.DUMMYFUNCTION("""COMPUTED_VALUE"""),"Body temperature")</f>
        <v>Body temperature</v>
      </c>
      <c r="B35" s="1"/>
      <c r="C35" s="1"/>
      <c r="D35" s="1"/>
      <c r="E35" s="1" t="str">
        <f ca="1">IFERROR(__xludf.DUMMYFUNCTION("""COMPUTED_VALUE"""),"numeric")</f>
        <v>numeric</v>
      </c>
      <c r="F35" s="1" t="str">
        <f ca="1">IFERROR(__xludf.DUMMYFUNCTION("""COMPUTED_VALUE"""),"ºC")</f>
        <v>ºC</v>
      </c>
      <c r="G35" s="1" t="str">
        <f ca="1">IFERROR(__xludf.DUMMYFUNCTION("""COMPUTED_VALUE"""),".na")</f>
        <v>.na</v>
      </c>
      <c r="H35" s="1"/>
      <c r="I35" s="1"/>
      <c r="J35" s="1" t="str">
        <f ca="1">IFERROR(__xludf.DUMMYFUNCTION("""COMPUTED_VALUE"""),"Individual capacity to survive at a specific temperature, either hot or 
cold temperatures")</f>
        <v>Individual capacity to survive at a specific temperature, either hot or 
cold temperatures</v>
      </c>
      <c r="K35" s="1" t="str">
        <f ca="1">IFERROR(__xludf.DUMMYFUNCTION("""COMPUTED_VALUE"""),"FM, LE")</f>
        <v>FM, LE</v>
      </c>
      <c r="L35" s="8" t="str">
        <f ca="1">IFERROR(__xludf.DUMMYFUNCTION("""COMPUTED_VALUE"""),"https://doi.org/10.11606/1807-0205/2021.61.24")</f>
        <v>https://doi.org/10.11606/1807-0205/2021.61.24</v>
      </c>
      <c r="M35" s="1" t="str">
        <f ca="1">IFERROR(__xludf.DUMMYFUNCTION("""COMPUTED_VALUE"""),"Castillo-Figueroa_2021")</f>
        <v>Castillo-Figueroa_2021</v>
      </c>
    </row>
    <row r="36" spans="1:13" ht="13.2">
      <c r="A36" s="1" t="str">
        <f ca="1">IFERROR(__xludf.DUMMYFUNCTION("""COMPUTED_VALUE"""),"Migration")</f>
        <v>Migration</v>
      </c>
      <c r="B36" s="1"/>
      <c r="C36" s="1"/>
      <c r="D36" s="1"/>
      <c r="E36" s="1" t="str">
        <f ca="1">IFERROR(__xludf.DUMMYFUNCTION("""COMPUTED_VALUE"""),"categorical")</f>
        <v>categorical</v>
      </c>
      <c r="F36" s="1" t="str">
        <f ca="1">IFERROR(__xludf.DUMMYFUNCTION("""COMPUTED_VALUE"""),".na")</f>
        <v>.na</v>
      </c>
      <c r="G36" s="1" t="str">
        <f ca="1">IFERROR(__xludf.DUMMYFUNCTION("""COMPUTED_VALUE"""),"Resident; Migratory")</f>
        <v>Resident; Migratory</v>
      </c>
      <c r="H36" s="1" t="str">
        <f ca="1">IFERROR(__xludf.DUMMYFUNCTION("""COMPUTED_VALUE"""),".na")</f>
        <v>.na</v>
      </c>
      <c r="I36" s="1" t="str">
        <f ca="1">IFERROR(__xludf.DUMMYFUNCTION("""COMPUTED_VALUE"""),".na")</f>
        <v>.na</v>
      </c>
      <c r="J36" s="1" t="str">
        <f ca="1">IFERROR(__xludf.DUMMYFUNCTION("""COMPUTED_VALUE"""),"Species movement according its life history")</f>
        <v>Species movement according its life history</v>
      </c>
      <c r="K36" s="1" t="str">
        <f ca="1">IFERROR(__xludf.DUMMYFUNCTION("""COMPUTED_VALUE"""),"FM, SI")</f>
        <v>FM, SI</v>
      </c>
      <c r="L36" s="8" t="str">
        <f ca="1">IFERROR(__xludf.DUMMYFUNCTION("""COMPUTED_VALUE"""),"https://doi.org/10.11606/1807-0205/2021.61.24")</f>
        <v>https://doi.org/10.11606/1807-0205/2021.61.24</v>
      </c>
      <c r="M36" s="1" t="str">
        <f ca="1">IFERROR(__xludf.DUMMYFUNCTION("""COMPUTED_VALUE"""),"Castillo-Figueroa_2021")</f>
        <v>Castillo-Figueroa_2021</v>
      </c>
    </row>
    <row r="37" spans="1:13" ht="13.2">
      <c r="A37" s="1" t="str">
        <f ca="1">IFERROR(__xludf.DUMMYFUNCTION("""COMPUTED_VALUE"""),"Sociality")</f>
        <v>Sociality</v>
      </c>
      <c r="B37" s="1"/>
      <c r="C37" s="1"/>
      <c r="D37" s="1"/>
      <c r="E37" s="1" t="str">
        <f ca="1">IFERROR(__xludf.DUMMYFUNCTION("""COMPUTED_VALUE"""),"categorical")</f>
        <v>categorical</v>
      </c>
      <c r="F37" s="1" t="str">
        <f ca="1">IFERROR(__xludf.DUMMYFUNCTION("""COMPUTED_VALUE"""),".na")</f>
        <v>.na</v>
      </c>
      <c r="G37" s="1" t="str">
        <f ca="1">IFERROR(__xludf.DUMMYFUNCTION("""COMPUTED_VALUE"""),"Solitary; Society; Group; Colony; Aggregation")</f>
        <v>Solitary; Society; Group; Colony; Aggregation</v>
      </c>
      <c r="H37" s="1" t="str">
        <f ca="1">IFERROR(__xludf.DUMMYFUNCTION("""COMPUTED_VALUE"""),".na")</f>
        <v>.na</v>
      </c>
      <c r="I37" s="1" t="str">
        <f ca="1">IFERROR(__xludf.DUMMYFUNCTION("""COMPUTED_VALUE"""),".na")</f>
        <v>.na</v>
      </c>
      <c r="J37" s="1" t="str">
        <f ca="1">IFERROR(__xludf.DUMMYFUNCTION("""COMPUTED_VALUE"""),"Clustering of individuals")</f>
        <v>Clustering of individuals</v>
      </c>
      <c r="K37" s="1" t="str">
        <f ca="1">IFERROR(__xludf.DUMMYFUNCTION("""COMPUTED_VALUE"""),"FM, SI")</f>
        <v>FM, SI</v>
      </c>
      <c r="L37" s="8" t="str">
        <f ca="1">IFERROR(__xludf.DUMMYFUNCTION("""COMPUTED_VALUE"""),"https://doi.org/10.11606/1807-0205/2021.61.24")</f>
        <v>https://doi.org/10.11606/1807-0205/2021.61.24</v>
      </c>
      <c r="M37" s="1" t="str">
        <f ca="1">IFERROR(__xludf.DUMMYFUNCTION("""COMPUTED_VALUE"""),"Castillo-Figueroa_2021")</f>
        <v>Castillo-Figueroa_2021</v>
      </c>
    </row>
    <row r="38" spans="1:13" ht="13.2">
      <c r="A38" s="1" t="str">
        <f ca="1">IFERROR(__xludf.DUMMYFUNCTION("""COMPUTED_VALUE"""),"Foraging strategy")</f>
        <v>Foraging strategy</v>
      </c>
      <c r="B38" s="1"/>
      <c r="C38" s="1"/>
      <c r="D38" s="1"/>
      <c r="E38" s="1" t="str">
        <f ca="1">IFERROR(__xludf.DUMMYFUNCTION("""COMPUTED_VALUE"""),"categorical")</f>
        <v>categorical</v>
      </c>
      <c r="F38" s="1" t="str">
        <f ca="1">IFERROR(__xludf.DUMMYFUNCTION("""COMPUTED_VALUE"""),".na")</f>
        <v>.na</v>
      </c>
      <c r="G38" s="1" t="str">
        <f ca="1">IFERROR(__xludf.DUMMYFUNCTION("""COMPUTED_VALUE"""),"Gleaning foragers; Aerial foragers; Trawling foragers")</f>
        <v>Gleaning foragers; Aerial foragers; Trawling foragers</v>
      </c>
      <c r="H38" s="1" t="str">
        <f ca="1">IFERROR(__xludf.DUMMYFUNCTION("""COMPUTED_VALUE"""),".na")</f>
        <v>.na</v>
      </c>
      <c r="I38" s="1" t="str">
        <f ca="1">IFERROR(__xludf.DUMMYFUNCTION("""COMPUTED_VALUE"""),".na")</f>
        <v>.na</v>
      </c>
      <c r="J38" s="1" t="str">
        <f ca="1">IFERROR(__xludf.DUMMYFUNCTION("""COMPUTED_VALUE"""),"Behavioral strategy that is used to obtain food")</f>
        <v>Behavioral strategy that is used to obtain food</v>
      </c>
      <c r="K38" s="1" t="str">
        <f ca="1">IFERROR(__xludf.DUMMYFUNCTION("""COMPUTED_VALUE"""),"SI")</f>
        <v>SI</v>
      </c>
      <c r="L38" s="8" t="str">
        <f ca="1">IFERROR(__xludf.DUMMYFUNCTION("""COMPUTED_VALUE"""),"https://doi.org/10.11606/1807-0205/2021.61.24")</f>
        <v>https://doi.org/10.11606/1807-0205/2021.61.24</v>
      </c>
      <c r="M38" s="1" t="str">
        <f ca="1">IFERROR(__xludf.DUMMYFUNCTION("""COMPUTED_VALUE"""),"Castillo-Figueroa_2021")</f>
        <v>Castillo-Figueroa_2021</v>
      </c>
    </row>
    <row r="39" spans="1:13" ht="13.2">
      <c r="A39" s="1" t="str">
        <f ca="1">IFERROR(__xludf.DUMMYFUNCTION("""COMPUTED_VALUE"""),"Activity pattern")</f>
        <v>Activity pattern</v>
      </c>
      <c r="B39" s="1"/>
      <c r="C39" s="1"/>
      <c r="D39" s="1"/>
      <c r="E39" s="1" t="str">
        <f ca="1">IFERROR(__xludf.DUMMYFUNCTION("""COMPUTED_VALUE"""),"numerical")</f>
        <v>numerical</v>
      </c>
      <c r="F39" s="1" t="str">
        <f ca="1">IFERROR(__xludf.DUMMYFUNCTION("""COMPUTED_VALUE"""),"Number of recording events per time hour")</f>
        <v>Number of recording events per time hour</v>
      </c>
      <c r="G39" s="1" t="str">
        <f ca="1">IFERROR(__xludf.DUMMYFUNCTION("""COMPUTED_VALUE"""),".na")</f>
        <v>.na</v>
      </c>
      <c r="H39" s="1"/>
      <c r="I39" s="1"/>
      <c r="J39" s="1" t="str">
        <f ca="1">IFERROR(__xludf.DUMMYFUNCTION("""COMPUTED_VALUE"""),"Activity period of bat species within nocturnal time. Commonly spanned from 
18:00h to 6:00h. Number of recording events per time hour")</f>
        <v>Activity period of bat species within nocturnal time. Commonly spanned from 
18:00h to 6:00h. Number of recording events per time hour</v>
      </c>
      <c r="K39" s="1" t="str">
        <f ca="1">IFERROR(__xludf.DUMMYFUNCTION("""COMPUTED_VALUE"""),"FM")</f>
        <v>FM</v>
      </c>
      <c r="L39" s="8" t="str">
        <f ca="1">IFERROR(__xludf.DUMMYFUNCTION("""COMPUTED_VALUE"""),"https://doi.org/10.11606/1807-0205/2021.61.24")</f>
        <v>https://doi.org/10.11606/1807-0205/2021.61.24</v>
      </c>
      <c r="M39" s="1" t="str">
        <f ca="1">IFERROR(__xludf.DUMMYFUNCTION("""COMPUTED_VALUE"""),"Castillo-Figueroa_2021")</f>
        <v>Castillo-Figueroa_2021</v>
      </c>
    </row>
    <row r="40" spans="1:13" ht="13.2">
      <c r="A40" s="1" t="str">
        <f ca="1">IFERROR(__xludf.DUMMYFUNCTION("""COMPUTED_VALUE"""),"Feeding guild")</f>
        <v>Feeding guild</v>
      </c>
      <c r="B40" s="1"/>
      <c r="C40" s="1"/>
      <c r="D40" s="1"/>
      <c r="E40" s="1" t="str">
        <f ca="1">IFERROR(__xludf.DUMMYFUNCTION("""COMPUTED_VALUE"""),"categorical")</f>
        <v>categorical</v>
      </c>
      <c r="F40" s="1" t="str">
        <f ca="1">IFERROR(__xludf.DUMMYFUNCTION("""COMPUTED_VALUE"""),".na")</f>
        <v>.na</v>
      </c>
      <c r="G40" s="1" t="str">
        <f ca="1">IFERROR(__xludf.DUMMYFUNCTION("""COMPUTED_VALUE"""),"Necterivore; Frugivore; Carnívore; Omnívore; Sanguinivore; Insectívore; 
Piscívore")</f>
        <v>Necterivore; Frugivore; Carnívore; Omnívore; Sanguinivore; Insectívore; 
Piscívore</v>
      </c>
      <c r="H40" s="1" t="str">
        <f ca="1">IFERROR(__xludf.DUMMYFUNCTION("""COMPUTED_VALUE"""),".na")</f>
        <v>.na</v>
      </c>
      <c r="I40" s="1" t="str">
        <f ca="1">IFERROR(__xludf.DUMMYFUNCTION("""COMPUTED_VALUE"""),".na")</f>
        <v>.na</v>
      </c>
      <c r="J40" s="1" t="str">
        <f ca="1">IFERROR(__xludf.DUMMYFUNCTION("""COMPUTED_VALUE"""),"Based on the food item that is consumed mainly for a large part of bat life")</f>
        <v>Based on the food item that is consumed mainly for a large part of bat life</v>
      </c>
      <c r="K40" s="1" t="str">
        <f ca="1">IFERROR(__xludf.DUMMYFUNCTION("""COMPUTED_VALUE"""),"SI")</f>
        <v>SI</v>
      </c>
      <c r="L40" s="8" t="str">
        <f ca="1">IFERROR(__xludf.DUMMYFUNCTION("""COMPUTED_VALUE"""),"https://doi.org/10.11606/1807-0205/2021.61.24")</f>
        <v>https://doi.org/10.11606/1807-0205/2021.61.24</v>
      </c>
      <c r="M40" s="1" t="str">
        <f ca="1">IFERROR(__xludf.DUMMYFUNCTION("""COMPUTED_VALUE"""),"Castillo-Figueroa_2021")</f>
        <v>Castillo-Figueroa_2021</v>
      </c>
    </row>
    <row r="41" spans="1:13" ht="13.2">
      <c r="A41" s="1" t="str">
        <f ca="1">IFERROR(__xludf.DUMMYFUNCTION("""COMPUTED_VALUE"""),"Diet specialization")</f>
        <v>Diet specialization</v>
      </c>
      <c r="B41" s="1"/>
      <c r="C41" s="1"/>
      <c r="D41" s="1"/>
      <c r="E41" s="1" t="str">
        <f ca="1">IFERROR(__xludf.DUMMYFUNCTION("""COMPUTED_VALUE"""),"numeric")</f>
        <v>numeric</v>
      </c>
      <c r="F41" s="1" t="str">
        <f ca="1">IFERROR(__xludf.DUMMYFUNCTION("""COMPUTED_VALUE"""),".na")</f>
        <v>.na</v>
      </c>
      <c r="G41" s="1" t="str">
        <f ca="1">IFERROR(__xludf.DUMMYFUNCTION("""COMPUTED_VALUE"""),".na")</f>
        <v>.na</v>
      </c>
      <c r="H41" s="1"/>
      <c r="I41" s="1"/>
      <c r="J41" s="1" t="str">
        <f ca="1">IFERROR(__xludf.DUMMYFUNCTION("""COMPUTED_VALUE"""),"Based on the percentage of the contribution of each food item to the total 
diet the species. Levin index as well as Morisita index can estimate 
dietary specialization")</f>
        <v>Based on the percentage of the contribution of each food item to the total 
diet the species. Levin index as well as Morisita index can estimate 
dietary specialization</v>
      </c>
      <c r="K41" s="1" t="str">
        <f ca="1">IFERROR(__xludf.DUMMYFUNCTION("""COMPUTED_VALUE"""),"FM, Value of the niche breadth index selected (*e.g.,* Levin, Morisita, etc.) 
ranging from low values (specialist) to high values (generalist)")</f>
        <v>FM, Value of the niche breadth index selected (*e.g.,* Levin, Morisita, etc.) 
ranging from low values (specialist) to high values (generalist)</v>
      </c>
      <c r="L41" s="8" t="str">
        <f ca="1">IFERROR(__xludf.DUMMYFUNCTION("""COMPUTED_VALUE"""),"https://doi.org/10.11606/1807-0205/2021.61.24")</f>
        <v>https://doi.org/10.11606/1807-0205/2021.61.24</v>
      </c>
      <c r="M41" s="1" t="str">
        <f ca="1">IFERROR(__xludf.DUMMYFUNCTION("""COMPUTED_VALUE"""),"Castillo-Figueroa_2021")</f>
        <v>Castillo-Figueroa_2021</v>
      </c>
    </row>
    <row r="42" spans="1:13" ht="13.2">
      <c r="A42" s="1" t="str">
        <f ca="1">IFERROR(__xludf.DUMMYFUNCTION("""COMPUTED_VALUE"""),"Bite force")</f>
        <v>Bite force</v>
      </c>
      <c r="B42" s="1"/>
      <c r="C42" s="1"/>
      <c r="D42" s="1"/>
      <c r="E42" s="1" t="str">
        <f ca="1">IFERROR(__xludf.DUMMYFUNCTION("""COMPUTED_VALUE"""),"numeric")</f>
        <v>numeric</v>
      </c>
      <c r="F42" s="1" t="str">
        <f ca="1">IFERROR(__xludf.DUMMYFUNCTION("""COMPUTED_VALUE"""),"Newtons")</f>
        <v>Newtons</v>
      </c>
      <c r="G42" s="1" t="str">
        <f ca="1">IFERROR(__xludf.DUMMYFUNCTION("""COMPUTED_VALUE"""),".na")</f>
        <v>.na</v>
      </c>
      <c r="H42" s="1"/>
      <c r="I42" s="1"/>
      <c r="J42" s="1" t="str">
        <f ca="1">IFERROR(__xludf.DUMMYFUNCTION("""COMPUTED_VALUE"""),"Is the result of the interplay between the teeth, the masticatory muscles, 
the mandible, the maxillae, and temporomandibular joints. Bite force can be 
measured *in vivo* with an isometric Kistler force transducer or can be 
estimated with assessments of"&amp;" muscular and bony morphology from skulls 
using algorithms")</f>
        <v>Is the result of the interplay between the teeth, the masticatory muscles, 
the mandible, the maxillae, and temporomandibular joints. Bite force can be 
measured *in vivo* with an isometric Kistler force transducer or can be 
estimated with assessments of muscular and bony morphology from skulls 
using algorithms</v>
      </c>
      <c r="K42" s="1" t="str">
        <f ca="1">IFERROR(__xludf.DUMMYFUNCTION("""COMPUTED_VALUE"""),"FM, BC, SI")</f>
        <v>FM, BC, SI</v>
      </c>
      <c r="L42" s="8" t="str">
        <f ca="1">IFERROR(__xludf.DUMMYFUNCTION("""COMPUTED_VALUE"""),"https://doi.org/10.11606/1807-0205/2021.61.24")</f>
        <v>https://doi.org/10.11606/1807-0205/2021.61.24</v>
      </c>
      <c r="M42" s="1" t="str">
        <f ca="1">IFERROR(__xludf.DUMMYFUNCTION("""COMPUTED_VALUE"""),"Castillo-Figueroa_2021")</f>
        <v>Castillo-Figueroa_2021</v>
      </c>
    </row>
    <row r="43" spans="1:13" ht="13.2">
      <c r="A43" s="1" t="str">
        <f ca="1">IFERROR(__xludf.DUMMYFUNCTION("""COMPUTED_VALUE"""),"Foraging hábitat")</f>
        <v>Foraging hábitat</v>
      </c>
      <c r="B43" s="1"/>
      <c r="C43" s="1"/>
      <c r="D43" s="1"/>
      <c r="E43" s="1" t="str">
        <f ca="1">IFERROR(__xludf.DUMMYFUNCTION("""COMPUTED_VALUE"""),"categorical")</f>
        <v>categorical</v>
      </c>
      <c r="F43" s="1" t="str">
        <f ca="1">IFERROR(__xludf.DUMMYFUNCTION("""COMPUTED_VALUE"""),".na")</f>
        <v>.na</v>
      </c>
      <c r="G43" s="1" t="str">
        <f ca="1">IFERROR(__xludf.DUMMYFUNCTION("""COMPUTED_VALUE"""),"Background space; Uncluttered space; Highly cluttered space")</f>
        <v>Background space; Uncluttered space; Highly cluttered space</v>
      </c>
      <c r="H43" s="1" t="str">
        <f ca="1">IFERROR(__xludf.DUMMYFUNCTION("""COMPUTED_VALUE"""),".na")</f>
        <v>.na</v>
      </c>
      <c r="I43" s="1" t="str">
        <f ca="1">IFERROR(__xludf.DUMMYFUNCTION("""COMPUTED_VALUE"""),".na")</f>
        <v>.na</v>
      </c>
      <c r="J43" s="1" t="str">
        <f ca="1">IFERROR(__xludf.DUMMYFUNCTION("""COMPUTED_VALUE"""),"It is the space where the bat is found most of the time, especially when 
searching for food. Resource availability and conditions limit foraging 
habitat")</f>
        <v>It is the space where the bat is found most of the time, especially when 
searching for food. Resource availability and conditions limit foraging 
habitat</v>
      </c>
      <c r="K43" s="1" t="str">
        <f ca="1">IFERROR(__xludf.DUMMYFUNCTION("""COMPUTED_VALUE"""),"SI")</f>
        <v>SI</v>
      </c>
      <c r="L43" s="8" t="str">
        <f ca="1">IFERROR(__xludf.DUMMYFUNCTION("""COMPUTED_VALUE"""),"https://doi.org/10.11606/1807-0205/2021.61.24")</f>
        <v>https://doi.org/10.11606/1807-0205/2021.61.24</v>
      </c>
      <c r="M43" s="1" t="str">
        <f ca="1">IFERROR(__xludf.DUMMYFUNCTION("""COMPUTED_VALUE"""),"Castillo-Figueroa_2021")</f>
        <v>Castillo-Figueroa_2021</v>
      </c>
    </row>
    <row r="44" spans="1:13" ht="13.2">
      <c r="A44" s="1" t="str">
        <f ca="1">IFERROR(__xludf.DUMMYFUNCTION("""COMPUTED_VALUE"""),"Vertical stratification")</f>
        <v>Vertical stratification</v>
      </c>
      <c r="B44" s="1"/>
      <c r="C44" s="1"/>
      <c r="D44" s="1"/>
      <c r="E44" s="1" t="str">
        <f ca="1">IFERROR(__xludf.DUMMYFUNCTION("""COMPUTED_VALUE"""),"numeric")</f>
        <v>numeric</v>
      </c>
      <c r="F44" s="1" t="str">
        <f ca="1">IFERROR(__xludf.DUMMYFUNCTION("""COMPUTED_VALUE"""),"individuals per mist-net hour
Canopy")</f>
        <v>individuals per mist-net hour
Canopy</v>
      </c>
      <c r="G44" s="1" t="str">
        <f ca="1">IFERROR(__xludf.DUMMYFUNCTION("""COMPUTED_VALUE"""),".na")</f>
        <v>.na</v>
      </c>
      <c r="H44" s="1"/>
      <c r="I44" s="1"/>
      <c r="J44" s="1" t="str">
        <f ca="1">IFERROR(__xludf.DUMMYFUNCTION("""COMPUTED_VALUE"""),"Based on the proportion of bat capture rate in ground (shrubs) and canopy 
nets (treetops). Bats can also use both strata (no preference)")</f>
        <v>Based on the proportion of bat capture rate in ground (shrubs) and canopy 
nets (treetops). Bats can also use both strata (no preference)</v>
      </c>
      <c r="K44" s="1" t="str">
        <f ca="1">IFERROR(__xludf.DUMMYFUNCTION("""COMPUTED_VALUE"""),"FM, Capture rate (individuals per mist-net hour) in each strata: Understory; 
Canopy")</f>
        <v>FM, Capture rate (individuals per mist-net hour) in each strata: Understory; 
Canopy</v>
      </c>
      <c r="L44" s="8" t="str">
        <f ca="1">IFERROR(__xludf.DUMMYFUNCTION("""COMPUTED_VALUE"""),"https://doi.org/10.11606/1807-0205/2021.61.24")</f>
        <v>https://doi.org/10.11606/1807-0205/2021.61.24</v>
      </c>
      <c r="M44" s="1" t="str">
        <f ca="1">IFERROR(__xludf.DUMMYFUNCTION("""COMPUTED_VALUE"""),"Castillo-Figueroa_2021")</f>
        <v>Castillo-Figueroa_2021</v>
      </c>
    </row>
    <row r="45" spans="1:13" ht="13.2">
      <c r="A45" s="1" t="str">
        <f ca="1">IFERROR(__xludf.DUMMYFUNCTION("""COMPUTED_VALUE"""),"Home range")</f>
        <v>Home range</v>
      </c>
      <c r="B45" s="1"/>
      <c r="C45" s="1"/>
      <c r="D45" s="1"/>
      <c r="E45" s="1" t="str">
        <f ca="1">IFERROR(__xludf.DUMMYFUNCTION("""COMPUTED_VALUE"""),"numeric")</f>
        <v>numeric</v>
      </c>
      <c r="F45" s="1" t="str">
        <f ca="1">IFERROR(__xludf.DUMMYFUNCTION("""COMPUTED_VALUE"""),"km2")</f>
        <v>km2</v>
      </c>
      <c r="G45" s="1" t="str">
        <f ca="1">IFERROR(__xludf.DUMMYFUNCTION("""COMPUTED_VALUE"""),".na")</f>
        <v>.na</v>
      </c>
      <c r="H45" s="1"/>
      <c r="I45" s="1"/>
      <c r="J45" s="1" t="str">
        <f ca="1">IFERROR(__xludf.DUMMYFUNCTION("""COMPUTED_VALUE"""),"Area of available habitat over which an individual does its daily 
activities. There are several ways to estimate home range such as minimum 
convex polygon, minimum area probabilities, areas of kernel, etc.")</f>
        <v>Area of available habitat over which an individual does its daily 
activities. There are several ways to estimate home range such as minimum 
convex polygon, minimum area probabilities, areas of kernel, etc.</v>
      </c>
      <c r="K45" s="1" t="str">
        <f ca="1">IFERROR(__xludf.DUMMYFUNCTION("""COMPUTED_VALUE"""),"FM, SI")</f>
        <v>FM, SI</v>
      </c>
      <c r="L45" s="8" t="str">
        <f ca="1">IFERROR(__xludf.DUMMYFUNCTION("""COMPUTED_VALUE"""),"https://doi.org/10.11606/1807-0205/2021.61.24")</f>
        <v>https://doi.org/10.11606/1807-0205/2021.61.24</v>
      </c>
      <c r="M45" s="1" t="str">
        <f ca="1">IFERROR(__xludf.DUMMYFUNCTION("""COMPUTED_VALUE"""),"Castillo-Figueroa_2021")</f>
        <v>Castillo-Figueroa_2021</v>
      </c>
    </row>
    <row r="46" spans="1:13" ht="13.2">
      <c r="A46" s="1" t="str">
        <f ca="1">IFERROR(__xludf.DUMMYFUNCTION("""COMPUTED_VALUE"""),"Type of roost")</f>
        <v>Type of roost</v>
      </c>
      <c r="B46" s="1"/>
      <c r="C46" s="1"/>
      <c r="D46" s="1"/>
      <c r="E46" s="1" t="str">
        <f ca="1">IFERROR(__xludf.DUMMYFUNCTION("""COMPUTED_VALUE"""),"character")</f>
        <v>character</v>
      </c>
      <c r="F46" s="1" t="str">
        <f ca="1">IFERROR(__xludf.DUMMYFUNCTION("""COMPUTED_VALUE"""),".na")</f>
        <v>.na</v>
      </c>
      <c r="G46" s="1" t="str">
        <f ca="1">IFERROR(__xludf.DUMMYFUNCTION("""COMPUTED_VALUE"""),"Animal burrow or hole; Termite ant/nest; Cavity in fallen tree; Cavity in 
standing tree; Exposed on standing tree; Foliage, leaf tent; Foliage, 
unmodified foliage; Rocks, crevices, or caves; Under fallen tree; Undercut 
earth bank")</f>
        <v>Animal burrow or hole; Termite ant/nest; Cavity in fallen tree; Cavity in 
standing tree; Exposed on standing tree; Foliage, leaf tent; Foliage, 
unmodified foliage; Rocks, crevices, or caves; Under fallen tree; Undercut 
earth bank</v>
      </c>
      <c r="H46" s="1" t="str">
        <f ca="1">IFERROR(__xludf.DUMMYFUNCTION("""COMPUTED_VALUE"""),".na")</f>
        <v>.na</v>
      </c>
      <c r="I46" s="1" t="str">
        <f ca="1">IFERROR(__xludf.DUMMYFUNCTION("""COMPUTED_VALUE"""),".na")</f>
        <v>.na</v>
      </c>
      <c r="J46" s="1" t="str">
        <f ca="1">IFERROR(__xludf.DUMMYFUNCTION("""COMPUTED_VALUE"""),"Diurnal roosts used by bats")</f>
        <v>Diurnal roosts used by bats</v>
      </c>
      <c r="K46" s="1" t="str">
        <f ca="1">IFERROR(__xludf.DUMMYFUNCTION("""COMPUTED_VALUE"""),"FM, SI")</f>
        <v>FM, SI</v>
      </c>
      <c r="L46" s="8" t="str">
        <f ca="1">IFERROR(__xludf.DUMMYFUNCTION("""COMPUTED_VALUE"""),"https://doi.org/10.11606/1807-0205/2021.61.24")</f>
        <v>https://doi.org/10.11606/1807-0205/2021.61.24</v>
      </c>
      <c r="M46" s="1" t="str">
        <f ca="1">IFERROR(__xludf.DUMMYFUNCTION("""COMPUTED_VALUE"""),"Castillo-Figueroa_2021")</f>
        <v>Castillo-Figueroa_2021</v>
      </c>
    </row>
    <row r="47" spans="1:13" ht="13.2">
      <c r="A47" s="1" t="str">
        <f ca="1">IFERROR(__xludf.DUMMYFUNCTION("""COMPUTED_VALUE"""),"Duration")</f>
        <v>Duration</v>
      </c>
      <c r="B47" s="1"/>
      <c r="C47" s="1"/>
      <c r="D47" s="1"/>
      <c r="E47" s="1" t="str">
        <f ca="1">IFERROR(__xludf.DUMMYFUNCTION("""COMPUTED_VALUE"""),"numeric")</f>
        <v>numeric</v>
      </c>
      <c r="F47" s="1" t="str">
        <f ca="1">IFERROR(__xludf.DUMMYFUNCTION("""COMPUTED_VALUE"""),"ms")</f>
        <v>ms</v>
      </c>
      <c r="G47" s="1" t="str">
        <f ca="1">IFERROR(__xludf.DUMMYFUNCTION("""COMPUTED_VALUE"""),".na")</f>
        <v>.na</v>
      </c>
      <c r="H47" s="1"/>
      <c r="I47" s="1"/>
      <c r="J47" s="1" t="str">
        <f ca="1">IFERROR(__xludf.DUMMYFUNCTION("""COMPUTED_VALUE"""),"Time span of the call emitted by the bat")</f>
        <v>Time span of the call emitted by the bat</v>
      </c>
      <c r="K47" s="1" t="str">
        <f ca="1">IFERROR(__xludf.DUMMYFUNCTION("""COMPUTED_VALUE"""),"FM, SI")</f>
        <v>FM, SI</v>
      </c>
      <c r="L47" s="8" t="str">
        <f ca="1">IFERROR(__xludf.DUMMYFUNCTION("""COMPUTED_VALUE"""),"https://doi.org/10.11606/1807-0205/2021.61.24")</f>
        <v>https://doi.org/10.11606/1807-0205/2021.61.24</v>
      </c>
      <c r="M47" s="1" t="str">
        <f ca="1">IFERROR(__xludf.DUMMYFUNCTION("""COMPUTED_VALUE"""),"Castillo-Figueroa_2021")</f>
        <v>Castillo-Figueroa_2021</v>
      </c>
    </row>
    <row r="48" spans="1:13" ht="13.2">
      <c r="A48" s="1" t="str">
        <f ca="1">IFERROR(__xludf.DUMMYFUNCTION("""COMPUTED_VALUE"""),"Interval")</f>
        <v>Interval</v>
      </c>
      <c r="B48" s="1"/>
      <c r="C48" s="1"/>
      <c r="D48" s="1"/>
      <c r="E48" s="1" t="str">
        <f ca="1">IFERROR(__xludf.DUMMYFUNCTION("""COMPUTED_VALUE"""),"numeric")</f>
        <v>numeric</v>
      </c>
      <c r="F48" s="1" t="str">
        <f ca="1">IFERROR(__xludf.DUMMYFUNCTION("""COMPUTED_VALUE"""),"ms")</f>
        <v>ms</v>
      </c>
      <c r="G48" s="1" t="str">
        <f ca="1">IFERROR(__xludf.DUMMYFUNCTION("""COMPUTED_VALUE"""),".na")</f>
        <v>.na</v>
      </c>
      <c r="H48" s="1"/>
      <c r="I48" s="1"/>
      <c r="J48" s="1" t="str">
        <f ca="1">IFERROR(__xludf.DUMMYFUNCTION("""COMPUTED_VALUE"""),"Time between one call to another emitted by the bat")</f>
        <v>Time between one call to another emitted by the bat</v>
      </c>
      <c r="K48" s="1" t="str">
        <f ca="1">IFERROR(__xludf.DUMMYFUNCTION("""COMPUTED_VALUE"""),"FM, SI")</f>
        <v>FM, SI</v>
      </c>
      <c r="L48" s="8" t="str">
        <f ca="1">IFERROR(__xludf.DUMMYFUNCTION("""COMPUTED_VALUE"""),"https://doi.org/10.11606/1807-0205/2021.61.24")</f>
        <v>https://doi.org/10.11606/1807-0205/2021.61.24</v>
      </c>
      <c r="M48" s="1" t="str">
        <f ca="1">IFERROR(__xludf.DUMMYFUNCTION("""COMPUTED_VALUE"""),"Castillo-Figueroa_2021")</f>
        <v>Castillo-Figueroa_2021</v>
      </c>
    </row>
    <row r="49" spans="1:13" ht="13.2">
      <c r="A49" s="1" t="str">
        <f ca="1">IFERROR(__xludf.DUMMYFUNCTION("""COMPUTED_VALUE"""),"Frequency")</f>
        <v>Frequency</v>
      </c>
      <c r="B49" s="1"/>
      <c r="C49" s="1"/>
      <c r="D49" s="1"/>
      <c r="E49" s="1" t="str">
        <f ca="1">IFERROR(__xludf.DUMMYFUNCTION("""COMPUTED_VALUE"""),"numeric")</f>
        <v>numeric</v>
      </c>
      <c r="F49" s="1" t="str">
        <f ca="1">IFERROR(__xludf.DUMMYFUNCTION("""COMPUTED_VALUE"""),"Khz")</f>
        <v>Khz</v>
      </c>
      <c r="G49" s="1" t="str">
        <f ca="1">IFERROR(__xludf.DUMMYFUNCTION("""COMPUTED_VALUE"""),".na")</f>
        <v>.na</v>
      </c>
      <c r="H49" s="1"/>
      <c r="I49" s="1"/>
      <c r="J49" s="1" t="str">
        <f ca="1">IFERROR(__xludf.DUMMYFUNCTION("""COMPUTED_VALUE"""),"Number of pressure waves of the call emitted by the bat that pass by a 
reference point per unit time. This can include the start of the call 
(initial frequency), the end of the call (final frequency) and the maximum 
amplitude of the call (maximum frequ"&amp;"ency)")</f>
        <v>Number of pressure waves of the call emitted by the bat that pass by a 
reference point per unit time. This can include the start of the call 
(initial frequency), the end of the call (final frequency) and the maximum 
amplitude of the call (maximum frequency)</v>
      </c>
      <c r="K49" s="1" t="str">
        <f ca="1">IFERROR(__xludf.DUMMYFUNCTION("""COMPUTED_VALUE"""),"FM, SI")</f>
        <v>FM, SI</v>
      </c>
      <c r="L49" s="8" t="str">
        <f ca="1">IFERROR(__xludf.DUMMYFUNCTION("""COMPUTED_VALUE"""),"https://doi.org/10.11606/1807-0205/2021.61.24")</f>
        <v>https://doi.org/10.11606/1807-0205/2021.61.24</v>
      </c>
      <c r="M49" s="1" t="str">
        <f ca="1">IFERROR(__xludf.DUMMYFUNCTION("""COMPUTED_VALUE"""),"Castillo-Figueroa_2021")</f>
        <v>Castillo-Figueroa_2021</v>
      </c>
    </row>
    <row r="50" spans="1:13" ht="13.2">
      <c r="A50" s="1" t="str">
        <f ca="1">IFERROR(__xludf.DUMMYFUNCTION("""COMPUTED_VALUE"""),"Intensity")</f>
        <v>Intensity</v>
      </c>
      <c r="B50" s="1"/>
      <c r="C50" s="1"/>
      <c r="D50" s="1"/>
      <c r="E50" s="1" t="str">
        <f ca="1">IFERROR(__xludf.DUMMYFUNCTION("""COMPUTED_VALUE"""),"numeric")</f>
        <v>numeric</v>
      </c>
      <c r="F50" s="1" t="str">
        <f ca="1">IFERROR(__xludf.DUMMYFUNCTION("""COMPUTED_VALUE"""),"db")</f>
        <v>db</v>
      </c>
      <c r="G50" s="1" t="str">
        <f ca="1">IFERROR(__xludf.DUMMYFUNCTION("""COMPUTED_VALUE"""),".na")</f>
        <v>.na</v>
      </c>
      <c r="H50" s="1"/>
      <c r="I50" s="1"/>
      <c r="J50" s="1" t="str">
        <f ca="1">IFERROR(__xludf.DUMMYFUNCTION("""COMPUTED_VALUE"""),"Height of the sound pressure wave emitted by the bat")</f>
        <v>Height of the sound pressure wave emitted by the bat</v>
      </c>
      <c r="K50" s="1" t="str">
        <f ca="1">IFERROR(__xludf.DUMMYFUNCTION("""COMPUTED_VALUE"""),"FM, SI")</f>
        <v>FM, SI</v>
      </c>
      <c r="L50" s="8" t="str">
        <f ca="1">IFERROR(__xludf.DUMMYFUNCTION("""COMPUTED_VALUE"""),"https://doi.org/10.11606/1807-0205/2021.61.24")</f>
        <v>https://doi.org/10.11606/1807-0205/2021.61.24</v>
      </c>
      <c r="M50" s="1" t="str">
        <f ca="1">IFERROR(__xludf.DUMMYFUNCTION("""COMPUTED_VALUE"""),"Castillo-Figueroa_2021")</f>
        <v>Castillo-Figueroa_2021</v>
      </c>
    </row>
    <row r="51" spans="1:13" ht="13.2">
      <c r="A51" s="1" t="str">
        <f ca="1">IFERROR(__xludf.DUMMYFUNCTION("""COMPUTED_VALUE"""),"Harmonics")</f>
        <v>Harmonics</v>
      </c>
      <c r="B51" s="1"/>
      <c r="C51" s="1"/>
      <c r="D51" s="1"/>
      <c r="E51" s="1" t="str">
        <f ca="1">IFERROR(__xludf.DUMMYFUNCTION("""COMPUTED_VALUE"""),"numeric")</f>
        <v>numeric</v>
      </c>
      <c r="F51" s="1" t="str">
        <f ca="1">IFERROR(__xludf.DUMMYFUNCTION("""COMPUTED_VALUE"""),".na")</f>
        <v>.na</v>
      </c>
      <c r="G51" s="1" t="str">
        <f ca="1">IFERROR(__xludf.DUMMYFUNCTION("""COMPUTED_VALUE"""),".na")</f>
        <v>.na</v>
      </c>
      <c r="H51" s="1"/>
      <c r="I51" s="1"/>
      <c r="J51" s="1" t="str">
        <f ca="1">IFERROR(__xludf.DUMMYFUNCTION("""COMPUTED_VALUE"""),"Wave that is a multiple of the fundamental frequency emitted by the bat")</f>
        <v>Wave that is a multiple of the fundamental frequency emitted by the bat</v>
      </c>
      <c r="K51" s="1" t="str">
        <f ca="1">IFERROR(__xludf.DUMMYFUNCTION("""COMPUTED_VALUE"""),"FM, SI")</f>
        <v>FM, SI</v>
      </c>
      <c r="L51" s="8" t="str">
        <f ca="1">IFERROR(__xludf.DUMMYFUNCTION("""COMPUTED_VALUE"""),"https://doi.org/10.11606/1807-0205/2021.61.24")</f>
        <v>https://doi.org/10.11606/1807-0205/2021.61.24</v>
      </c>
      <c r="M51" s="1" t="str">
        <f ca="1">IFERROR(__xludf.DUMMYFUNCTION("""COMPUTED_VALUE"""),"Castillo-Figueroa_2021")</f>
        <v>Castillo-Figueroa_2021</v>
      </c>
    </row>
    <row r="52" spans="1:13" ht="13.2">
      <c r="A52" s="1" t="str">
        <f ca="1">IFERROR(__xludf.DUMMYFUNCTION("IMPORTRANGE(""https://docs.google.com/spreadsheets/d/1BCbdmKz-Qgtt7rB_ylKiWolmoC4I0weZUT_oqDACokI/edit?gid=888591001#gid=888591001"", ""Soria_2021!D3:P56"")"),"adult_mass_g")</f>
        <v>adult_mass_g</v>
      </c>
      <c r="B52" s="1"/>
      <c r="C52" s="1"/>
      <c r="D52" s="1"/>
      <c r="E52" s="1" t="str">
        <f ca="1">IFERROR(__xludf.DUMMYFUNCTION("""COMPUTED_VALUE"""),"numeric")</f>
        <v>numeric</v>
      </c>
      <c r="F52" s="1" t="str">
        <f ca="1">IFERROR(__xludf.DUMMYFUNCTION("""COMPUTED_VALUE"""),"g")</f>
        <v>g</v>
      </c>
      <c r="G52" s="1" t="str">
        <f ca="1">IFERROR(__xludf.DUMMYFUNCTION("""COMPUTED_VALUE"""),".na")</f>
        <v>.na</v>
      </c>
      <c r="H52" s="1"/>
      <c r="I52" s="1"/>
      <c r="J52" s="1" t="str">
        <f ca="1">IFERROR(__xludf.DUMMYFUNCTION("""COMPUTED_VALUE"""),"Body mass of an adult individual in grams")</f>
        <v>Body mass of an adult individual in grams</v>
      </c>
      <c r="K52" s="1"/>
      <c r="L52" s="8" t="str">
        <f ca="1">IFERROR(__xludf.DUMMYFUNCTION("""COMPUTED_VALUE"""),"https://doi.org/10.1002/ecy.3344")</f>
        <v>https://doi.org/10.1002/ecy.3344</v>
      </c>
      <c r="M52" s="1" t="str">
        <f ca="1">IFERROR(__xludf.DUMMYFUNCTION("""COMPUTED_VALUE"""),"Soria_2021")</f>
        <v>Soria_2021</v>
      </c>
    </row>
    <row r="53" spans="1:13" ht="13.2">
      <c r="A53" s="1" t="str">
        <f ca="1">IFERROR(__xludf.DUMMYFUNCTION("""COMPUTED_VALUE"""),"brain_mass_g")</f>
        <v>brain_mass_g</v>
      </c>
      <c r="B53" s="1"/>
      <c r="C53" s="1"/>
      <c r="D53" s="1"/>
      <c r="E53" s="1" t="str">
        <f ca="1">IFERROR(__xludf.DUMMYFUNCTION("""COMPUTED_VALUE"""),"numeric")</f>
        <v>numeric</v>
      </c>
      <c r="F53" s="1" t="str">
        <f ca="1">IFERROR(__xludf.DUMMYFUNCTION("""COMPUTED_VALUE"""),"g")</f>
        <v>g</v>
      </c>
      <c r="G53" s="1" t="str">
        <f ca="1">IFERROR(__xludf.DUMMYFUNCTION("""COMPUTED_VALUE"""),".na")</f>
        <v>.na</v>
      </c>
      <c r="H53" s="1"/>
      <c r="I53" s="1"/>
      <c r="J53" s="1" t="str">
        <f ca="1">IFERROR(__xludf.DUMMYFUNCTION("""COMPUTED_VALUE"""),"Weight of the brain of an adult individual in grams")</f>
        <v>Weight of the brain of an adult individual in grams</v>
      </c>
      <c r="K53" s="1"/>
      <c r="L53" s="8" t="str">
        <f ca="1">IFERROR(__xludf.DUMMYFUNCTION("""COMPUTED_VALUE"""),"https://doi.org/10.1002/ecy.3344")</f>
        <v>https://doi.org/10.1002/ecy.3344</v>
      </c>
      <c r="M53" s="1" t="str">
        <f ca="1">IFERROR(__xludf.DUMMYFUNCTION("""COMPUTED_VALUE"""),"Soria_2021")</f>
        <v>Soria_2021</v>
      </c>
    </row>
    <row r="54" spans="1:13" ht="13.2">
      <c r="A54" s="1" t="str">
        <f ca="1">IFERROR(__xludf.DUMMYFUNCTION("""COMPUTED_VALUE"""),"adult_body_length_mm")</f>
        <v>adult_body_length_mm</v>
      </c>
      <c r="B54" s="1"/>
      <c r="C54" s="1"/>
      <c r="D54" s="1"/>
      <c r="E54" s="1" t="str">
        <f ca="1">IFERROR(__xludf.DUMMYFUNCTION("""COMPUTED_VALUE"""),"numeric")</f>
        <v>numeric</v>
      </c>
      <c r="F54" s="1" t="str">
        <f ca="1">IFERROR(__xludf.DUMMYFUNCTION("""COMPUTED_VALUE"""),"mm")</f>
        <v>mm</v>
      </c>
      <c r="G54" s="1" t="str">
        <f ca="1">IFERROR(__xludf.DUMMYFUNCTION("""COMPUTED_VALUE"""),".na")</f>
        <v>.na</v>
      </c>
      <c r="H54" s="1"/>
      <c r="I54" s="1"/>
      <c r="J54" s="1" t="str">
        <f ca="1">IFERROR(__xludf.DUMMYFUNCTION("""COMPUTED_VALUE"""),"Total length from tip of the nose to anus or base of the tail of an adult individual in millimeters")</f>
        <v>Total length from tip of the nose to anus or base of the tail of an adult individual in millimeters</v>
      </c>
      <c r="K54" s="1"/>
      <c r="L54" s="8" t="str">
        <f ca="1">IFERROR(__xludf.DUMMYFUNCTION("""COMPUTED_VALUE"""),"https://doi.org/10.1002/ecy.3344")</f>
        <v>https://doi.org/10.1002/ecy.3344</v>
      </c>
      <c r="M54" s="1" t="str">
        <f ca="1">IFERROR(__xludf.DUMMYFUNCTION("""COMPUTED_VALUE"""),"Soria_2021")</f>
        <v>Soria_2021</v>
      </c>
    </row>
    <row r="55" spans="1:13" ht="13.2">
      <c r="A55" s="1" t="str">
        <f ca="1">IFERROR(__xludf.DUMMYFUNCTION("""COMPUTED_VALUE"""),"adult_forearm_length_mm")</f>
        <v>adult_forearm_length_mm</v>
      </c>
      <c r="B55" s="1"/>
      <c r="C55" s="1"/>
      <c r="D55" s="1"/>
      <c r="E55" s="1" t="str">
        <f ca="1">IFERROR(__xludf.DUMMYFUNCTION("""COMPUTED_VALUE"""),"numeric")</f>
        <v>numeric</v>
      </c>
      <c r="F55" s="1" t="str">
        <f ca="1">IFERROR(__xludf.DUMMYFUNCTION("""COMPUTED_VALUE"""),"mm")</f>
        <v>mm</v>
      </c>
      <c r="G55" s="1" t="str">
        <f ca="1">IFERROR(__xludf.DUMMYFUNCTION("""COMPUTED_VALUE"""),".na")</f>
        <v>.na</v>
      </c>
      <c r="H55" s="1"/>
      <c r="I55" s="1"/>
      <c r="J55" s="1" t="str">
        <f ca="1">IFERROR(__xludf.DUMMYFUNCTION("""COMPUTED_VALUE"""),"Total length from elbow to wrist of an adult individual in millimeters, specific to order Chiroptera")</f>
        <v>Total length from elbow to wrist of an adult individual in millimeters, specific to order Chiroptera</v>
      </c>
      <c r="K55" s="1"/>
      <c r="L55" s="8" t="str">
        <f ca="1">IFERROR(__xludf.DUMMYFUNCTION("""COMPUTED_VALUE"""),"https://doi.org/10.1002/ecy.3344")</f>
        <v>https://doi.org/10.1002/ecy.3344</v>
      </c>
      <c r="M55" s="1" t="str">
        <f ca="1">IFERROR(__xludf.DUMMYFUNCTION("""COMPUTED_VALUE"""),"Soria_2021")</f>
        <v>Soria_2021</v>
      </c>
    </row>
    <row r="56" spans="1:13" ht="13.2">
      <c r="A56" s="1" t="str">
        <f ca="1">IFERROR(__xludf.DUMMYFUNCTION("""COMPUTED_VALUE"""),"max_longevity_d")</f>
        <v>max_longevity_d</v>
      </c>
      <c r="B56" s="1"/>
      <c r="C56" s="1"/>
      <c r="D56" s="1"/>
      <c r="E56" s="1" t="str">
        <f ca="1">IFERROR(__xludf.DUMMYFUNCTION("""COMPUTED_VALUE"""),"numeric")</f>
        <v>numeric</v>
      </c>
      <c r="F56" s="1" t="str">
        <f ca="1">IFERROR(__xludf.DUMMYFUNCTION("""COMPUTED_VALUE"""),"days")</f>
        <v>days</v>
      </c>
      <c r="G56" s="1" t="str">
        <f ca="1">IFERROR(__xludf.DUMMYFUNCTION("""COMPUTED_VALUE"""),".na")</f>
        <v>.na</v>
      </c>
      <c r="H56" s="1"/>
      <c r="I56" s="1"/>
      <c r="J56" s="1" t="str">
        <f ca="1">IFERROR(__xludf.DUMMYFUNCTION("""COMPUTED_VALUE"""),"Maximum reported age at death for the species in days")</f>
        <v>Maximum reported age at death for the species in days</v>
      </c>
      <c r="K56" s="1"/>
      <c r="L56" s="8" t="str">
        <f ca="1">IFERROR(__xludf.DUMMYFUNCTION("""COMPUTED_VALUE"""),"https://doi.org/10.1002/ecy.3344")</f>
        <v>https://doi.org/10.1002/ecy.3344</v>
      </c>
      <c r="M56" s="1" t="str">
        <f ca="1">IFERROR(__xludf.DUMMYFUNCTION("""COMPUTED_VALUE"""),"Soria_2021")</f>
        <v>Soria_2021</v>
      </c>
    </row>
    <row r="57" spans="1:13" ht="13.2">
      <c r="A57" s="1" t="str">
        <f ca="1">IFERROR(__xludf.DUMMYFUNCTION("""COMPUTED_VALUE"""),"maturity_d")</f>
        <v>maturity_d</v>
      </c>
      <c r="B57" s="1"/>
      <c r="C57" s="1"/>
      <c r="D57" s="1"/>
      <c r="E57" s="1" t="str">
        <f ca="1">IFERROR(__xludf.DUMMYFUNCTION("""COMPUTED_VALUE"""),"numeric")</f>
        <v>numeric</v>
      </c>
      <c r="F57" s="1" t="str">
        <f ca="1">IFERROR(__xludf.DUMMYFUNCTION("""COMPUTED_VALUE"""),"days")</f>
        <v>days</v>
      </c>
      <c r="G57" s="1" t="str">
        <f ca="1">IFERROR(__xludf.DUMMYFUNCTION("""COMPUTED_VALUE"""),".na")</f>
        <v>.na</v>
      </c>
      <c r="H57" s="1"/>
      <c r="I57" s="1"/>
      <c r="J57" s="1" t="str">
        <f ca="1">IFERROR(__xludf.DUMMYFUNCTION("""COMPUTED_VALUE"""),"The amount of time needed to reach sexual maturity in days")</f>
        <v>The amount of time needed to reach sexual maturity in days</v>
      </c>
      <c r="K57" s="1"/>
      <c r="L57" s="8" t="str">
        <f ca="1">IFERROR(__xludf.DUMMYFUNCTION("""COMPUTED_VALUE"""),"https://doi.org/10.1002/ecy.3344")</f>
        <v>https://doi.org/10.1002/ecy.3344</v>
      </c>
      <c r="M57" s="1" t="str">
        <f ca="1">IFERROR(__xludf.DUMMYFUNCTION("""COMPUTED_VALUE"""),"Soria_2021")</f>
        <v>Soria_2021</v>
      </c>
    </row>
    <row r="58" spans="1:13" ht="13.2">
      <c r="A58" s="1" t="str">
        <f ca="1">IFERROR(__xludf.DUMMYFUNCTION("""COMPUTED_VALUE"""),"female_maturity_d")</f>
        <v>female_maturity_d</v>
      </c>
      <c r="B58" s="1"/>
      <c r="C58" s="1"/>
      <c r="D58" s="1"/>
      <c r="E58" s="1" t="str">
        <f ca="1">IFERROR(__xludf.DUMMYFUNCTION("""COMPUTED_VALUE"""),"numeric")</f>
        <v>numeric</v>
      </c>
      <c r="F58" s="1" t="str">
        <f ca="1">IFERROR(__xludf.DUMMYFUNCTION("""COMPUTED_VALUE"""),"days")</f>
        <v>days</v>
      </c>
      <c r="G58" s="1" t="str">
        <f ca="1">IFERROR(__xludf.DUMMYFUNCTION("""COMPUTED_VALUE"""),".na")</f>
        <v>.na</v>
      </c>
      <c r="H58" s="1"/>
      <c r="I58" s="1"/>
      <c r="J58" s="1" t="str">
        <f ca="1">IFERROR(__xludf.DUMMYFUNCTION("""COMPUTED_VALUE"""),"The amount of time needed for a female to reach sexual maturity in days")</f>
        <v>The amount of time needed for a female to reach sexual maturity in days</v>
      </c>
      <c r="K58" s="1"/>
      <c r="L58" s="8" t="str">
        <f ca="1">IFERROR(__xludf.DUMMYFUNCTION("""COMPUTED_VALUE"""),"https://doi.org/10.1002/ecy.3344")</f>
        <v>https://doi.org/10.1002/ecy.3344</v>
      </c>
      <c r="M58" s="1" t="str">
        <f ca="1">IFERROR(__xludf.DUMMYFUNCTION("""COMPUTED_VALUE"""),"Soria_2021")</f>
        <v>Soria_2021</v>
      </c>
    </row>
    <row r="59" spans="1:13" ht="13.2">
      <c r="A59" s="1" t="str">
        <f ca="1">IFERROR(__xludf.DUMMYFUNCTION("""COMPUTED_VALUE"""),"male_maturity_d")</f>
        <v>male_maturity_d</v>
      </c>
      <c r="B59" s="1"/>
      <c r="C59" s="1"/>
      <c r="D59" s="1"/>
      <c r="E59" s="1" t="str">
        <f ca="1">IFERROR(__xludf.DUMMYFUNCTION("""COMPUTED_VALUE"""),"numeric")</f>
        <v>numeric</v>
      </c>
      <c r="F59" s="1" t="str">
        <f ca="1">IFERROR(__xludf.DUMMYFUNCTION("""COMPUTED_VALUE"""),"days")</f>
        <v>days</v>
      </c>
      <c r="G59" s="1" t="str">
        <f ca="1">IFERROR(__xludf.DUMMYFUNCTION("""COMPUTED_VALUE"""),".na")</f>
        <v>.na</v>
      </c>
      <c r="H59" s="1"/>
      <c r="I59" s="1"/>
      <c r="J59" s="1" t="str">
        <f ca="1">IFERROR(__xludf.DUMMYFUNCTION("""COMPUTED_VALUE"""),"The amount of time needed for a male to reach sexual maturity in days")</f>
        <v>The amount of time needed for a male to reach sexual maturity in days</v>
      </c>
      <c r="K59" s="1"/>
      <c r="L59" s="8" t="str">
        <f ca="1">IFERROR(__xludf.DUMMYFUNCTION("""COMPUTED_VALUE"""),"https://doi.org/10.1002/ecy.3344")</f>
        <v>https://doi.org/10.1002/ecy.3344</v>
      </c>
      <c r="M59" s="1" t="str">
        <f ca="1">IFERROR(__xludf.DUMMYFUNCTION("""COMPUTED_VALUE"""),"Soria_2021")</f>
        <v>Soria_2021</v>
      </c>
    </row>
    <row r="60" spans="1:13" ht="13.2">
      <c r="A60" s="1" t="str">
        <f ca="1">IFERROR(__xludf.DUMMYFUNCTION("""COMPUTED_VALUE"""),"age_first_reproduction_d")</f>
        <v>age_first_reproduction_d</v>
      </c>
      <c r="B60" s="1"/>
      <c r="C60" s="1"/>
      <c r="D60" s="1"/>
      <c r="E60" s="1" t="str">
        <f ca="1">IFERROR(__xludf.DUMMYFUNCTION("""COMPUTED_VALUE"""),"numeric")</f>
        <v>numeric</v>
      </c>
      <c r="F60" s="1" t="str">
        <f ca="1">IFERROR(__xludf.DUMMYFUNCTION("""COMPUTED_VALUE"""),"days")</f>
        <v>days</v>
      </c>
      <c r="G60" s="1" t="str">
        <f ca="1">IFERROR(__xludf.DUMMYFUNCTION("""COMPUTED_VALUE"""),".na")</f>
        <v>.na</v>
      </c>
      <c r="H60" s="1"/>
      <c r="I60" s="1"/>
      <c r="J60" s="1" t="str">
        <f ca="1">IFERROR(__xludf.DUMMYFUNCTION("""COMPUTED_VALUE"""),"Age at which females give birth to their first litter or their young attach to teats in days")</f>
        <v>Age at which females give birth to their first litter or their young attach to teats in days</v>
      </c>
      <c r="K60" s="1"/>
      <c r="L60" s="8" t="str">
        <f ca="1">IFERROR(__xludf.DUMMYFUNCTION("""COMPUTED_VALUE"""),"https://doi.org/10.1002/ecy.3344")</f>
        <v>https://doi.org/10.1002/ecy.3344</v>
      </c>
      <c r="M60" s="1" t="str">
        <f ca="1">IFERROR(__xludf.DUMMYFUNCTION("""COMPUTED_VALUE"""),"Soria_2021")</f>
        <v>Soria_2021</v>
      </c>
    </row>
    <row r="61" spans="1:13" ht="13.2">
      <c r="A61" s="1" t="str">
        <f ca="1">IFERROR(__xludf.DUMMYFUNCTION("""COMPUTED_VALUE"""),"gestation_length_d")</f>
        <v>gestation_length_d</v>
      </c>
      <c r="B61" s="1"/>
      <c r="C61" s="1"/>
      <c r="D61" s="1"/>
      <c r="E61" s="1" t="str">
        <f ca="1">IFERROR(__xludf.DUMMYFUNCTION("""COMPUTED_VALUE"""),"numeric")</f>
        <v>numeric</v>
      </c>
      <c r="F61" s="1" t="str">
        <f ca="1">IFERROR(__xludf.DUMMYFUNCTION("""COMPUTED_VALUE"""),"days")</f>
        <v>days</v>
      </c>
      <c r="G61" s="1" t="str">
        <f ca="1">IFERROR(__xludf.DUMMYFUNCTION("""COMPUTED_VALUE"""),".na")</f>
        <v>.na</v>
      </c>
      <c r="H61" s="1"/>
      <c r="I61" s="1"/>
      <c r="J61" s="1" t="str">
        <f ca="1">IFERROR(__xludf.DUMMYFUNCTION("""COMPUTED_VALUE"""),"Length of time of fetal growth in days")</f>
        <v>Length of time of fetal growth in days</v>
      </c>
      <c r="K61" s="1"/>
      <c r="L61" s="8" t="str">
        <f ca="1">IFERROR(__xludf.DUMMYFUNCTION("""COMPUTED_VALUE"""),"https://doi.org/10.1002/ecy.3344")</f>
        <v>https://doi.org/10.1002/ecy.3344</v>
      </c>
      <c r="M61" s="1" t="str">
        <f ca="1">IFERROR(__xludf.DUMMYFUNCTION("""COMPUTED_VALUE"""),"Soria_2021")</f>
        <v>Soria_2021</v>
      </c>
    </row>
    <row r="62" spans="1:13" ht="13.2">
      <c r="A62" s="1" t="str">
        <f ca="1">IFERROR(__xludf.DUMMYFUNCTION("""COMPUTED_VALUE"""),"teat_number_n")</f>
        <v>teat_number_n</v>
      </c>
      <c r="B62" s="1"/>
      <c r="C62" s="1"/>
      <c r="D62" s="1"/>
      <c r="E62" s="1" t="str">
        <f ca="1">IFERROR(__xludf.DUMMYFUNCTION("""COMPUTED_VALUE"""),"numeric")</f>
        <v>numeric</v>
      </c>
      <c r="F62" s="1" t="str">
        <f ca="1">IFERROR(__xludf.DUMMYFUNCTION("""COMPUTED_VALUE"""),".na")</f>
        <v>.na</v>
      </c>
      <c r="G62" s="1" t="str">
        <f ca="1">IFERROR(__xludf.DUMMYFUNCTION("""COMPUTED_VALUE"""),".na")</f>
        <v>.na</v>
      </c>
      <c r="H62" s="1"/>
      <c r="I62" s="1"/>
      <c r="J62" s="1" t="str">
        <f ca="1">IFERROR(__xludf.DUMMYFUNCTION("""COMPUTED_VALUE"""),"Total number of teats present in an individual of the species")</f>
        <v>Total number of teats present in an individual of the species</v>
      </c>
      <c r="K62" s="1"/>
      <c r="L62" s="8" t="str">
        <f ca="1">IFERROR(__xludf.DUMMYFUNCTION("""COMPUTED_VALUE"""),"https://doi.org/10.1002/ecy.3344")</f>
        <v>https://doi.org/10.1002/ecy.3344</v>
      </c>
      <c r="M62" s="1" t="str">
        <f ca="1">IFERROR(__xludf.DUMMYFUNCTION("""COMPUTED_VALUE"""),"Soria_2021")</f>
        <v>Soria_2021</v>
      </c>
    </row>
    <row r="63" spans="1:13" ht="13.2">
      <c r="A63" s="1" t="str">
        <f ca="1">IFERROR(__xludf.DUMMYFUNCTION("""COMPUTED_VALUE"""),"litter_size_n")</f>
        <v>litter_size_n</v>
      </c>
      <c r="B63" s="1"/>
      <c r="C63" s="1"/>
      <c r="D63" s="1"/>
      <c r="E63" s="1" t="str">
        <f ca="1">IFERROR(__xludf.DUMMYFUNCTION("""COMPUTED_VALUE"""),"numeric")</f>
        <v>numeric</v>
      </c>
      <c r="F63" s="1" t="str">
        <f ca="1">IFERROR(__xludf.DUMMYFUNCTION("""COMPUTED_VALUE"""),".na")</f>
        <v>.na</v>
      </c>
      <c r="G63" s="1" t="str">
        <f ca="1">IFERROR(__xludf.DUMMYFUNCTION("""COMPUTED_VALUE"""),".na")</f>
        <v>.na</v>
      </c>
      <c r="H63" s="1"/>
      <c r="I63" s="1"/>
      <c r="J63" s="1" t="str">
        <f ca="1">IFERROR(__xludf.DUMMYFUNCTION("""COMPUTED_VALUE"""),"Number of offspring born per litter per female")</f>
        <v>Number of offspring born per litter per female</v>
      </c>
      <c r="K63" s="1"/>
      <c r="L63" s="8" t="str">
        <f ca="1">IFERROR(__xludf.DUMMYFUNCTION("""COMPUTED_VALUE"""),"https://doi.org/10.1002/ecy.3344")</f>
        <v>https://doi.org/10.1002/ecy.3344</v>
      </c>
      <c r="M63" s="1" t="str">
        <f ca="1">IFERROR(__xludf.DUMMYFUNCTION("""COMPUTED_VALUE"""),"Soria_2021")</f>
        <v>Soria_2021</v>
      </c>
    </row>
    <row r="64" spans="1:13" ht="13.2">
      <c r="A64" s="1" t="str">
        <f ca="1">IFERROR(__xludf.DUMMYFUNCTION("""COMPUTED_VALUE"""),"litters_per_year_n")</f>
        <v>litters_per_year_n</v>
      </c>
      <c r="B64" s="1"/>
      <c r="C64" s="1"/>
      <c r="D64" s="1"/>
      <c r="E64" s="1" t="str">
        <f ca="1">IFERROR(__xludf.DUMMYFUNCTION("""COMPUTED_VALUE"""),"numeric")</f>
        <v>numeric</v>
      </c>
      <c r="F64" s="1" t="str">
        <f ca="1">IFERROR(__xludf.DUMMYFUNCTION("""COMPUTED_VALUE"""),"litters/year")</f>
        <v>litters/year</v>
      </c>
      <c r="G64" s="1" t="str">
        <f ca="1">IFERROR(__xludf.DUMMYFUNCTION("""COMPUTED_VALUE"""),".na")</f>
        <v>.na</v>
      </c>
      <c r="H64" s="1"/>
      <c r="I64" s="1"/>
      <c r="J64" s="1" t="str">
        <f ca="1">IFERROR(__xludf.DUMMYFUNCTION("""COMPUTED_VALUE"""),"Number of litters per female per year")</f>
        <v>Number of litters per female per year</v>
      </c>
      <c r="K64" s="1"/>
      <c r="L64" s="8" t="str">
        <f ca="1">IFERROR(__xludf.DUMMYFUNCTION("""COMPUTED_VALUE"""),"https://doi.org/10.1002/ecy.3344")</f>
        <v>https://doi.org/10.1002/ecy.3344</v>
      </c>
      <c r="M64" s="1" t="str">
        <f ca="1">IFERROR(__xludf.DUMMYFUNCTION("""COMPUTED_VALUE"""),"Soria_2021")</f>
        <v>Soria_2021</v>
      </c>
    </row>
    <row r="65" spans="1:13" ht="13.2">
      <c r="A65" s="1" t="str">
        <f ca="1">IFERROR(__xludf.DUMMYFUNCTION("""COMPUTED_VALUE"""),"interbirth_interval_d")</f>
        <v>interbirth_interval_d</v>
      </c>
      <c r="B65" s="1"/>
      <c r="C65" s="1"/>
      <c r="D65" s="1"/>
      <c r="E65" s="1" t="str">
        <f ca="1">IFERROR(__xludf.DUMMYFUNCTION("""COMPUTED_VALUE"""),"numeric")</f>
        <v>numeric</v>
      </c>
      <c r="F65" s="1" t="str">
        <f ca="1">IFERROR(__xludf.DUMMYFUNCTION("""COMPUTED_VALUE"""),"days")</f>
        <v>days</v>
      </c>
      <c r="G65" s="1" t="str">
        <f ca="1">IFERROR(__xludf.DUMMYFUNCTION("""COMPUTED_VALUE"""),".na")</f>
        <v>.na</v>
      </c>
      <c r="H65" s="1"/>
      <c r="I65" s="1"/>
      <c r="J65" s="1" t="str">
        <f ca="1">IFERROR(__xludf.DUMMYFUNCTION("""COMPUTED_VALUE"""),"Time between reproduction events in days")</f>
        <v>Time between reproduction events in days</v>
      </c>
      <c r="K65" s="1"/>
      <c r="L65" s="8" t="str">
        <f ca="1">IFERROR(__xludf.DUMMYFUNCTION("""COMPUTED_VALUE"""),"https://doi.org/10.1002/ecy.3344")</f>
        <v>https://doi.org/10.1002/ecy.3344</v>
      </c>
      <c r="M65" s="1" t="str">
        <f ca="1">IFERROR(__xludf.DUMMYFUNCTION("""COMPUTED_VALUE"""),"Soria_2021")</f>
        <v>Soria_2021</v>
      </c>
    </row>
    <row r="66" spans="1:13" ht="13.2">
      <c r="A66" s="1" t="str">
        <f ca="1">IFERROR(__xludf.DUMMYFUNCTION("""COMPUTED_VALUE"""),"neonate_mass_g")</f>
        <v>neonate_mass_g</v>
      </c>
      <c r="B66" s="1"/>
      <c r="C66" s="1"/>
      <c r="D66" s="1"/>
      <c r="E66" s="1" t="str">
        <f ca="1">IFERROR(__xludf.DUMMYFUNCTION("""COMPUTED_VALUE"""),"numeric")</f>
        <v>numeric</v>
      </c>
      <c r="F66" s="1" t="str">
        <f ca="1">IFERROR(__xludf.DUMMYFUNCTION("""COMPUTED_VALUE"""),"g")</f>
        <v>g</v>
      </c>
      <c r="G66" s="1" t="str">
        <f ca="1">IFERROR(__xludf.DUMMYFUNCTION("""COMPUTED_VALUE"""),".na")</f>
        <v>.na</v>
      </c>
      <c r="H66" s="1"/>
      <c r="I66" s="1"/>
      <c r="J66" s="1" t="str">
        <f ca="1">IFERROR(__xludf.DUMMYFUNCTION("""COMPUTED_VALUE"""),"Weight of an individual at birth in grams")</f>
        <v>Weight of an individual at birth in grams</v>
      </c>
      <c r="K66" s="1"/>
      <c r="L66" s="8" t="str">
        <f ca="1">IFERROR(__xludf.DUMMYFUNCTION("""COMPUTED_VALUE"""),"https://doi.org/10.1002/ecy.3344")</f>
        <v>https://doi.org/10.1002/ecy.3344</v>
      </c>
      <c r="M66" s="1" t="str">
        <f ca="1">IFERROR(__xludf.DUMMYFUNCTION("""COMPUTED_VALUE"""),"Soria_2021")</f>
        <v>Soria_2021</v>
      </c>
    </row>
    <row r="67" spans="1:13" ht="13.2">
      <c r="A67" s="1" t="str">
        <f ca="1">IFERROR(__xludf.DUMMYFUNCTION("""COMPUTED_VALUE"""),"weaning_age_d")</f>
        <v>weaning_age_d</v>
      </c>
      <c r="B67" s="1"/>
      <c r="C67" s="1"/>
      <c r="D67" s="1"/>
      <c r="E67" s="1" t="str">
        <f ca="1">IFERROR(__xludf.DUMMYFUNCTION("""COMPUTED_VALUE"""),"numeric")</f>
        <v>numeric</v>
      </c>
      <c r="F67" s="1" t="str">
        <f ca="1">IFERROR(__xludf.DUMMYFUNCTION("""COMPUTED_VALUE"""),"days")</f>
        <v>days</v>
      </c>
      <c r="G67" s="1" t="str">
        <f ca="1">IFERROR(__xludf.DUMMYFUNCTION("""COMPUTED_VALUE"""),".na")</f>
        <v>.na</v>
      </c>
      <c r="H67" s="1"/>
      <c r="I67" s="1"/>
      <c r="J67" s="1" t="str">
        <f ca="1">IFERROR(__xludf.DUMMYFUNCTION("""COMPUTED_VALUE"""),"Age at which primary nutritional dependency on the mother ends and independent foraging begins in days")</f>
        <v>Age at which primary nutritional dependency on the mother ends and independent foraging begins in days</v>
      </c>
      <c r="K67" s="1"/>
      <c r="L67" s="8" t="str">
        <f ca="1">IFERROR(__xludf.DUMMYFUNCTION("""COMPUTED_VALUE"""),"https://doi.org/10.1002/ecy.3344")</f>
        <v>https://doi.org/10.1002/ecy.3344</v>
      </c>
      <c r="M67" s="1" t="str">
        <f ca="1">IFERROR(__xludf.DUMMYFUNCTION("""COMPUTED_VALUE"""),"Soria_2021")</f>
        <v>Soria_2021</v>
      </c>
    </row>
    <row r="68" spans="1:13" ht="13.2">
      <c r="A68" s="1" t="str">
        <f ca="1">IFERROR(__xludf.DUMMYFUNCTION("""COMPUTED_VALUE"""),"weaning_mass_g")</f>
        <v>weaning_mass_g</v>
      </c>
      <c r="B68" s="1"/>
      <c r="C68" s="1"/>
      <c r="D68" s="1"/>
      <c r="E68" s="1" t="str">
        <f ca="1">IFERROR(__xludf.DUMMYFUNCTION("""COMPUTED_VALUE"""),"numeric")</f>
        <v>numeric</v>
      </c>
      <c r="F68" s="1" t="str">
        <f ca="1">IFERROR(__xludf.DUMMYFUNCTION("""COMPUTED_VALUE"""),"g")</f>
        <v>g</v>
      </c>
      <c r="G68" s="1" t="str">
        <f ca="1">IFERROR(__xludf.DUMMYFUNCTION("""COMPUTED_VALUE"""),".na")</f>
        <v>.na</v>
      </c>
      <c r="H68" s="1"/>
      <c r="I68" s="1"/>
      <c r="J68" s="1" t="str">
        <f ca="1">IFERROR(__xludf.DUMMYFUNCTION("""COMPUTED_VALUE"""),"Weight at weaning in grams")</f>
        <v>Weight at weaning in grams</v>
      </c>
      <c r="K68" s="1"/>
      <c r="L68" s="8" t="str">
        <f ca="1">IFERROR(__xludf.DUMMYFUNCTION("""COMPUTED_VALUE"""),"https://doi.org/10.1002/ecy.3344")</f>
        <v>https://doi.org/10.1002/ecy.3344</v>
      </c>
      <c r="M68" s="1" t="str">
        <f ca="1">IFERROR(__xludf.DUMMYFUNCTION("""COMPUTED_VALUE"""),"Soria_2021")</f>
        <v>Soria_2021</v>
      </c>
    </row>
    <row r="69" spans="1:13" ht="13.2">
      <c r="A69" s="1" t="str">
        <f ca="1">IFERROR(__xludf.DUMMYFUNCTION("""COMPUTED_VALUE"""),"generation_length_d")</f>
        <v>generation_length_d</v>
      </c>
      <c r="B69" s="1"/>
      <c r="C69" s="1"/>
      <c r="D69" s="1"/>
      <c r="E69" s="1" t="str">
        <f ca="1">IFERROR(__xludf.DUMMYFUNCTION("""COMPUTED_VALUE"""),"numeric")</f>
        <v>numeric</v>
      </c>
      <c r="F69" s="1" t="str">
        <f ca="1">IFERROR(__xludf.DUMMYFUNCTION("""COMPUTED_VALUE"""),"days")</f>
        <v>days</v>
      </c>
      <c r="G69" s="1" t="str">
        <f ca="1">IFERROR(__xludf.DUMMYFUNCTION("""COMPUTED_VALUE"""),".na")</f>
        <v>.na</v>
      </c>
      <c r="H69" s="1"/>
      <c r="I69" s="1"/>
      <c r="J69" s="1" t="str">
        <f ca="1">IFERROR(__xludf.DUMMYFUNCTION("""COMPUTED_VALUE"""),"Average age of parents of the current cohort in days")</f>
        <v>Average age of parents of the current cohort in days</v>
      </c>
      <c r="K69" s="1"/>
      <c r="L69" s="8" t="str">
        <f ca="1">IFERROR(__xludf.DUMMYFUNCTION("""COMPUTED_VALUE"""),"https://doi.org/10.1002/ecy.3344")</f>
        <v>https://doi.org/10.1002/ecy.3344</v>
      </c>
      <c r="M69" s="1" t="str">
        <f ca="1">IFERROR(__xludf.DUMMYFUNCTION("""COMPUTED_VALUE"""),"Soria_2021")</f>
        <v>Soria_2021</v>
      </c>
    </row>
    <row r="70" spans="1:13" ht="13.2">
      <c r="A70" s="1" t="str">
        <f ca="1">IFERROR(__xludf.DUMMYFUNCTION("""COMPUTED_VALUE"""),"dispersal_km")</f>
        <v>dispersal_km</v>
      </c>
      <c r="B70" s="1"/>
      <c r="C70" s="1"/>
      <c r="D70" s="1"/>
      <c r="E70" s="1" t="str">
        <f ca="1">IFERROR(__xludf.DUMMYFUNCTION("""COMPUTED_VALUE"""),"numeric")</f>
        <v>numeric</v>
      </c>
      <c r="F70" s="1" t="str">
        <f ca="1">IFERROR(__xludf.DUMMYFUNCTION("""COMPUTED_VALUE"""),"km")</f>
        <v>km</v>
      </c>
      <c r="G70" s="1" t="str">
        <f ca="1">IFERROR(__xludf.DUMMYFUNCTION("""COMPUTED_VALUE"""),".na")</f>
        <v>.na</v>
      </c>
      <c r="H70" s="1"/>
      <c r="I70" s="1"/>
      <c r="J70" s="1" t="str">
        <f ca="1">IFERROR(__xludf.DUMMYFUNCTION("""COMPUTED_VALUE"""),"The distance an animal travels between its place of birth to the place where it reproduces in kilometers")</f>
        <v>The distance an animal travels between its place of birth to the place where it reproduces in kilometers</v>
      </c>
      <c r="K70" s="1"/>
      <c r="L70" s="8" t="str">
        <f ca="1">IFERROR(__xludf.DUMMYFUNCTION("""COMPUTED_VALUE"""),"https://doi.org/10.1002/ecy.3344")</f>
        <v>https://doi.org/10.1002/ecy.3344</v>
      </c>
      <c r="M70" s="1" t="str">
        <f ca="1">IFERROR(__xludf.DUMMYFUNCTION("""COMPUTED_VALUE"""),"Soria_2021")</f>
        <v>Soria_2021</v>
      </c>
    </row>
    <row r="71" spans="1:13" ht="13.2">
      <c r="A71" s="1" t="str">
        <f ca="1">IFERROR(__xludf.DUMMYFUNCTION("""COMPUTED_VALUE"""),"density_n_km2")</f>
        <v>density_n_km2</v>
      </c>
      <c r="B71" s="1"/>
      <c r="C71" s="1"/>
      <c r="D71" s="1"/>
      <c r="E71" s="1" t="str">
        <f ca="1">IFERROR(__xludf.DUMMYFUNCTION("""COMPUTED_VALUE"""),"numeric")</f>
        <v>numeric</v>
      </c>
      <c r="F71" s="1" t="str">
        <f ca="1">IFERROR(__xludf.DUMMYFUNCTION("""COMPUTED_VALUE"""),"individuals/km2")</f>
        <v>individuals/km2</v>
      </c>
      <c r="G71" s="1" t="str">
        <f ca="1">IFERROR(__xludf.DUMMYFUNCTION("""COMPUTED_VALUE"""),".na")</f>
        <v>.na</v>
      </c>
      <c r="H71" s="1"/>
      <c r="I71" s="1"/>
      <c r="J71" s="1" t="str">
        <f ca="1">IFERROR(__xludf.DUMMYFUNCTION("""COMPUTED_VALUE"""),"Number of individuals of the species per squared kilometer")</f>
        <v>Number of individuals of the species per squared kilometer</v>
      </c>
      <c r="K71" s="1"/>
      <c r="L71" s="8" t="str">
        <f ca="1">IFERROR(__xludf.DUMMYFUNCTION("""COMPUTED_VALUE"""),"https://doi.org/10.1002/ecy.3344")</f>
        <v>https://doi.org/10.1002/ecy.3344</v>
      </c>
      <c r="M71" s="1" t="str">
        <f ca="1">IFERROR(__xludf.DUMMYFUNCTION("""COMPUTED_VALUE"""),"Soria_2021")</f>
        <v>Soria_2021</v>
      </c>
    </row>
    <row r="72" spans="1:13" ht="13.2">
      <c r="A72" s="1" t="str">
        <f ca="1">IFERROR(__xludf.DUMMYFUNCTION("""COMPUTED_VALUE"""),"hibernation_torpor")</f>
        <v>hibernation_torpor</v>
      </c>
      <c r="B72" s="1"/>
      <c r="C72" s="1"/>
      <c r="D72" s="1"/>
      <c r="E72" s="1" t="str">
        <f ca="1">IFERROR(__xludf.DUMMYFUNCTION("""COMPUTED_VALUE"""),"categorical")</f>
        <v>categorical</v>
      </c>
      <c r="F72" s="1" t="str">
        <f ca="1">IFERROR(__xludf.DUMMYFUNCTION("""COMPUTED_VALUE"""),".na")</f>
        <v>.na</v>
      </c>
      <c r="G72" s="1" t="str">
        <f ca="1">IFERROR(__xludf.DUMMYFUNCTION("""COMPUTED_VALUE"""),"0 (no), 1 (yes)")</f>
        <v>0 (no), 1 (yes)</v>
      </c>
      <c r="H72" s="1" t="str">
        <f ca="1">IFERROR(__xludf.DUMMYFUNCTION("""COMPUTED_VALUE"""),".na")</f>
        <v>.na</v>
      </c>
      <c r="I72" s="1" t="str">
        <f ca="1">IFERROR(__xludf.DUMMYFUNCTION("""COMPUTED_VALUE"""),".na")</f>
        <v>.na</v>
      </c>
      <c r="J72" s="1" t="str">
        <f ca="1">IFERROR(__xludf.DUMMYFUNCTION("""COMPUTED_VALUE"""),"Individuals of the species go through hibernation or torpor")</f>
        <v>Individuals of the species go through hibernation or torpor</v>
      </c>
      <c r="K72" s="1"/>
      <c r="L72" s="8" t="str">
        <f ca="1">IFERROR(__xludf.DUMMYFUNCTION("""COMPUTED_VALUE"""),"https://doi.org/10.1002/ecy.3344")</f>
        <v>https://doi.org/10.1002/ecy.3344</v>
      </c>
      <c r="M72" s="1" t="str">
        <f ca="1">IFERROR(__xludf.DUMMYFUNCTION("""COMPUTED_VALUE"""),"Soria_2021")</f>
        <v>Soria_2021</v>
      </c>
    </row>
    <row r="73" spans="1:13" ht="13.2">
      <c r="A73" s="1" t="str">
        <f ca="1">IFERROR(__xludf.DUMMYFUNCTION("""COMPUTED_VALUE"""),"fossoriality")</f>
        <v>fossoriality</v>
      </c>
      <c r="B73" s="1"/>
      <c r="C73" s="1"/>
      <c r="D73" s="1"/>
      <c r="E73" s="1" t="str">
        <f ca="1">IFERROR(__xludf.DUMMYFUNCTION("""COMPUTED_VALUE"""),"categorical")</f>
        <v>categorical</v>
      </c>
      <c r="F73" s="1" t="str">
        <f ca="1">IFERROR(__xludf.DUMMYFUNCTION("""COMPUTED_VALUE"""),".na")</f>
        <v>.na</v>
      </c>
      <c r="G73" s="1" t="str">
        <f ca="1">IFERROR(__xludf.DUMMYFUNCTION("""COMPUTED_VALUE"""),"1: fossorial and/or ground dwelling, 2: above ground dwelling ")</f>
        <v xml:space="preserve">1: fossorial and/or ground dwelling, 2: above ground dwelling </v>
      </c>
      <c r="H73" s="1" t="str">
        <f ca="1">IFERROR(__xludf.DUMMYFUNCTION("""COMPUTED_VALUE"""),".na")</f>
        <v>.na</v>
      </c>
      <c r="I73" s="1" t="str">
        <f ca="1">IFERROR(__xludf.DUMMYFUNCTION("""COMPUTED_VALUE"""),".na")</f>
        <v>.na</v>
      </c>
      <c r="J73" s="1" t="str">
        <f ca="1">IFERROR(__xludf.DUMMYFUNCTION("""COMPUTED_VALUE"""),"The species is above ground dwelling or ground/fossorial dwelling")</f>
        <v>The species is above ground dwelling or ground/fossorial dwelling</v>
      </c>
      <c r="K73" s="1"/>
      <c r="L73" s="8" t="str">
        <f ca="1">IFERROR(__xludf.DUMMYFUNCTION("""COMPUTED_VALUE"""),"https://doi.org/10.1002/ecy.3344")</f>
        <v>https://doi.org/10.1002/ecy.3344</v>
      </c>
      <c r="M73" s="1" t="str">
        <f ca="1">IFERROR(__xludf.DUMMYFUNCTION("""COMPUTED_VALUE"""),"Soria_2021")</f>
        <v>Soria_2021</v>
      </c>
    </row>
    <row r="74" spans="1:13" ht="13.2">
      <c r="A74" s="1" t="str">
        <f ca="1">IFERROR(__xludf.DUMMYFUNCTION("""COMPUTED_VALUE"""),"home_range_km2")</f>
        <v>home_range_km2</v>
      </c>
      <c r="B74" s="1"/>
      <c r="C74" s="1"/>
      <c r="D74" s="1"/>
      <c r="E74" s="1" t="str">
        <f ca="1">IFERROR(__xludf.DUMMYFUNCTION("""COMPUTED_VALUE"""),"numeric")</f>
        <v>numeric</v>
      </c>
      <c r="F74" s="1" t="str">
        <f ca="1">IFERROR(__xludf.DUMMYFUNCTION("""COMPUTED_VALUE"""),"km2")</f>
        <v>km2</v>
      </c>
      <c r="G74" s="1" t="str">
        <f ca="1">IFERROR(__xludf.DUMMYFUNCTION("""COMPUTED_VALUE"""),".na")</f>
        <v>.na</v>
      </c>
      <c r="H74" s="1"/>
      <c r="I74" s="1"/>
      <c r="J74" s="1" t="str">
        <f ca="1">IFERROR(__xludf.DUMMYFUNCTION("""COMPUTED_VALUE"""),"Size of the area within which everyday activities of individuals or groups of individuals are typically restricted in km2")</f>
        <v>Size of the area within which everyday activities of individuals or groups of individuals are typically restricted in km2</v>
      </c>
      <c r="K74" s="1"/>
      <c r="L74" s="8" t="str">
        <f ca="1">IFERROR(__xludf.DUMMYFUNCTION("""COMPUTED_VALUE"""),"https://doi.org/10.1002/ecy.3344")</f>
        <v>https://doi.org/10.1002/ecy.3344</v>
      </c>
      <c r="M74" s="1" t="str">
        <f ca="1">IFERROR(__xludf.DUMMYFUNCTION("""COMPUTED_VALUE"""),"Soria_2021")</f>
        <v>Soria_2021</v>
      </c>
    </row>
    <row r="75" spans="1:13" ht="13.2">
      <c r="A75" s="1" t="str">
        <f ca="1">IFERROR(__xludf.DUMMYFUNCTION("""COMPUTED_VALUE"""),"social_group_size_n")</f>
        <v>social_group_size_n</v>
      </c>
      <c r="B75" s="1"/>
      <c r="C75" s="1"/>
      <c r="D75" s="1"/>
      <c r="E75" s="1" t="str">
        <f ca="1">IFERROR(__xludf.DUMMYFUNCTION("""COMPUTED_VALUE"""),"numeric")</f>
        <v>numeric</v>
      </c>
      <c r="F75" s="1" t="str">
        <f ca="1">IFERROR(__xludf.DUMMYFUNCTION("""COMPUTED_VALUE"""),"individuals")</f>
        <v>individuals</v>
      </c>
      <c r="G75" s="1" t="str">
        <f ca="1">IFERROR(__xludf.DUMMYFUNCTION("""COMPUTED_VALUE"""),".na")</f>
        <v>.na</v>
      </c>
      <c r="H75" s="1"/>
      <c r="I75" s="1"/>
      <c r="J75" s="1" t="str">
        <f ca="1">IFERROR(__xludf.DUMMYFUNCTION("""COMPUTED_VALUE"""),"Number of individuals in a group that spends most of their daily time together")</f>
        <v>Number of individuals in a group that spends most of their daily time together</v>
      </c>
      <c r="K75" s="1"/>
      <c r="L75" s="8" t="str">
        <f ca="1">IFERROR(__xludf.DUMMYFUNCTION("""COMPUTED_VALUE"""),"https://doi.org/10.1002/ecy.3344")</f>
        <v>https://doi.org/10.1002/ecy.3344</v>
      </c>
      <c r="M75" s="1" t="str">
        <f ca="1">IFERROR(__xludf.DUMMYFUNCTION("""COMPUTED_VALUE"""),"Soria_2021")</f>
        <v>Soria_2021</v>
      </c>
    </row>
    <row r="76" spans="1:13" ht="13.2">
      <c r="A76" s="1" t="str">
        <f ca="1">IFERROR(__xludf.DUMMYFUNCTION("""COMPUTED_VALUE"""),"dphy_invertebrate")</f>
        <v>dphy_invertebrate</v>
      </c>
      <c r="B76" s="1"/>
      <c r="C76" s="1"/>
      <c r="D76" s="1"/>
      <c r="E76" s="1" t="str">
        <f ca="1">IFERROR(__xludf.DUMMYFUNCTION("""COMPUTED_VALUE"""),"numeric")</f>
        <v>numeric</v>
      </c>
      <c r="F76" s="1" t="str">
        <f ca="1">IFERROR(__xludf.DUMMYFUNCTION("""COMPUTED_VALUE"""),"%")</f>
        <v>%</v>
      </c>
      <c r="G76" s="1" t="str">
        <f ca="1">IFERROR(__xludf.DUMMYFUNCTION("""COMPUTED_VALUE"""),".na")</f>
        <v>.na</v>
      </c>
      <c r="H76" s="1"/>
      <c r="I76" s="1"/>
      <c r="J76" s="1" t="str">
        <f ca="1">IFERROR(__xludf.DUMMYFUNCTION("""COMPUTED_VALUE"""),"Percentage of the diet composed of invertebrates ")</f>
        <v xml:space="preserve">Percentage of the diet composed of invertebrates </v>
      </c>
      <c r="K76" s="1"/>
      <c r="L76" s="8" t="str">
        <f ca="1">IFERROR(__xludf.DUMMYFUNCTION("""COMPUTED_VALUE"""),"https://doi.org/10.1002/ecy.3344")</f>
        <v>https://doi.org/10.1002/ecy.3344</v>
      </c>
      <c r="M76" s="1" t="str">
        <f ca="1">IFERROR(__xludf.DUMMYFUNCTION("""COMPUTED_VALUE"""),"Soria_2021")</f>
        <v>Soria_2021</v>
      </c>
    </row>
    <row r="77" spans="1:13" ht="13.2">
      <c r="A77" s="1" t="str">
        <f ca="1">IFERROR(__xludf.DUMMYFUNCTION("""COMPUTED_VALUE"""),"dphy_vertebrate")</f>
        <v>dphy_vertebrate</v>
      </c>
      <c r="B77" s="1"/>
      <c r="C77" s="1"/>
      <c r="D77" s="1"/>
      <c r="E77" s="1" t="str">
        <f ca="1">IFERROR(__xludf.DUMMYFUNCTION("""COMPUTED_VALUE"""),"numeric")</f>
        <v>numeric</v>
      </c>
      <c r="F77" s="1" t="str">
        <f ca="1">IFERROR(__xludf.DUMMYFUNCTION("""COMPUTED_VALUE"""),"%")</f>
        <v>%</v>
      </c>
      <c r="G77" s="1" t="str">
        <f ca="1">IFERROR(__xludf.DUMMYFUNCTION("""COMPUTED_VALUE"""),".na")</f>
        <v>.na</v>
      </c>
      <c r="H77" s="1"/>
      <c r="I77" s="1"/>
      <c r="J77" s="1" t="str">
        <f ca="1">IFERROR(__xludf.DUMMYFUNCTION("""COMPUTED_VALUE"""),"Percentage of the diet composed of vertebrates")</f>
        <v>Percentage of the diet composed of vertebrates</v>
      </c>
      <c r="K77" s="1"/>
      <c r="L77" s="8" t="str">
        <f ca="1">IFERROR(__xludf.DUMMYFUNCTION("""COMPUTED_VALUE"""),"https://doi.org/10.1002/ecy.3344")</f>
        <v>https://doi.org/10.1002/ecy.3344</v>
      </c>
      <c r="M77" s="1" t="str">
        <f ca="1">IFERROR(__xludf.DUMMYFUNCTION("""COMPUTED_VALUE"""),"Soria_2021")</f>
        <v>Soria_2021</v>
      </c>
    </row>
    <row r="78" spans="1:13" ht="13.2">
      <c r="A78" s="1" t="str">
        <f ca="1">IFERROR(__xludf.DUMMYFUNCTION("""COMPUTED_VALUE"""),"dphy_plant")</f>
        <v>dphy_plant</v>
      </c>
      <c r="B78" s="1"/>
      <c r="C78" s="1"/>
      <c r="D78" s="1"/>
      <c r="E78" s="1" t="str">
        <f ca="1">IFERROR(__xludf.DUMMYFUNCTION("""COMPUTED_VALUE"""),"numeric")</f>
        <v>numeric</v>
      </c>
      <c r="F78" s="1" t="str">
        <f ca="1">IFERROR(__xludf.DUMMYFUNCTION("""COMPUTED_VALUE"""),"%")</f>
        <v>%</v>
      </c>
      <c r="G78" s="1" t="str">
        <f ca="1">IFERROR(__xludf.DUMMYFUNCTION("""COMPUTED_VALUE"""),".na")</f>
        <v>.na</v>
      </c>
      <c r="H78" s="1"/>
      <c r="I78" s="1"/>
      <c r="J78" s="1" t="str">
        <f ca="1">IFERROR(__xludf.DUMMYFUNCTION("""COMPUTED_VALUE"""),"Percentage of the diet composed of plants and/or fungi")</f>
        <v>Percentage of the diet composed of plants and/or fungi</v>
      </c>
      <c r="K78" s="1"/>
      <c r="L78" s="8" t="str">
        <f ca="1">IFERROR(__xludf.DUMMYFUNCTION("""COMPUTED_VALUE"""),"https://doi.org/10.1002/ecy.3344")</f>
        <v>https://doi.org/10.1002/ecy.3344</v>
      </c>
      <c r="M78" s="1" t="str">
        <f ca="1">IFERROR(__xludf.DUMMYFUNCTION("""COMPUTED_VALUE"""),"Soria_2021")</f>
        <v>Soria_2021</v>
      </c>
    </row>
    <row r="79" spans="1:13" ht="13.2">
      <c r="A79" s="1" t="str">
        <f ca="1">IFERROR(__xludf.DUMMYFUNCTION("""COMPUTED_VALUE"""),"det_inv")</f>
        <v>det_inv</v>
      </c>
      <c r="B79" s="1"/>
      <c r="C79" s="1"/>
      <c r="D79" s="1"/>
      <c r="E79" s="1" t="str">
        <f ca="1">IFERROR(__xludf.DUMMYFUNCTION("""COMPUTED_VALUE"""),"numeric")</f>
        <v>numeric</v>
      </c>
      <c r="F79" s="1" t="str">
        <f ca="1">IFERROR(__xludf.DUMMYFUNCTION("""COMPUTED_VALUE"""),"%")</f>
        <v>%</v>
      </c>
      <c r="G79" s="1" t="str">
        <f ca="1">IFERROR(__xludf.DUMMYFUNCTION("""COMPUTED_VALUE"""),".na")</f>
        <v>.na</v>
      </c>
      <c r="H79" s="1"/>
      <c r="I79" s="1"/>
      <c r="J79" s="1" t="str">
        <f ca="1">IFERROR(__xludf.DUMMYFUNCTION("""COMPUTED_VALUE"""),"Percentage of the diet composed of invertebrates")</f>
        <v>Percentage of the diet composed of invertebrates</v>
      </c>
      <c r="K79" s="1"/>
      <c r="L79" s="8" t="str">
        <f ca="1">IFERROR(__xludf.DUMMYFUNCTION("""COMPUTED_VALUE"""),"https://doi.org/10.1002/ecy.3344")</f>
        <v>https://doi.org/10.1002/ecy.3344</v>
      </c>
      <c r="M79" s="1" t="str">
        <f ca="1">IFERROR(__xludf.DUMMYFUNCTION("""COMPUTED_VALUE"""),"Soria_2021")</f>
        <v>Soria_2021</v>
      </c>
    </row>
    <row r="80" spans="1:13" ht="13.2">
      <c r="A80" s="1" t="str">
        <f ca="1">IFERROR(__xludf.DUMMYFUNCTION("""COMPUTED_VALUE"""),"det_vend")</f>
        <v>det_vend</v>
      </c>
      <c r="B80" s="1"/>
      <c r="C80" s="1"/>
      <c r="D80" s="1"/>
      <c r="E80" s="1" t="str">
        <f ca="1">IFERROR(__xludf.DUMMYFUNCTION("""COMPUTED_VALUE"""),"numeric")</f>
        <v>numeric</v>
      </c>
      <c r="F80" s="1" t="str">
        <f ca="1">IFERROR(__xludf.DUMMYFUNCTION("""COMPUTED_VALUE"""),"%")</f>
        <v>%</v>
      </c>
      <c r="G80" s="1" t="str">
        <f ca="1">IFERROR(__xludf.DUMMYFUNCTION("""COMPUTED_VALUE"""),".na")</f>
        <v>.na</v>
      </c>
      <c r="H80" s="1"/>
      <c r="I80" s="1"/>
      <c r="J80" s="1" t="str">
        <f ca="1">IFERROR(__xludf.DUMMYFUNCTION("""COMPUTED_VALUE"""),"Percentage of the diet composed of mammals, birds")</f>
        <v>Percentage of the diet composed of mammals, birds</v>
      </c>
      <c r="K80" s="1"/>
      <c r="L80" s="8" t="str">
        <f ca="1">IFERROR(__xludf.DUMMYFUNCTION("""COMPUTED_VALUE"""),"https://doi.org/10.1002/ecy.3344")</f>
        <v>https://doi.org/10.1002/ecy.3344</v>
      </c>
      <c r="M80" s="1" t="str">
        <f ca="1">IFERROR(__xludf.DUMMYFUNCTION("""COMPUTED_VALUE"""),"Soria_2021")</f>
        <v>Soria_2021</v>
      </c>
    </row>
    <row r="81" spans="1:13" ht="13.2">
      <c r="A81" s="1" t="str">
        <f ca="1">IFERROR(__xludf.DUMMYFUNCTION("""COMPUTED_VALUE"""),"det_vect")</f>
        <v>det_vect</v>
      </c>
      <c r="B81" s="1"/>
      <c r="C81" s="1"/>
      <c r="D81" s="1"/>
      <c r="E81" s="1" t="str">
        <f ca="1">IFERROR(__xludf.DUMMYFUNCTION("""COMPUTED_VALUE"""),"numeric")</f>
        <v>numeric</v>
      </c>
      <c r="F81" s="1" t="str">
        <f ca="1">IFERROR(__xludf.DUMMYFUNCTION("""COMPUTED_VALUE"""),"%")</f>
        <v>%</v>
      </c>
      <c r="G81" s="1" t="str">
        <f ca="1">IFERROR(__xludf.DUMMYFUNCTION("""COMPUTED_VALUE"""),".na")</f>
        <v>.na</v>
      </c>
      <c r="H81" s="1"/>
      <c r="I81" s="1"/>
      <c r="J81" s="1" t="str">
        <f ca="1">IFERROR(__xludf.DUMMYFUNCTION("""COMPUTED_VALUE"""),"Percentage of the diet composed of reptiles, snakes, amphibians, salamanders")</f>
        <v>Percentage of the diet composed of reptiles, snakes, amphibians, salamanders</v>
      </c>
      <c r="K81" s="1"/>
      <c r="L81" s="8" t="str">
        <f ca="1">IFERROR(__xludf.DUMMYFUNCTION("""COMPUTED_VALUE"""),"https://doi.org/10.1002/ecy.3344")</f>
        <v>https://doi.org/10.1002/ecy.3344</v>
      </c>
      <c r="M81" s="1" t="str">
        <f ca="1">IFERROR(__xludf.DUMMYFUNCTION("""COMPUTED_VALUE"""),"Soria_2021")</f>
        <v>Soria_2021</v>
      </c>
    </row>
    <row r="82" spans="1:13" ht="13.2">
      <c r="A82" s="1" t="str">
        <f ca="1">IFERROR(__xludf.DUMMYFUNCTION("""COMPUTED_VALUE"""),"det_vfish")</f>
        <v>det_vfish</v>
      </c>
      <c r="B82" s="1"/>
      <c r="C82" s="1"/>
      <c r="D82" s="1"/>
      <c r="E82" s="1" t="str">
        <f ca="1">IFERROR(__xludf.DUMMYFUNCTION("""COMPUTED_VALUE"""),"numeric")</f>
        <v>numeric</v>
      </c>
      <c r="F82" s="1" t="str">
        <f ca="1">IFERROR(__xludf.DUMMYFUNCTION("""COMPUTED_VALUE"""),"%")</f>
        <v>%</v>
      </c>
      <c r="G82" s="1" t="str">
        <f ca="1">IFERROR(__xludf.DUMMYFUNCTION("""COMPUTED_VALUE"""),".na")</f>
        <v>.na</v>
      </c>
      <c r="H82" s="1"/>
      <c r="I82" s="1"/>
      <c r="J82" s="1" t="str">
        <f ca="1">IFERROR(__xludf.DUMMYFUNCTION("""COMPUTED_VALUE"""),"Percentage of the diet composed of fish")</f>
        <v>Percentage of the diet composed of fish</v>
      </c>
      <c r="K82" s="1"/>
      <c r="L82" s="8" t="str">
        <f ca="1">IFERROR(__xludf.DUMMYFUNCTION("""COMPUTED_VALUE"""),"https://doi.org/10.1002/ecy.3344")</f>
        <v>https://doi.org/10.1002/ecy.3344</v>
      </c>
      <c r="M82" s="1" t="str">
        <f ca="1">IFERROR(__xludf.DUMMYFUNCTION("""COMPUTED_VALUE"""),"Soria_2021")</f>
        <v>Soria_2021</v>
      </c>
    </row>
    <row r="83" spans="1:13" ht="13.2">
      <c r="A83" s="1" t="str">
        <f ca="1">IFERROR(__xludf.DUMMYFUNCTION("""COMPUTED_VALUE"""),"det_vunk")</f>
        <v>det_vunk</v>
      </c>
      <c r="B83" s="1"/>
      <c r="C83" s="1"/>
      <c r="D83" s="1"/>
      <c r="E83" s="1" t="str">
        <f ca="1">IFERROR(__xludf.DUMMYFUNCTION("""COMPUTED_VALUE"""),"numeric")</f>
        <v>numeric</v>
      </c>
      <c r="F83" s="1" t="str">
        <f ca="1">IFERROR(__xludf.DUMMYFUNCTION("""COMPUTED_VALUE"""),"%")</f>
        <v>%</v>
      </c>
      <c r="G83" s="1" t="str">
        <f ca="1">IFERROR(__xludf.DUMMYFUNCTION("""COMPUTED_VALUE"""),".na")</f>
        <v>.na</v>
      </c>
      <c r="H83" s="1"/>
      <c r="I83" s="1"/>
      <c r="J83" s="1" t="str">
        <f ca="1">IFERROR(__xludf.DUMMYFUNCTION("""COMPUTED_VALUE"""),"Percentage of the diet composed of vertebrates – general or unknown")</f>
        <v>Percentage of the diet composed of vertebrates – general or unknown</v>
      </c>
      <c r="K83" s="1"/>
      <c r="L83" s="8" t="str">
        <f ca="1">IFERROR(__xludf.DUMMYFUNCTION("""COMPUTED_VALUE"""),"https://doi.org/10.1002/ecy.3344")</f>
        <v>https://doi.org/10.1002/ecy.3344</v>
      </c>
      <c r="M83" s="1" t="str">
        <f ca="1">IFERROR(__xludf.DUMMYFUNCTION("""COMPUTED_VALUE"""),"Soria_2021")</f>
        <v>Soria_2021</v>
      </c>
    </row>
    <row r="84" spans="1:13" ht="13.2">
      <c r="A84" s="1" t="str">
        <f ca="1">IFERROR(__xludf.DUMMYFUNCTION("""COMPUTED_VALUE"""),"det_scav")</f>
        <v>det_scav</v>
      </c>
      <c r="B84" s="1"/>
      <c r="C84" s="1"/>
      <c r="D84" s="1"/>
      <c r="E84" s="1" t="str">
        <f ca="1">IFERROR(__xludf.DUMMYFUNCTION("""COMPUTED_VALUE"""),"numeric")</f>
        <v>numeric</v>
      </c>
      <c r="F84" s="1" t="str">
        <f ca="1">IFERROR(__xludf.DUMMYFUNCTION("""COMPUTED_VALUE"""),"%")</f>
        <v>%</v>
      </c>
      <c r="G84" s="1" t="str">
        <f ca="1">IFERROR(__xludf.DUMMYFUNCTION("""COMPUTED_VALUE"""),".na")</f>
        <v>.na</v>
      </c>
      <c r="H84" s="1"/>
      <c r="I84" s="1"/>
      <c r="J84" s="1" t="str">
        <f ca="1">IFERROR(__xludf.DUMMYFUNCTION("""COMPUTED_VALUE"""),"Percentage of the diet composed of scavenge, garbage, offal, carcasses, trawlers, carrion")</f>
        <v>Percentage of the diet composed of scavenge, garbage, offal, carcasses, trawlers, carrion</v>
      </c>
      <c r="K84" s="1"/>
      <c r="L84" s="8" t="str">
        <f ca="1">IFERROR(__xludf.DUMMYFUNCTION("""COMPUTED_VALUE"""),"https://doi.org/10.1002/ecy.3344")</f>
        <v>https://doi.org/10.1002/ecy.3344</v>
      </c>
      <c r="M84" s="1" t="str">
        <f ca="1">IFERROR(__xludf.DUMMYFUNCTION("""COMPUTED_VALUE"""),"Soria_2021")</f>
        <v>Soria_2021</v>
      </c>
    </row>
    <row r="85" spans="1:13" ht="13.2">
      <c r="A85" s="1" t="str">
        <f ca="1">IFERROR(__xludf.DUMMYFUNCTION("""COMPUTED_VALUE"""),"det_fruit")</f>
        <v>det_fruit</v>
      </c>
      <c r="B85" s="1"/>
      <c r="C85" s="1"/>
      <c r="D85" s="1"/>
      <c r="E85" s="1" t="str">
        <f ca="1">IFERROR(__xludf.DUMMYFUNCTION("""COMPUTED_VALUE"""),"numeric")</f>
        <v>numeric</v>
      </c>
      <c r="F85" s="1" t="str">
        <f ca="1">IFERROR(__xludf.DUMMYFUNCTION("""COMPUTED_VALUE"""),"%")</f>
        <v>%</v>
      </c>
      <c r="G85" s="1" t="str">
        <f ca="1">IFERROR(__xludf.DUMMYFUNCTION("""COMPUTED_VALUE"""),".na")</f>
        <v>.na</v>
      </c>
      <c r="H85" s="1"/>
      <c r="I85" s="1"/>
      <c r="J85" s="1" t="str">
        <f ca="1">IFERROR(__xludf.DUMMYFUNCTION("""COMPUTED_VALUE"""),"Percentage of the diet composed of fruit, drupes")</f>
        <v>Percentage of the diet composed of fruit, drupes</v>
      </c>
      <c r="K85" s="1"/>
      <c r="L85" s="8" t="str">
        <f ca="1">IFERROR(__xludf.DUMMYFUNCTION("""COMPUTED_VALUE"""),"https://doi.org/10.1002/ecy.3344")</f>
        <v>https://doi.org/10.1002/ecy.3344</v>
      </c>
      <c r="M85" s="1" t="str">
        <f ca="1">IFERROR(__xludf.DUMMYFUNCTION("""COMPUTED_VALUE"""),"Soria_2021")</f>
        <v>Soria_2021</v>
      </c>
    </row>
    <row r="86" spans="1:13" ht="13.2">
      <c r="A86" s="1" t="str">
        <f ca="1">IFERROR(__xludf.DUMMYFUNCTION("""COMPUTED_VALUE"""),"det_nect")</f>
        <v>det_nect</v>
      </c>
      <c r="B86" s="1"/>
      <c r="C86" s="1"/>
      <c r="D86" s="1"/>
      <c r="E86" s="1" t="str">
        <f ca="1">IFERROR(__xludf.DUMMYFUNCTION("""COMPUTED_VALUE"""),"numeric")</f>
        <v>numeric</v>
      </c>
      <c r="F86" s="1" t="str">
        <f ca="1">IFERROR(__xludf.DUMMYFUNCTION("""COMPUTED_VALUE"""),"%")</f>
        <v>%</v>
      </c>
      <c r="G86" s="1" t="str">
        <f ca="1">IFERROR(__xludf.DUMMYFUNCTION("""COMPUTED_VALUE"""),".na")</f>
        <v>.na</v>
      </c>
      <c r="H86" s="1"/>
      <c r="I86" s="1"/>
      <c r="J86" s="1" t="str">
        <f ca="1">IFERROR(__xludf.DUMMYFUNCTION("""COMPUTED_VALUE"""),"Percentage of the diet composed of nectar, pollen, plant exudates, gums")</f>
        <v>Percentage of the diet composed of nectar, pollen, plant exudates, gums</v>
      </c>
      <c r="K86" s="1"/>
      <c r="L86" s="8" t="str">
        <f ca="1">IFERROR(__xludf.DUMMYFUNCTION("""COMPUTED_VALUE"""),"https://doi.org/10.1002/ecy.3344")</f>
        <v>https://doi.org/10.1002/ecy.3344</v>
      </c>
      <c r="M86" s="1" t="str">
        <f ca="1">IFERROR(__xludf.DUMMYFUNCTION("""COMPUTED_VALUE"""),"Soria_2021")</f>
        <v>Soria_2021</v>
      </c>
    </row>
    <row r="87" spans="1:13" ht="13.2">
      <c r="A87" s="1" t="str">
        <f ca="1">IFERROR(__xludf.DUMMYFUNCTION("""COMPUTED_VALUE"""),"det_seed")</f>
        <v>det_seed</v>
      </c>
      <c r="B87" s="1"/>
      <c r="C87" s="1"/>
      <c r="D87" s="1"/>
      <c r="E87" s="1" t="str">
        <f ca="1">IFERROR(__xludf.DUMMYFUNCTION("""COMPUTED_VALUE"""),"numeric")</f>
        <v>numeric</v>
      </c>
      <c r="F87" s="1" t="str">
        <f ca="1">IFERROR(__xludf.DUMMYFUNCTION("""COMPUTED_VALUE"""),"%")</f>
        <v>%</v>
      </c>
      <c r="G87" s="1" t="str">
        <f ca="1">IFERROR(__xludf.DUMMYFUNCTION("""COMPUTED_VALUE"""),".na")</f>
        <v>.na</v>
      </c>
      <c r="H87" s="1"/>
      <c r="I87" s="1"/>
      <c r="J87" s="1" t="str">
        <f ca="1">IFERROR(__xludf.DUMMYFUNCTION("""COMPUTED_VALUE"""),"Percentage of the diet composed of seed, maize, nuts, spores, wheat, grains")</f>
        <v>Percentage of the diet composed of seed, maize, nuts, spores, wheat, grains</v>
      </c>
      <c r="K87" s="1"/>
      <c r="L87" s="8" t="str">
        <f ca="1">IFERROR(__xludf.DUMMYFUNCTION("""COMPUTED_VALUE"""),"https://doi.org/10.1002/ecy.3344")</f>
        <v>https://doi.org/10.1002/ecy.3344</v>
      </c>
      <c r="M87" s="1" t="str">
        <f ca="1">IFERROR(__xludf.DUMMYFUNCTION("""COMPUTED_VALUE"""),"Soria_2021")</f>
        <v>Soria_2021</v>
      </c>
    </row>
    <row r="88" spans="1:13" ht="13.2">
      <c r="A88" s="1" t="str">
        <f ca="1">IFERROR(__xludf.DUMMYFUNCTION("""COMPUTED_VALUE"""),"det_plantother")</f>
        <v>det_plantother</v>
      </c>
      <c r="B88" s="1"/>
      <c r="C88" s="1"/>
      <c r="D88" s="1"/>
      <c r="E88" s="1" t="str">
        <f ca="1">IFERROR(__xludf.DUMMYFUNCTION("""COMPUTED_VALUE"""),"numeric")</f>
        <v>numeric</v>
      </c>
      <c r="F88" s="1" t="str">
        <f ca="1">IFERROR(__xludf.DUMMYFUNCTION("""COMPUTED_VALUE"""),"%")</f>
        <v>%</v>
      </c>
      <c r="G88" s="1" t="str">
        <f ca="1">IFERROR(__xludf.DUMMYFUNCTION("""COMPUTED_VALUE"""),".na")</f>
        <v>.na</v>
      </c>
      <c r="H88" s="1"/>
      <c r="I88" s="1"/>
      <c r="J88" s="1" t="str">
        <f ca="1">IFERROR(__xludf.DUMMYFUNCTION("""COMPUTED_VALUE"""),"Percentage of the diet composed of other plant elements")</f>
        <v>Percentage of the diet composed of other plant elements</v>
      </c>
      <c r="K88" s="1"/>
      <c r="L88" s="8" t="str">
        <f ca="1">IFERROR(__xludf.DUMMYFUNCTION("""COMPUTED_VALUE"""),"https://doi.org/10.1002/ecy.3344")</f>
        <v>https://doi.org/10.1002/ecy.3344</v>
      </c>
      <c r="M88" s="1" t="str">
        <f ca="1">IFERROR(__xludf.DUMMYFUNCTION("""COMPUTED_VALUE"""),"Soria_2021")</f>
        <v>Soria_2021</v>
      </c>
    </row>
    <row r="89" spans="1:13" ht="13.2">
      <c r="A89" s="1" t="str">
        <f ca="1">IFERROR(__xludf.DUMMYFUNCTION("""COMPUTED_VALUE"""),"det_diet_breadth_n")</f>
        <v>det_diet_breadth_n</v>
      </c>
      <c r="B89" s="1"/>
      <c r="C89" s="1"/>
      <c r="D89" s="1"/>
      <c r="E89" s="1" t="str">
        <f ca="1">IFERROR(__xludf.DUMMYFUNCTION("""COMPUTED_VALUE"""),"categorical")</f>
        <v>categorical</v>
      </c>
      <c r="F89" s="1" t="str">
        <f ca="1">IFERROR(__xludf.DUMMYFUNCTION("""COMPUTED_VALUE"""),".na")</f>
        <v>.na</v>
      </c>
      <c r="G89" s="1" t="str">
        <f ca="1">IFERROR(__xludf.DUMMYFUNCTION("""COMPUTED_VALUE"""),"Values range from 1 dietary category to 5 dietary categories")</f>
        <v>Values range from 1 dietary category to 5 dietary categories</v>
      </c>
      <c r="H89" s="1" t="str">
        <f ca="1">IFERROR(__xludf.DUMMYFUNCTION("""COMPUTED_VALUE"""),".na")</f>
        <v>.na</v>
      </c>
      <c r="I89" s="1" t="str">
        <f ca="1">IFERROR(__xludf.DUMMYFUNCTION("""COMPUTED_VALUE"""),".na")</f>
        <v>.na</v>
      </c>
      <c r="J89" s="1" t="str">
        <f ca="1">IFERROR(__xludf.DUMMYFUNCTION("""COMPUTED_VALUE"""),"Number of prevalent (≥ 20%) EltonTraits dietary categories consumed")</f>
        <v>Number of prevalent (≥ 20%) EltonTraits dietary categories consumed</v>
      </c>
      <c r="K89" s="1"/>
      <c r="L89" s="8" t="str">
        <f ca="1">IFERROR(__xludf.DUMMYFUNCTION("""COMPUTED_VALUE"""),"https://doi.org/10.1002/ecy.3344")</f>
        <v>https://doi.org/10.1002/ecy.3344</v>
      </c>
      <c r="M89" s="1" t="str">
        <f ca="1">IFERROR(__xludf.DUMMYFUNCTION("""COMPUTED_VALUE"""),"Soria_2021")</f>
        <v>Soria_2021</v>
      </c>
    </row>
    <row r="90" spans="1:13" ht="13.2">
      <c r="A90" s="1" t="str">
        <f ca="1">IFERROR(__xludf.DUMMYFUNCTION("""COMPUTED_VALUE"""),"trophic_level")</f>
        <v>trophic_level</v>
      </c>
      <c r="B90" s="1"/>
      <c r="C90" s="1"/>
      <c r="D90" s="1"/>
      <c r="E90" s="1" t="str">
        <f ca="1">IFERROR(__xludf.DUMMYFUNCTION("""COMPUTED_VALUE"""),"categorical")</f>
        <v>categorical</v>
      </c>
      <c r="F90" s="1" t="str">
        <f ca="1">IFERROR(__xludf.DUMMYFUNCTION("""COMPUTED_VALUE"""),".na")</f>
        <v>.na</v>
      </c>
      <c r="G90" s="1" t="str">
        <f ca="1">IFERROR(__xludf.DUMMYFUNCTION("""COMPUTED_VALUE"""),"1: herbivore 2: omnivore 3: carnivore")</f>
        <v>1: herbivore 2: omnivore 3: carnivore</v>
      </c>
      <c r="H90" s="1" t="str">
        <f ca="1">IFERROR(__xludf.DUMMYFUNCTION("""COMPUTED_VALUE"""),".na")</f>
        <v>.na</v>
      </c>
      <c r="I90" s="1" t="str">
        <f ca="1">IFERROR(__xludf.DUMMYFUNCTION("""COMPUTED_VALUE"""),".na")</f>
        <v>.na</v>
      </c>
      <c r="J90" s="1" t="str">
        <f ca="1">IFERROR(__xludf.DUMMYFUNCTION("""COMPUTED_VALUE"""),"Trophic level of the species")</f>
        <v>Trophic level of the species</v>
      </c>
      <c r="K90" s="1"/>
      <c r="L90" s="8" t="str">
        <f ca="1">IFERROR(__xludf.DUMMYFUNCTION("""COMPUTED_VALUE"""),"https://doi.org/10.1002/ecy.3344")</f>
        <v>https://doi.org/10.1002/ecy.3344</v>
      </c>
      <c r="M90" s="1" t="str">
        <f ca="1">IFERROR(__xludf.DUMMYFUNCTION("""COMPUTED_VALUE"""),"Soria_2021")</f>
        <v>Soria_2021</v>
      </c>
    </row>
    <row r="91" spans="1:13" ht="13.2">
      <c r="A91" s="1" t="str">
        <f ca="1">IFERROR(__xludf.DUMMYFUNCTION("""COMPUTED_VALUE"""),"foraging_stratum")</f>
        <v>foraging_stratum</v>
      </c>
      <c r="B91" s="1"/>
      <c r="C91" s="1"/>
      <c r="D91" s="1"/>
      <c r="E91" s="1" t="str">
        <f ca="1">IFERROR(__xludf.DUMMYFUNCTION("""COMPUTED_VALUE"""),"categorical")</f>
        <v>categorical</v>
      </c>
      <c r="F91" s="1" t="str">
        <f ca="1">IFERROR(__xludf.DUMMYFUNCTION("""COMPUTED_VALUE"""),".na")</f>
        <v>.na</v>
      </c>
      <c r="G91" s="1" t="str">
        <f ca="1">IFERROR(__xludf.DUMMYFUNCTION("""COMPUTED_VALUE"""),"M: marine, G: ground level, including aquatic foraging, S: scansorial, Ar: arboreal, A: aerial")</f>
        <v>M: marine, G: ground level, including aquatic foraging, S: scansorial, Ar: arboreal, A: aerial</v>
      </c>
      <c r="H91" s="1" t="str">
        <f ca="1">IFERROR(__xludf.DUMMYFUNCTION("""COMPUTED_VALUE"""),".na")</f>
        <v>.na</v>
      </c>
      <c r="I91" s="1" t="str">
        <f ca="1">IFERROR(__xludf.DUMMYFUNCTION("""COMPUTED_VALUE"""),".na")</f>
        <v>.na</v>
      </c>
      <c r="J91" s="1" t="str">
        <f ca="1">IFERROR(__xludf.DUMMYFUNCTION("""COMPUTED_VALUE"""),"Assignment to one of five foraging stratum categories")</f>
        <v>Assignment to one of five foraging stratum categories</v>
      </c>
      <c r="K91" s="1"/>
      <c r="L91" s="8" t="str">
        <f ca="1">IFERROR(__xludf.DUMMYFUNCTION("""COMPUTED_VALUE"""),"https://doi.org/10.1002/ecy.3344")</f>
        <v>https://doi.org/10.1002/ecy.3344</v>
      </c>
      <c r="M91" s="1" t="str">
        <f ca="1">IFERROR(__xludf.DUMMYFUNCTION("""COMPUTED_VALUE"""),"Soria_2021")</f>
        <v>Soria_2021</v>
      </c>
    </row>
    <row r="92" spans="1:13" ht="13.2">
      <c r="A92" s="1" t="str">
        <f ca="1">IFERROR(__xludf.DUMMYFUNCTION("""COMPUTED_VALUE"""),"activity_cycle")</f>
        <v>activity_cycle</v>
      </c>
      <c r="B92" s="1"/>
      <c r="C92" s="1"/>
      <c r="D92" s="1"/>
      <c r="E92" s="1" t="str">
        <f ca="1">IFERROR(__xludf.DUMMYFUNCTION("""COMPUTED_VALUE"""),"categorical")</f>
        <v>categorical</v>
      </c>
      <c r="F92" s="1" t="str">
        <f ca="1">IFERROR(__xludf.DUMMYFUNCTION("""COMPUTED_VALUE"""),".na")</f>
        <v>.na</v>
      </c>
      <c r="G92" s="1" t="str">
        <f ca="1">IFERROR(__xludf.DUMMYFUNCTION("""COMPUTED_VALUE"""),"1: nocturnal only, 2: nocturnal/crepuscular, cathemeral, crepuscular or diurnal/crepuscular, 3: diurnal only")</f>
        <v>1: nocturnal only, 2: nocturnal/crepuscular, cathemeral, crepuscular or diurnal/crepuscular, 3: diurnal only</v>
      </c>
      <c r="H92" s="1" t="str">
        <f ca="1">IFERROR(__xludf.DUMMYFUNCTION("""COMPUTED_VALUE"""),".na")</f>
        <v>.na</v>
      </c>
      <c r="I92" s="1" t="str">
        <f ca="1">IFERROR(__xludf.DUMMYFUNCTION("""COMPUTED_VALUE"""),".na")</f>
        <v>.na</v>
      </c>
      <c r="J92" s="1" t="str">
        <f ca="1">IFERROR(__xludf.DUMMYFUNCTION("""COMPUTED_VALUE"""),"Activity cycle of each species")</f>
        <v>Activity cycle of each species</v>
      </c>
      <c r="K92" s="1"/>
      <c r="L92" s="8" t="str">
        <f ca="1">IFERROR(__xludf.DUMMYFUNCTION("""COMPUTED_VALUE"""),"https://doi.org/10.1002/ecy.3344")</f>
        <v>https://doi.org/10.1002/ecy.3344</v>
      </c>
      <c r="M92" s="1" t="str">
        <f ca="1">IFERROR(__xludf.DUMMYFUNCTION("""COMPUTED_VALUE"""),"Soria_2021")</f>
        <v>Soria_2021</v>
      </c>
    </row>
    <row r="93" spans="1:13" ht="13.2">
      <c r="A93" s="1" t="str">
        <f ca="1">IFERROR(__xludf.DUMMYFUNCTION("""COMPUTED_VALUE"""),"freshwater")</f>
        <v>freshwater</v>
      </c>
      <c r="B93" s="1"/>
      <c r="C93" s="1"/>
      <c r="D93" s="1"/>
      <c r="E93" s="1" t="str">
        <f ca="1">IFERROR(__xludf.DUMMYFUNCTION("""COMPUTED_VALUE"""),"categorical")</f>
        <v>categorical</v>
      </c>
      <c r="F93" s="1" t="str">
        <f ca="1">IFERROR(__xludf.DUMMYFUNCTION("""COMPUTED_VALUE"""),".na")</f>
        <v>.na</v>
      </c>
      <c r="G93" s="1" t="str">
        <f ca="1">IFERROR(__xludf.DUMMYFUNCTION("""COMPUTED_VALUE"""),"0 (no), 1 (yes)")</f>
        <v>0 (no), 1 (yes)</v>
      </c>
      <c r="H93" s="1" t="str">
        <f ca="1">IFERROR(__xludf.DUMMYFUNCTION("""COMPUTED_VALUE"""),".na")</f>
        <v>.na</v>
      </c>
      <c r="I93" s="1" t="str">
        <f ca="1">IFERROR(__xludf.DUMMYFUNCTION("""COMPUTED_VALUE"""),".na")</f>
        <v>.na</v>
      </c>
      <c r="J93" s="1" t="str">
        <f ca="1">IFERROR(__xludf.DUMMYFUNCTION("""COMPUTED_VALUE"""),"The species spends a significant amount of time in freshwater bodies")</f>
        <v>The species spends a significant amount of time in freshwater bodies</v>
      </c>
      <c r="K93" s="1"/>
      <c r="L93" s="8" t="str">
        <f ca="1">IFERROR(__xludf.DUMMYFUNCTION("""COMPUTED_VALUE"""),"https://doi.org/10.1002/ecy.3344")</f>
        <v>https://doi.org/10.1002/ecy.3344</v>
      </c>
      <c r="M93" s="1" t="str">
        <f ca="1">IFERROR(__xludf.DUMMYFUNCTION("""COMPUTED_VALUE"""),"Soria_2021")</f>
        <v>Soria_2021</v>
      </c>
    </row>
    <row r="94" spans="1:13" ht="13.2">
      <c r="A94" s="1" t="str">
        <f ca="1">IFERROR(__xludf.DUMMYFUNCTION("""COMPUTED_VALUE"""),"marine")</f>
        <v>marine</v>
      </c>
      <c r="B94" s="1"/>
      <c r="C94" s="1"/>
      <c r="D94" s="1"/>
      <c r="E94" s="1" t="str">
        <f ca="1">IFERROR(__xludf.DUMMYFUNCTION("""COMPUTED_VALUE"""),"categorical")</f>
        <v>categorical</v>
      </c>
      <c r="F94" s="1" t="str">
        <f ca="1">IFERROR(__xludf.DUMMYFUNCTION("""COMPUTED_VALUE"""),".na")</f>
        <v>.na</v>
      </c>
      <c r="G94" s="1" t="str">
        <f ca="1">IFERROR(__xludf.DUMMYFUNCTION("""COMPUTED_VALUE"""),"0 (no), 1 (yes)")</f>
        <v>0 (no), 1 (yes)</v>
      </c>
      <c r="H94" s="1" t="str">
        <f ca="1">IFERROR(__xludf.DUMMYFUNCTION("""COMPUTED_VALUE"""),".na")</f>
        <v>.na</v>
      </c>
      <c r="I94" s="1" t="str">
        <f ca="1">IFERROR(__xludf.DUMMYFUNCTION("""COMPUTED_VALUE"""),".na")</f>
        <v>.na</v>
      </c>
      <c r="J94" s="1" t="str">
        <f ca="1">IFERROR(__xludf.DUMMYFUNCTION("""COMPUTED_VALUE"""),"The species spends a significant amount of time in oceans and/or seas")</f>
        <v>The species spends a significant amount of time in oceans and/or seas</v>
      </c>
      <c r="K94" s="1"/>
      <c r="L94" s="8" t="str">
        <f ca="1">IFERROR(__xludf.DUMMYFUNCTION("""COMPUTED_VALUE"""),"https://doi.org/10.1002/ecy.3344")</f>
        <v>https://doi.org/10.1002/ecy.3344</v>
      </c>
      <c r="M94" s="1" t="str">
        <f ca="1">IFERROR(__xludf.DUMMYFUNCTION("""COMPUTED_VALUE"""),"Soria_2021")</f>
        <v>Soria_2021</v>
      </c>
    </row>
    <row r="95" spans="1:13" ht="13.2">
      <c r="A95" s="1" t="str">
        <f ca="1">IFERROR(__xludf.DUMMYFUNCTION("""COMPUTED_VALUE"""),"terrestrial_non-volant")</f>
        <v>terrestrial_non-volant</v>
      </c>
      <c r="B95" s="1"/>
      <c r="C95" s="1"/>
      <c r="D95" s="1"/>
      <c r="E95" s="1" t="str">
        <f ca="1">IFERROR(__xludf.DUMMYFUNCTION("""COMPUTED_VALUE"""),"categorical")</f>
        <v>categorical</v>
      </c>
      <c r="F95" s="1" t="str">
        <f ca="1">IFERROR(__xludf.DUMMYFUNCTION("""COMPUTED_VALUE"""),".na")</f>
        <v>.na</v>
      </c>
      <c r="G95" s="1" t="str">
        <f ca="1">IFERROR(__xludf.DUMMYFUNCTION("""COMPUTED_VALUE"""),"0 (no), 1 (yes)")</f>
        <v>0 (no), 1 (yes)</v>
      </c>
      <c r="H95" s="1" t="str">
        <f ca="1">IFERROR(__xludf.DUMMYFUNCTION("""COMPUTED_VALUE"""),".na")</f>
        <v>.na</v>
      </c>
      <c r="I95" s="1" t="str">
        <f ca="1">IFERROR(__xludf.DUMMYFUNCTION("""COMPUTED_VALUE"""),".na")</f>
        <v>.na</v>
      </c>
      <c r="J95" s="1" t="str">
        <f ca="1">IFERROR(__xludf.DUMMYFUNCTION("""COMPUTED_VALUE"""),"The species spends a significant amount of time on land")</f>
        <v>The species spends a significant amount of time on land</v>
      </c>
      <c r="K95" s="1"/>
      <c r="L95" s="8" t="str">
        <f ca="1">IFERROR(__xludf.DUMMYFUNCTION("""COMPUTED_VALUE"""),"https://doi.org/10.1002/ecy.3344")</f>
        <v>https://doi.org/10.1002/ecy.3344</v>
      </c>
      <c r="M95" s="1" t="str">
        <f ca="1">IFERROR(__xludf.DUMMYFUNCTION("""COMPUTED_VALUE"""),"Soria_2021")</f>
        <v>Soria_2021</v>
      </c>
    </row>
    <row r="96" spans="1:13" ht="13.2">
      <c r="A96" s="1" t="str">
        <f ca="1">IFERROR(__xludf.DUMMYFUNCTION("""COMPUTED_VALUE"""),"terrestrial_volant")</f>
        <v>terrestrial_volant</v>
      </c>
      <c r="B96" s="1"/>
      <c r="C96" s="1"/>
      <c r="D96" s="1"/>
      <c r="E96" s="1" t="str">
        <f ca="1">IFERROR(__xludf.DUMMYFUNCTION("""COMPUTED_VALUE"""),"categorical")</f>
        <v>categorical</v>
      </c>
      <c r="F96" s="1" t="str">
        <f ca="1">IFERROR(__xludf.DUMMYFUNCTION("""COMPUTED_VALUE"""),".na")</f>
        <v>.na</v>
      </c>
      <c r="G96" s="1" t="str">
        <f ca="1">IFERROR(__xludf.DUMMYFUNCTION("""COMPUTED_VALUE"""),"0 (no), 1 (yes)")</f>
        <v>0 (no), 1 (yes)</v>
      </c>
      <c r="H96" s="1" t="str">
        <f ca="1">IFERROR(__xludf.DUMMYFUNCTION("""COMPUTED_VALUE"""),".na")</f>
        <v>.na</v>
      </c>
      <c r="I96" s="1" t="str">
        <f ca="1">IFERROR(__xludf.DUMMYFUNCTION("""COMPUTED_VALUE"""),".na")</f>
        <v>.na</v>
      </c>
      <c r="J96" s="1" t="str">
        <f ca="1">IFERROR(__xludf.DUMMYFUNCTION("""COMPUTED_VALUE"""),"The species is capable of powered flight and spends a significant amount of time flying in the air")</f>
        <v>The species is capable of powered flight and spends a significant amount of time flying in the air</v>
      </c>
      <c r="K96" s="1"/>
      <c r="L96" s="8" t="str">
        <f ca="1">IFERROR(__xludf.DUMMYFUNCTION("""COMPUTED_VALUE"""),"https://doi.org/10.1002/ecy.3344")</f>
        <v>https://doi.org/10.1002/ecy.3344</v>
      </c>
      <c r="M96" s="1" t="str">
        <f ca="1">IFERROR(__xludf.DUMMYFUNCTION("""COMPUTED_VALUE"""),"Soria_2021")</f>
        <v>Soria_2021</v>
      </c>
    </row>
    <row r="97" spans="1:13" ht="13.2">
      <c r="A97" s="1" t="str">
        <f ca="1">IFERROR(__xludf.DUMMYFUNCTION("""COMPUTED_VALUE"""),"upper_elevation_m")</f>
        <v>upper_elevation_m</v>
      </c>
      <c r="B97" s="1"/>
      <c r="C97" s="1"/>
      <c r="D97" s="1"/>
      <c r="E97" s="1" t="str">
        <f ca="1">IFERROR(__xludf.DUMMYFUNCTION("""COMPUTED_VALUE"""),"numeric")</f>
        <v>numeric</v>
      </c>
      <c r="F97" s="1" t="str">
        <f ca="1">IFERROR(__xludf.DUMMYFUNCTION("""COMPUTED_VALUE"""),"m")</f>
        <v>m</v>
      </c>
      <c r="G97" s="1" t="str">
        <f ca="1">IFERROR(__xludf.DUMMYFUNCTION("""COMPUTED_VALUE"""),".na")</f>
        <v>.na</v>
      </c>
      <c r="H97" s="1"/>
      <c r="I97" s="1"/>
      <c r="J97" s="1" t="str">
        <f ca="1">IFERROR(__xludf.DUMMYFUNCTION("""COMPUTED_VALUE"""),"Upper elevation limit at which the species can be found in meters")</f>
        <v>Upper elevation limit at which the species can be found in meters</v>
      </c>
      <c r="K97" s="1"/>
      <c r="L97" s="8" t="str">
        <f ca="1">IFERROR(__xludf.DUMMYFUNCTION("""COMPUTED_VALUE"""),"https://doi.org/10.1002/ecy.3344")</f>
        <v>https://doi.org/10.1002/ecy.3344</v>
      </c>
      <c r="M97" s="1" t="str">
        <f ca="1">IFERROR(__xludf.DUMMYFUNCTION("""COMPUTED_VALUE"""),"Soria_2021")</f>
        <v>Soria_2021</v>
      </c>
    </row>
    <row r="98" spans="1:13" ht="13.2">
      <c r="A98" s="1" t="str">
        <f ca="1">IFERROR(__xludf.DUMMYFUNCTION("""COMPUTED_VALUE"""),"lower_elevation_m")</f>
        <v>lower_elevation_m</v>
      </c>
      <c r="B98" s="1"/>
      <c r="C98" s="1"/>
      <c r="D98" s="1"/>
      <c r="E98" s="1" t="str">
        <f ca="1">IFERROR(__xludf.DUMMYFUNCTION("""COMPUTED_VALUE"""),"numeric")</f>
        <v>numeric</v>
      </c>
      <c r="F98" s="1" t="str">
        <f ca="1">IFERROR(__xludf.DUMMYFUNCTION("""COMPUTED_VALUE"""),"m")</f>
        <v>m</v>
      </c>
      <c r="G98" s="1" t="str">
        <f ca="1">IFERROR(__xludf.DUMMYFUNCTION("""COMPUTED_VALUE"""),".na")</f>
        <v>.na</v>
      </c>
      <c r="H98" s="1"/>
      <c r="I98" s="1"/>
      <c r="J98" s="1" t="str">
        <f ca="1">IFERROR(__xludf.DUMMYFUNCTION("""COMPUTED_VALUE"""),"Lower elevation limit at which the species can be found in meters")</f>
        <v>Lower elevation limit at which the species can be found in meters</v>
      </c>
      <c r="K98" s="1"/>
      <c r="L98" s="8" t="str">
        <f ca="1">IFERROR(__xludf.DUMMYFUNCTION("""COMPUTED_VALUE"""),"https://doi.org/10.1002/ecy.3344")</f>
        <v>https://doi.org/10.1002/ecy.3344</v>
      </c>
      <c r="M98" s="1" t="str">
        <f ca="1">IFERROR(__xludf.DUMMYFUNCTION("""COMPUTED_VALUE"""),"Soria_2021")</f>
        <v>Soria_2021</v>
      </c>
    </row>
    <row r="99" spans="1:13" ht="13.2">
      <c r="A99" s="1" t="str">
        <f ca="1">IFERROR(__xludf.DUMMYFUNCTION("""COMPUTED_VALUE"""),"altitude_breadth_m")</f>
        <v>altitude_breadth_m</v>
      </c>
      <c r="B99" s="1"/>
      <c r="C99" s="1"/>
      <c r="D99" s="1"/>
      <c r="E99" s="1" t="str">
        <f ca="1">IFERROR(__xludf.DUMMYFUNCTION("""COMPUTED_VALUE"""),"numeric")</f>
        <v>numeric</v>
      </c>
      <c r="F99" s="1" t="str">
        <f ca="1">IFERROR(__xludf.DUMMYFUNCTION("""COMPUTED_VALUE"""),"m")</f>
        <v>m</v>
      </c>
      <c r="G99" s="1" t="str">
        <f ca="1">IFERROR(__xludf.DUMMYFUNCTION("""COMPUTED_VALUE"""),".na")</f>
        <v>.na</v>
      </c>
      <c r="H99" s="1"/>
      <c r="I99" s="1"/>
      <c r="J99" s="1" t="str">
        <f ca="1">IFERROR(__xludf.DUMMYFUNCTION("""COMPUTED_VALUE"""),"Difference between the upper and lower elevation limits of a species in meters")</f>
        <v>Difference between the upper and lower elevation limits of a species in meters</v>
      </c>
      <c r="K99" s="1"/>
      <c r="L99" s="8" t="str">
        <f ca="1">IFERROR(__xludf.DUMMYFUNCTION("""COMPUTED_VALUE"""),"https://doi.org/10.1002/ecy.3344")</f>
        <v>https://doi.org/10.1002/ecy.3344</v>
      </c>
      <c r="M99" s="1" t="str">
        <f ca="1">IFERROR(__xludf.DUMMYFUNCTION("""COMPUTED_VALUE"""),"Soria_2021")</f>
        <v>Soria_2021</v>
      </c>
    </row>
    <row r="100" spans="1:13" ht="13.2">
      <c r="A100" s="1" t="str">
        <f ca="1">IFERROR(__xludf.DUMMYFUNCTION("""COMPUTED_VALUE"""),"island_dwelling")</f>
        <v>island_dwelling</v>
      </c>
      <c r="B100" s="1"/>
      <c r="C100" s="1"/>
      <c r="D100" s="1"/>
      <c r="E100" s="1" t="str">
        <f ca="1">IFERROR(__xludf.DUMMYFUNCTION("""COMPUTED_VALUE"""),"categorical")</f>
        <v>categorical</v>
      </c>
      <c r="F100" s="1" t="str">
        <f ca="1">IFERROR(__xludf.DUMMYFUNCTION("""COMPUTED_VALUE"""),".na")</f>
        <v>.na</v>
      </c>
      <c r="G100" s="1" t="str">
        <f ca="1">IFERROR(__xludf.DUMMYFUNCTION("""COMPUTED_VALUE"""),"0 (no), 1 (yes)")</f>
        <v>0 (no), 1 (yes)</v>
      </c>
      <c r="H100" s="1" t="str">
        <f ca="1">IFERROR(__xludf.DUMMYFUNCTION("""COMPUTED_VALUE"""),".na")</f>
        <v>.na</v>
      </c>
      <c r="I100" s="1" t="str">
        <f ca="1">IFERROR(__xludf.DUMMYFUNCTION("""COMPUTED_VALUE"""),".na")</f>
        <v>.na</v>
      </c>
      <c r="J100" s="1" t="str">
        <f ca="1">IFERROR(__xludf.DUMMYFUNCTION("""COMPUTED_VALUE"""),"20% or more of the breeding range occurs on an island")</f>
        <v>20% or more of the breeding range occurs on an island</v>
      </c>
      <c r="K100" s="1"/>
      <c r="L100" s="8" t="str">
        <f ca="1">IFERROR(__xludf.DUMMYFUNCTION("""COMPUTED_VALUE"""),"https://doi.org/10.1002/ecy.3344")</f>
        <v>https://doi.org/10.1002/ecy.3344</v>
      </c>
      <c r="M100" s="1" t="str">
        <f ca="1">IFERROR(__xludf.DUMMYFUNCTION("""COMPUTED_VALUE"""),"Soria_2021")</f>
        <v>Soria_2021</v>
      </c>
    </row>
    <row r="101" spans="1:13" ht="13.2">
      <c r="A101" s="1" t="str">
        <f ca="1">IFERROR(__xludf.DUMMYFUNCTION("""COMPUTED_VALUE"""),"island_endemicity")</f>
        <v>island_endemicity</v>
      </c>
      <c r="B101" s="1"/>
      <c r="C101" s="1"/>
      <c r="D101" s="1"/>
      <c r="E101" s="1" t="str">
        <f ca="1">IFERROR(__xludf.DUMMYFUNCTION("""COMPUTED_VALUE"""),"categorical")</f>
        <v>categorical</v>
      </c>
      <c r="F101" s="1" t="str">
        <f ca="1">IFERROR(__xludf.DUMMYFUNCTION("""COMPUTED_VALUE"""),".na")</f>
        <v>.na</v>
      </c>
      <c r="G101" s="1" t="str">
        <f ca="1">IFERROR(__xludf.DUMMYFUNCTION("""COMPUTED_VALUE"""),"Exclusively marine, Occurs on mainland, Occurs on large land bridge islands: the species occurs on islands greater than 1,000 km2 that are separated from the mainland by water no more than 110 m deep. The islands would have been part of the mainland durin"&amp;"g the last glacial maximum., Occurs on small land bridge islands: the species occurs on islands smaller than 1,000 km2 that are separated from the mainland by water no more than 110 m deep. The islands would have been part of the mainland during the last "&amp;"glacial maximum., Occurs only on isolated islands: the species occurs on islands separated from the mainland by water deeper than 110 m.")</f>
        <v>Exclusively marine, Occurs on mainland, Occurs on large land bridge islands: the species occurs on islands greater than 1,000 km2 that are separated from the mainland by water no more than 110 m deep. The islands would have been part of the mainland during the last glacial maximum., Occurs on small land bridge islands: the species occurs on islands smaller than 1,000 km2 that are separated from the mainland by water no more than 110 m deep. The islands would have been part of the mainland during the last glacial maximum., Occurs only on isolated islands: the species occurs on islands separated from the mainland by water deeper than 110 m.</v>
      </c>
      <c r="H101" s="1" t="str">
        <f ca="1">IFERROR(__xludf.DUMMYFUNCTION("""COMPUTED_VALUE"""),".na")</f>
        <v>.na</v>
      </c>
      <c r="I101" s="1" t="str">
        <f ca="1">IFERROR(__xludf.DUMMYFUNCTION("""COMPUTED_VALUE"""),".na")</f>
        <v>.na</v>
      </c>
      <c r="J101" s="1" t="str">
        <f ca="1">IFERROR(__xludf.DUMMYFUNCTION("""COMPUTED_VALUE"""),"Score of island endemicity obtained from species’ ranges and historical and fossil occurrence records")</f>
        <v>Score of island endemicity obtained from species’ ranges and historical and fossil occurrence records</v>
      </c>
      <c r="K101" s="1"/>
      <c r="L101" s="8" t="str">
        <f ca="1">IFERROR(__xludf.DUMMYFUNCTION("""COMPUTED_VALUE"""),"https://doi.org/10.1002/ecy.3344")</f>
        <v>https://doi.org/10.1002/ecy.3344</v>
      </c>
      <c r="M101" s="1" t="str">
        <f ca="1">IFERROR(__xludf.DUMMYFUNCTION("""COMPUTED_VALUE"""),"Soria_2021")</f>
        <v>Soria_2021</v>
      </c>
    </row>
    <row r="102" spans="1:13" ht="13.2">
      <c r="A102" s="1" t="str">
        <f ca="1">IFERROR(__xludf.DUMMYFUNCTION("""COMPUTED_VALUE"""),"dissected_by_mountains")</f>
        <v>dissected_by_mountains</v>
      </c>
      <c r="B102" s="1"/>
      <c r="C102" s="1"/>
      <c r="D102" s="1"/>
      <c r="E102" s="1" t="str">
        <f ca="1">IFERROR(__xludf.DUMMYFUNCTION("""COMPUTED_VALUE"""),"categorical")</f>
        <v>categorical</v>
      </c>
      <c r="F102" s="1" t="str">
        <f ca="1">IFERROR(__xludf.DUMMYFUNCTION("""COMPUTED_VALUE"""),".na")</f>
        <v>.na</v>
      </c>
      <c r="G102" s="1" t="str">
        <f ca="1">IFERROR(__xludf.DUMMYFUNCTION("""COMPUTED_VALUE"""),"0 (no), 1 (yes)")</f>
        <v>0 (no), 1 (yes)</v>
      </c>
      <c r="H102" s="1" t="str">
        <f ca="1">IFERROR(__xludf.DUMMYFUNCTION("""COMPUTED_VALUE"""),".na")</f>
        <v>.na</v>
      </c>
      <c r="I102" s="1" t="str">
        <f ca="1">IFERROR(__xludf.DUMMYFUNCTION("""COMPUTED_VALUE"""),".na")</f>
        <v>.na</v>
      </c>
      <c r="J102" s="1" t="str">
        <f ca="1">IFERROR(__xludf.DUMMYFUNCTION("""COMPUTED_VALUE"""),"Range dissected by mountains (based on elevation gradients with slopes equal or higher than 5 degrees)")</f>
        <v>Range dissected by mountains (based on elevation gradients with slopes equal or higher than 5 degrees)</v>
      </c>
      <c r="K102" s="1"/>
      <c r="L102" s="8" t="str">
        <f ca="1">IFERROR(__xludf.DUMMYFUNCTION("""COMPUTED_VALUE"""),"https://doi.org/10.1002/ecy.3344")</f>
        <v>https://doi.org/10.1002/ecy.3344</v>
      </c>
      <c r="M102" s="1" t="str">
        <f ca="1">IFERROR(__xludf.DUMMYFUNCTION("""COMPUTED_VALUE"""),"Soria_2021")</f>
        <v>Soria_2021</v>
      </c>
    </row>
    <row r="103" spans="1:13" ht="13.2">
      <c r="A103" s="1" t="str">
        <f ca="1">IFERROR(__xludf.DUMMYFUNCTION("""COMPUTED_VALUE"""),"glaciation")</f>
        <v>glaciation</v>
      </c>
      <c r="B103" s="1"/>
      <c r="C103" s="1"/>
      <c r="D103" s="1"/>
      <c r="E103" s="1" t="str">
        <f ca="1">IFERROR(__xludf.DUMMYFUNCTION("""COMPUTED_VALUE"""),"categorical")</f>
        <v>categorical</v>
      </c>
      <c r="F103" s="1" t="str">
        <f ca="1">IFERROR(__xludf.DUMMYFUNCTION("""COMPUTED_VALUE"""),".na")</f>
        <v>.na</v>
      </c>
      <c r="G103" s="1" t="str">
        <f ca="1">IFERROR(__xludf.DUMMYFUNCTION("""COMPUTED_VALUE"""),"0 (no), 1 (yes)")</f>
        <v>0 (no), 1 (yes)</v>
      </c>
      <c r="H103" s="1" t="str">
        <f ca="1">IFERROR(__xludf.DUMMYFUNCTION("""COMPUTED_VALUE"""),".na")</f>
        <v>.na</v>
      </c>
      <c r="I103" s="1" t="str">
        <f ca="1">IFERROR(__xludf.DUMMYFUNCTION("""COMPUTED_VALUE"""),".na")</f>
        <v>.na</v>
      </c>
      <c r="J103" s="1" t="str">
        <f ca="1">IFERROR(__xludf.DUMMYFUNCTION("""COMPUTED_VALUE"""),"Historical exposure to glaciation, considered as more than 20% range overlap with areas glaciated in the last 21000 years Binary")</f>
        <v>Historical exposure to glaciation, considered as more than 20% range overlap with areas glaciated in the last 21000 years Binary</v>
      </c>
      <c r="K103" s="1"/>
      <c r="L103" s="8" t="str">
        <f ca="1">IFERROR(__xludf.DUMMYFUNCTION("""COMPUTED_VALUE"""),"https://doi.org/10.1002/ecy.3344")</f>
        <v>https://doi.org/10.1002/ecy.3344</v>
      </c>
      <c r="M103" s="1" t="str">
        <f ca="1">IFERROR(__xludf.DUMMYFUNCTION("""COMPUTED_VALUE"""),"Soria_2021")</f>
        <v>Soria_2021</v>
      </c>
    </row>
    <row r="104" spans="1:13" ht="13.2">
      <c r="A104" s="1" t="str">
        <f ca="1">IFERROR(__xludf.DUMMYFUNCTION("""COMPUTED_VALUE"""),"biogeographical_realm")</f>
        <v>biogeographical_realm</v>
      </c>
      <c r="B104" s="1"/>
      <c r="C104" s="1"/>
      <c r="D104" s="1"/>
      <c r="E104" s="1" t="str">
        <f ca="1">IFERROR(__xludf.DUMMYFUNCTION("""COMPUTED_VALUE"""),"categorical")</f>
        <v>categorical</v>
      </c>
      <c r="F104" s="1" t="str">
        <f ca="1">IFERROR(__xludf.DUMMYFUNCTION("""COMPUTED_VALUE"""),".na")</f>
        <v>.na</v>
      </c>
      <c r="G104" s="1" t="str">
        <f ca="1">IFERROR(__xludf.DUMMYFUNCTION("""COMPUTED_VALUE"""),"Afrotropical, Antarctic, Australasian, Indomalayan, Nearctic, Neotropical, Oceanian, Palearctic")</f>
        <v>Afrotropical, Antarctic, Australasian, Indomalayan, Nearctic, Neotropical, Oceanian, Palearctic</v>
      </c>
      <c r="H104" s="1" t="str">
        <f ca="1">IFERROR(__xludf.DUMMYFUNCTION("""COMPUTED_VALUE"""),".na")</f>
        <v>.na</v>
      </c>
      <c r="I104" s="1" t="str">
        <f ca="1">IFERROR(__xludf.DUMMYFUNCTION("""COMPUTED_VALUE"""),".na")</f>
        <v>.na</v>
      </c>
      <c r="J104" s="1" t="str">
        <f ca="1">IFERROR(__xludf.DUMMYFUNCTION("""COMPUTED_VALUE"""),"Biogeographical realms in which the species can be encountered")</f>
        <v>Biogeographical realms in which the species can be encountered</v>
      </c>
      <c r="K104" s="1"/>
      <c r="L104" s="8" t="str">
        <f ca="1">IFERROR(__xludf.DUMMYFUNCTION("""COMPUTED_VALUE"""),"https://doi.org/10.1002/ecy.3344")</f>
        <v>https://doi.org/10.1002/ecy.3344</v>
      </c>
      <c r="M104" s="1" t="str">
        <f ca="1">IFERROR(__xludf.DUMMYFUNCTION("""COMPUTED_VALUE"""),"Soria_2021")</f>
        <v>Soria_2021</v>
      </c>
    </row>
    <row r="105" spans="1:13" ht="13.2">
      <c r="A105" s="1" t="str">
        <f ca="1">IFERROR(__xludf.DUMMYFUNCTION("""COMPUTED_VALUE"""),"habitat_breadth_n")</f>
        <v>habitat_breadth_n</v>
      </c>
      <c r="B105" s="1"/>
      <c r="C105" s="1"/>
      <c r="D105" s="1"/>
      <c r="E105" s="1" t="str">
        <f ca="1">IFERROR(__xludf.DUMMYFUNCTION("""COMPUTED_VALUE"""),"numeric")</f>
        <v>numeric</v>
      </c>
      <c r="F105" s="1" t="str">
        <f ca="1">IFERROR(__xludf.DUMMYFUNCTION("""COMPUTED_VALUE"""),".na")</f>
        <v>.na</v>
      </c>
      <c r="G105" s="1" t="str">
        <f ca="1">IFERROR(__xludf.DUMMYFUNCTION("""COMPUTED_VALUE"""),".na")</f>
        <v>.na</v>
      </c>
      <c r="H105" s="1">
        <f ca="1">IFERROR(__xludf.DUMMYFUNCTION("""COMPUTED_VALUE"""),1)</f>
        <v>1</v>
      </c>
      <c r="I105" s="1">
        <f ca="1">IFERROR(__xludf.DUMMYFUNCTION("""COMPUTED_VALUE"""),9)</f>
        <v>9</v>
      </c>
      <c r="J105" s="1" t="str">
        <f ca="1">IFERROR(__xludf.DUMMYFUNCTION("""COMPUTED_VALUE"""),"Number of distinct suitable level 1 IUCN habitats")</f>
        <v>Number of distinct suitable level 1 IUCN habitats</v>
      </c>
      <c r="K105" s="1"/>
      <c r="L105" s="8" t="str">
        <f ca="1">IFERROR(__xludf.DUMMYFUNCTION("""COMPUTED_VALUE"""),"https://doi.org/10.1002/ecy.3344")</f>
        <v>https://doi.org/10.1002/ecy.3344</v>
      </c>
      <c r="M105" s="1" t="str">
        <f ca="1">IFERROR(__xludf.DUMMYFUNCTION("""COMPUTED_VALUE"""),"Soria_2021")</f>
        <v>Soria_2021</v>
      </c>
    </row>
    <row r="106" spans="1:13" ht="13.2">
      <c r="A106" s="1" t="str">
        <f ca="1">IFERROR(__xludf.DUMMYFUNCTION("IMPORTRANGE(""https://docs.google.com/spreadsheets/d/1BCbdmKz-Qgtt7rB_ylKiWolmoC4I0weZUT_oqDACokI/edit?gid=1015017539#gid=1015017539"", ""Cosentino_2023!D3:P107"")"),"Sexual dimorphism in size")</f>
        <v>Sexual dimorphism in size</v>
      </c>
      <c r="B106" s="1"/>
      <c r="C106" s="1"/>
      <c r="D106" s="1"/>
      <c r="E106" s="1" t="str">
        <f ca="1">IFERROR(__xludf.DUMMYFUNCTION("""COMPUTED_VALUE"""),"categorical")</f>
        <v>categorical</v>
      </c>
      <c r="F106" s="1" t="str">
        <f ca="1">IFERROR(__xludf.DUMMYFUNCTION("""COMPUTED_VALUE"""),".na")</f>
        <v>.na</v>
      </c>
      <c r="G106" s="1" t="str">
        <f ca="1">IFERROR(__xludf.DUMMYFUNCTION("""COMPUTED_VALUE"""),"1= yes, 2=no")</f>
        <v>1= yes, 2=no</v>
      </c>
      <c r="H106" s="1" t="str">
        <f ca="1">IFERROR(__xludf.DUMMYFUNCTION("""COMPUTED_VALUE"""),".na")</f>
        <v>.na</v>
      </c>
      <c r="I106" s="1" t="str">
        <f ca="1">IFERROR(__xludf.DUMMYFUNCTION("""COMPUTED_VALUE"""),".na")</f>
        <v>.na</v>
      </c>
      <c r="J106" s="1" t="str">
        <f ca="1">IFERROR(__xludf.DUMMYFUNCTION("""COMPUTED_VALUE"""),"Presence of sexual dimorphism in size")</f>
        <v>Presence of sexual dimorphism in size</v>
      </c>
      <c r="K106" s="1"/>
      <c r="L106" s="8" t="str">
        <f ca="1">IFERROR(__xludf.DUMMYFUNCTION("""COMPUTED_VALUE"""),"https://doi.org/10.1038/s41597-023-02472-w")</f>
        <v>https://doi.org/10.1038/s41597-023-02472-w</v>
      </c>
      <c r="M106" s="1" t="str">
        <f ca="1">IFERROR(__xludf.DUMMYFUNCTION("""COMPUTED_VALUE"""),"Cosentino_2023")</f>
        <v>Cosentino_2023</v>
      </c>
    </row>
    <row r="107" spans="1:13" ht="13.2">
      <c r="A107" s="1" t="str">
        <f ca="1">IFERROR(__xludf.DUMMYFUNCTION("""COMPUTED_VALUE"""),"Head body length (F/M/U)")</f>
        <v>Head body length (F/M/U)</v>
      </c>
      <c r="B107" s="1"/>
      <c r="C107" s="1"/>
      <c r="D107" s="1"/>
      <c r="E107" s="1" t="str">
        <f ca="1">IFERROR(__xludf.DUMMYFUNCTION("""COMPUTED_VALUE"""),"numeric")</f>
        <v>numeric</v>
      </c>
      <c r="F107" s="1" t="str">
        <f ca="1">IFERROR(__xludf.DUMMYFUNCTION("""COMPUTED_VALUE"""),"mm")</f>
        <v>mm</v>
      </c>
      <c r="G107" s="1" t="str">
        <f ca="1">IFERROR(__xludf.DUMMYFUNCTION("""COMPUTED_VALUE"""),".na")</f>
        <v>.na</v>
      </c>
      <c r="H107" s="1"/>
      <c r="I107" s="1"/>
      <c r="J107" s="1" t="str">
        <f ca="1">IFERROR(__xludf.DUMMYFUNCTION("""COMPUTED_VALUE"""),"The length from tip of nose to anus")</f>
        <v>The length from tip of nose to anus</v>
      </c>
      <c r="K107" s="1"/>
      <c r="L107" s="8" t="str">
        <f ca="1">IFERROR(__xludf.DUMMYFUNCTION("""COMPUTED_VALUE"""),"https://doi.org/10.1038/s41597-023-02472-w")</f>
        <v>https://doi.org/10.1038/s41597-023-02472-w</v>
      </c>
      <c r="M107" s="1" t="str">
        <f ca="1">IFERROR(__xludf.DUMMYFUNCTION("""COMPUTED_VALUE"""),"Cosentino_2023")</f>
        <v>Cosentino_2023</v>
      </c>
    </row>
    <row r="108" spans="1:13" ht="13.2">
      <c r="A108" s="1" t="str">
        <f ca="1">IFERROR(__xludf.DUMMYFUNCTION("""COMPUTED_VALUE"""),"Tail length (F/M/U)")</f>
        <v>Tail length (F/M/U)</v>
      </c>
      <c r="B108" s="1"/>
      <c r="C108" s="1"/>
      <c r="D108" s="1"/>
      <c r="E108" s="1" t="str">
        <f ca="1">IFERROR(__xludf.DUMMYFUNCTION("""COMPUTED_VALUE"""),"numeric")</f>
        <v>numeric</v>
      </c>
      <c r="F108" s="1" t="str">
        <f ca="1">IFERROR(__xludf.DUMMYFUNCTION("""COMPUTED_VALUE"""),"mm")</f>
        <v>mm</v>
      </c>
      <c r="G108" s="1" t="str">
        <f ca="1">IFERROR(__xludf.DUMMYFUNCTION("""COMPUTED_VALUE"""),".na")</f>
        <v>.na</v>
      </c>
      <c r="H108" s="1"/>
      <c r="I108" s="1"/>
      <c r="J108" s="1" t="str">
        <f ca="1">IFERROR(__xludf.DUMMYFUNCTION("""COMPUTED_VALUE"""),"Length of the tail")</f>
        <v>Length of the tail</v>
      </c>
      <c r="K108" s="1"/>
      <c r="L108" s="8" t="str">
        <f ca="1">IFERROR(__xludf.DUMMYFUNCTION("""COMPUTED_VALUE"""),"https://doi.org/10.1038/s41597-023-02472-w")</f>
        <v>https://doi.org/10.1038/s41597-023-02472-w</v>
      </c>
      <c r="M108" s="1" t="str">
        <f ca="1">IFERROR(__xludf.DUMMYFUNCTION("""COMPUTED_VALUE"""),"Cosentino_2023")</f>
        <v>Cosentino_2023</v>
      </c>
    </row>
    <row r="109" spans="1:13" ht="13.2">
      <c r="A109" s="1" t="str">
        <f ca="1">IFERROR(__xludf.DUMMYFUNCTION("""COMPUTED_VALUE"""),"Forearm length (F/M/U)")</f>
        <v>Forearm length (F/M/U)</v>
      </c>
      <c r="B109" s="1"/>
      <c r="C109" s="1"/>
      <c r="D109" s="1"/>
      <c r="E109" s="1" t="str">
        <f ca="1">IFERROR(__xludf.DUMMYFUNCTION("""COMPUTED_VALUE"""),"numeric")</f>
        <v>numeric</v>
      </c>
      <c r="F109" s="1" t="str">
        <f ca="1">IFERROR(__xludf.DUMMYFUNCTION("""COMPUTED_VALUE"""),"mm")</f>
        <v>mm</v>
      </c>
      <c r="G109" s="1" t="str">
        <f ca="1">IFERROR(__xludf.DUMMYFUNCTION("""COMPUTED_VALUE"""),".na")</f>
        <v>.na</v>
      </c>
      <c r="H109" s="1"/>
      <c r="I109" s="1"/>
      <c r="J109" s="1" t="str">
        <f ca="1">IFERROR(__xludf.DUMMYFUNCTION("""COMPUTED_VALUE"""),"Length of the forearm")</f>
        <v>Length of the forearm</v>
      </c>
      <c r="K109" s="1"/>
      <c r="L109" s="8" t="str">
        <f ca="1">IFERROR(__xludf.DUMMYFUNCTION("""COMPUTED_VALUE"""),"https://doi.org/10.1038/s41597-023-02472-w")</f>
        <v>https://doi.org/10.1038/s41597-023-02472-w</v>
      </c>
      <c r="M109" s="1" t="str">
        <f ca="1">IFERROR(__xludf.DUMMYFUNCTION("""COMPUTED_VALUE"""),"Cosentino_2023")</f>
        <v>Cosentino_2023</v>
      </c>
    </row>
    <row r="110" spans="1:13" ht="13.2">
      <c r="A110" s="1" t="str">
        <f ca="1">IFERROR(__xludf.DUMMYFUNCTION("""COMPUTED_VALUE"""),"Hind foot length (F/M/U)")</f>
        <v>Hind foot length (F/M/U)</v>
      </c>
      <c r="B110" s="1"/>
      <c r="C110" s="1"/>
      <c r="D110" s="1"/>
      <c r="E110" s="1" t="str">
        <f ca="1">IFERROR(__xludf.DUMMYFUNCTION("""COMPUTED_VALUE"""),"numeric")</f>
        <v>numeric</v>
      </c>
      <c r="F110" s="1" t="str">
        <f ca="1">IFERROR(__xludf.DUMMYFUNCTION("""COMPUTED_VALUE"""),"mm")</f>
        <v>mm</v>
      </c>
      <c r="G110" s="1" t="str">
        <f ca="1">IFERROR(__xludf.DUMMYFUNCTION("""COMPUTED_VALUE"""),".na")</f>
        <v>.na</v>
      </c>
      <c r="H110" s="1"/>
      <c r="I110" s="1"/>
      <c r="J110" s="1" t="str">
        <f ca="1">IFERROR(__xludf.DUMMYFUNCTION("""COMPUTED_VALUE"""),"Length of the hindfoot")</f>
        <v>Length of the hindfoot</v>
      </c>
      <c r="K110" s="1"/>
      <c r="L110" s="8" t="str">
        <f ca="1">IFERROR(__xludf.DUMMYFUNCTION("""COMPUTED_VALUE"""),"https://doi.org/10.1038/s41597-023-02472-w")</f>
        <v>https://doi.org/10.1038/s41597-023-02472-w</v>
      </c>
      <c r="M110" s="1" t="str">
        <f ca="1">IFERROR(__xludf.DUMMYFUNCTION("""COMPUTED_VALUE"""),"Cosentino_2023")</f>
        <v>Cosentino_2023</v>
      </c>
    </row>
    <row r="111" spans="1:13" ht="13.2">
      <c r="A111" s="1" t="str">
        <f ca="1">IFERROR(__xludf.DUMMYFUNCTION("""COMPUTED_VALUE"""),"Total length (F/M/U)")</f>
        <v>Total length (F/M/U)</v>
      </c>
      <c r="B111" s="1"/>
      <c r="C111" s="1"/>
      <c r="D111" s="1"/>
      <c r="E111" s="1" t="str">
        <f ca="1">IFERROR(__xludf.DUMMYFUNCTION("""COMPUTED_VALUE"""),"numeric")</f>
        <v>numeric</v>
      </c>
      <c r="F111" s="1" t="str">
        <f ca="1">IFERROR(__xludf.DUMMYFUNCTION("""COMPUTED_VALUE"""),"mm")</f>
        <v>mm</v>
      </c>
      <c r="G111" s="1" t="str">
        <f ca="1">IFERROR(__xludf.DUMMYFUNCTION("""COMPUTED_VALUE"""),".na")</f>
        <v>.na</v>
      </c>
      <c r="H111" s="1"/>
      <c r="I111" s="1"/>
      <c r="J111" s="1" t="str">
        <f ca="1">IFERROR(__xludf.DUMMYFUNCTION("""COMPUTED_VALUE"""),"Total length of the body")</f>
        <v>Total length of the body</v>
      </c>
      <c r="K111" s="1"/>
      <c r="L111" s="8" t="str">
        <f ca="1">IFERROR(__xludf.DUMMYFUNCTION("""COMPUTED_VALUE"""),"https://doi.org/10.1038/s41597-023-02472-w")</f>
        <v>https://doi.org/10.1038/s41597-023-02472-w</v>
      </c>
      <c r="M111" s="1" t="str">
        <f ca="1">IFERROR(__xludf.DUMMYFUNCTION("""COMPUTED_VALUE"""),"Cosentino_2023")</f>
        <v>Cosentino_2023</v>
      </c>
    </row>
    <row r="112" spans="1:13" ht="13.2">
      <c r="A112" s="1" t="str">
        <f ca="1">IFERROR(__xludf.DUMMYFUNCTION("""COMPUTED_VALUE"""),"Wing length (F/M/U)")</f>
        <v>Wing length (F/M/U)</v>
      </c>
      <c r="B112" s="1"/>
      <c r="C112" s="1"/>
      <c r="D112" s="1"/>
      <c r="E112" s="1" t="str">
        <f ca="1">IFERROR(__xludf.DUMMYFUNCTION("""COMPUTED_VALUE"""),"numeric")</f>
        <v>numeric</v>
      </c>
      <c r="F112" s="1" t="str">
        <f ca="1">IFERROR(__xludf.DUMMYFUNCTION("""COMPUTED_VALUE"""),"mm")</f>
        <v>mm</v>
      </c>
      <c r="G112" s="1" t="str">
        <f ca="1">IFERROR(__xludf.DUMMYFUNCTION("""COMPUTED_VALUE"""),".na")</f>
        <v>.na</v>
      </c>
      <c r="H112" s="1"/>
      <c r="I112" s="1"/>
      <c r="J112" s="1" t="str">
        <f ca="1">IFERROR(__xludf.DUMMYFUNCTION("""COMPUTED_VALUE"""),"Length of the wing")</f>
        <v>Length of the wing</v>
      </c>
      <c r="K112" s="1"/>
      <c r="L112" s="8" t="str">
        <f ca="1">IFERROR(__xludf.DUMMYFUNCTION("""COMPUTED_VALUE"""),"https://doi.org/10.1038/s41597-023-02472-w")</f>
        <v>https://doi.org/10.1038/s41597-023-02472-w</v>
      </c>
      <c r="M112" s="1" t="str">
        <f ca="1">IFERROR(__xludf.DUMMYFUNCTION("""COMPUTED_VALUE"""),"Cosentino_2023")</f>
        <v>Cosentino_2023</v>
      </c>
    </row>
    <row r="113" spans="1:13" ht="13.2">
      <c r="A113" s="1" t="str">
        <f ca="1">IFERROR(__xludf.DUMMYFUNCTION("""COMPUTED_VALUE"""),"Wing area (F/M/U)")</f>
        <v>Wing area (F/M/U)</v>
      </c>
      <c r="B113" s="1"/>
      <c r="C113" s="1"/>
      <c r="D113" s="1"/>
      <c r="E113" s="1" t="str">
        <f ca="1">IFERROR(__xludf.DUMMYFUNCTION("""COMPUTED_VALUE"""),"numeric")</f>
        <v>numeric</v>
      </c>
      <c r="F113" s="1" t="str">
        <f ca="1">IFERROR(__xludf.DUMMYFUNCTION("""COMPUTED_VALUE"""),"cm²")</f>
        <v>cm²</v>
      </c>
      <c r="G113" s="1" t="str">
        <f ca="1">IFERROR(__xludf.DUMMYFUNCTION("""COMPUTED_VALUE"""),".na")</f>
        <v>.na</v>
      </c>
      <c r="H113" s="1"/>
      <c r="I113" s="1"/>
      <c r="J113" s="1" t="str">
        <f ca="1">IFERROR(__xludf.DUMMYFUNCTION("""COMPUTED_VALUE"""),"Area of the two wings")</f>
        <v>Area of the two wings</v>
      </c>
      <c r="K113" s="1"/>
      <c r="L113" s="8" t="str">
        <f ca="1">IFERROR(__xludf.DUMMYFUNCTION("""COMPUTED_VALUE"""),"https://doi.org/10.1038/s41597-023-02472-w")</f>
        <v>https://doi.org/10.1038/s41597-023-02472-w</v>
      </c>
      <c r="M113" s="1" t="str">
        <f ca="1">IFERROR(__xludf.DUMMYFUNCTION("""COMPUTED_VALUE"""),"Cosentino_2023")</f>
        <v>Cosentino_2023</v>
      </c>
    </row>
    <row r="114" spans="1:13" ht="13.2">
      <c r="A114" s="1" t="str">
        <f ca="1">IFERROR(__xludf.DUMMYFUNCTION("""COMPUTED_VALUE"""),"Wingspan (F/M/U)")</f>
        <v>Wingspan (F/M/U)</v>
      </c>
      <c r="B114" s="1"/>
      <c r="C114" s="1"/>
      <c r="D114" s="1"/>
      <c r="E114" s="1" t="str">
        <f ca="1">IFERROR(__xludf.DUMMYFUNCTION("""COMPUTED_VALUE"""),"numeric")</f>
        <v>numeric</v>
      </c>
      <c r="F114" s="1" t="str">
        <f ca="1">IFERROR(__xludf.DUMMYFUNCTION("""COMPUTED_VALUE"""),"mm")</f>
        <v>mm</v>
      </c>
      <c r="G114" s="1" t="str">
        <f ca="1">IFERROR(__xludf.DUMMYFUNCTION("""COMPUTED_VALUE"""),".na")</f>
        <v>.na</v>
      </c>
      <c r="H114" s="1"/>
      <c r="I114" s="1"/>
      <c r="J114" s="1" t="str">
        <f ca="1">IFERROR(__xludf.DUMMYFUNCTION("""COMPUTED_VALUE"""),"Distance between the wingtips when wings are extended")</f>
        <v>Distance between the wingtips when wings are extended</v>
      </c>
      <c r="K114" s="1"/>
      <c r="L114" s="8" t="str">
        <f ca="1">IFERROR(__xludf.DUMMYFUNCTION("""COMPUTED_VALUE"""),"https://doi.org/10.1038/s41597-023-02472-w")</f>
        <v>https://doi.org/10.1038/s41597-023-02472-w</v>
      </c>
      <c r="M114" s="1" t="str">
        <f ca="1">IFERROR(__xludf.DUMMYFUNCTION("""COMPUTED_VALUE"""),"Cosentino_2023")</f>
        <v>Cosentino_2023</v>
      </c>
    </row>
    <row r="115" spans="1:13" ht="13.2">
      <c r="A115" s="1" t="str">
        <f ca="1">IFERROR(__xludf.DUMMYFUNCTION("""COMPUTED_VALUE"""),"Wing aspect ratio (F/M/U)")</f>
        <v>Wing aspect ratio (F/M/U)</v>
      </c>
      <c r="B115" s="1"/>
      <c r="C115" s="1"/>
      <c r="D115" s="1"/>
      <c r="E115" s="1" t="str">
        <f ca="1">IFERROR(__xludf.DUMMYFUNCTION("""COMPUTED_VALUE"""),"numeric")</f>
        <v>numeric</v>
      </c>
      <c r="F115" s="1" t="str">
        <f ca="1">IFERROR(__xludf.DUMMYFUNCTION("""COMPUTED_VALUE"""),".na")</f>
        <v>.na</v>
      </c>
      <c r="G115" s="1" t="str">
        <f ca="1">IFERROR(__xludf.DUMMYFUNCTION("""COMPUTED_VALUE"""),".na")</f>
        <v>.na</v>
      </c>
      <c r="H115" s="1"/>
      <c r="I115" s="1"/>
      <c r="J115" s="1" t="str">
        <f ca="1">IFERROR(__xludf.DUMMYFUNCTION("""COMPUTED_VALUE"""),"The square of the wingspan divided by the wing area")</f>
        <v>The square of the wingspan divided by the wing area</v>
      </c>
      <c r="K115" s="1"/>
      <c r="L115" s="8" t="str">
        <f ca="1">IFERROR(__xludf.DUMMYFUNCTION("""COMPUTED_VALUE"""),"https://doi.org/10.1038/s41597-023-02472-w")</f>
        <v>https://doi.org/10.1038/s41597-023-02472-w</v>
      </c>
      <c r="M115" s="1" t="str">
        <f ca="1">IFERROR(__xludf.DUMMYFUNCTION("""COMPUTED_VALUE"""),"Cosentino_2023")</f>
        <v>Cosentino_2023</v>
      </c>
    </row>
    <row r="116" spans="1:13" ht="13.2">
      <c r="A116" s="1" t="str">
        <f ca="1">IFERROR(__xludf.DUMMYFUNCTION("""COMPUTED_VALUE"""),"Wing loading (F/M/U)")</f>
        <v>Wing loading (F/M/U)</v>
      </c>
      <c r="B116" s="1"/>
      <c r="C116" s="1"/>
      <c r="D116" s="1"/>
      <c r="E116" s="1" t="str">
        <f ca="1">IFERROR(__xludf.DUMMYFUNCTION("""COMPUTED_VALUE"""),"numeric")</f>
        <v>numeric</v>
      </c>
      <c r="F116" s="1" t="str">
        <f ca="1">IFERROR(__xludf.DUMMYFUNCTION("""COMPUTED_VALUE"""),"N/m²")</f>
        <v>N/m²</v>
      </c>
      <c r="G116" s="1" t="str">
        <f ca="1">IFERROR(__xludf.DUMMYFUNCTION("""COMPUTED_VALUE"""),".na")</f>
        <v>.na</v>
      </c>
      <c r="H116" s="1"/>
      <c r="I116" s="1"/>
      <c r="J116" s="1" t="str">
        <f ca="1">IFERROR(__xludf.DUMMYFUNCTION("""COMPUTED_VALUE"""),"The weight divided by the wing area")</f>
        <v>The weight divided by the wing area</v>
      </c>
      <c r="K116" s="1"/>
      <c r="L116" s="8" t="str">
        <f ca="1">IFERROR(__xludf.DUMMYFUNCTION("""COMPUTED_VALUE"""),"https://doi.org/10.1038/s41597-023-02472-w")</f>
        <v>https://doi.org/10.1038/s41597-023-02472-w</v>
      </c>
      <c r="M116" s="1" t="str">
        <f ca="1">IFERROR(__xludf.DUMMYFUNCTION("""COMPUTED_VALUE"""),"Cosentino_2023")</f>
        <v>Cosentino_2023</v>
      </c>
    </row>
    <row r="117" spans="1:13" ht="13.2">
      <c r="A117" s="1" t="str">
        <f ca="1">IFERROR(__xludf.DUMMYFUNCTION("""COMPUTED_VALUE"""),"Dental formula")</f>
        <v>Dental formula</v>
      </c>
      <c r="B117" s="1"/>
      <c r="C117" s="1"/>
      <c r="D117" s="1"/>
      <c r="E117" s="1" t="str">
        <f ca="1">IFERROR(__xludf.DUMMYFUNCTION("""COMPUTED_VALUE"""),"character")</f>
        <v>character</v>
      </c>
      <c r="F117" s="1" t="str">
        <f ca="1">IFERROR(__xludf.DUMMYFUNCTION("""COMPUTED_VALUE"""),".na")</f>
        <v>.na</v>
      </c>
      <c r="G117" s="1" t="str">
        <f ca="1">IFERROR(__xludf.DUMMYFUNCTION("""COMPUTED_VALUE"""),"In-nCn-nPn-nMn-n")</f>
        <v>In-nCn-nPn-nMn-n</v>
      </c>
      <c r="H117" s="1" t="str">
        <f ca="1">IFERROR(__xludf.DUMMYFUNCTION("""COMPUTED_VALUE"""),".na")</f>
        <v>.na</v>
      </c>
      <c r="I117" s="1" t="str">
        <f ca="1">IFERROR(__xludf.DUMMYFUNCTION("""COMPUTED_VALUE"""),".na")</f>
        <v>.na</v>
      </c>
      <c r="J117" s="1" t="str">
        <f ca="1">IFERROR(__xludf.DUMMYFUNCTION("""COMPUTED_VALUE"""),"Dental formula of the species")</f>
        <v>Dental formula of the species</v>
      </c>
      <c r="K117" s="1"/>
      <c r="L117" s="8" t="str">
        <f ca="1">IFERROR(__xludf.DUMMYFUNCTION("""COMPUTED_VALUE"""),"https://doi.org/10.1038/s41597-023-02472-w")</f>
        <v>https://doi.org/10.1038/s41597-023-02472-w</v>
      </c>
      <c r="M117" s="1" t="str">
        <f ca="1">IFERROR(__xludf.DUMMYFUNCTION("""COMPUTED_VALUE"""),"Cosentino_2023")</f>
        <v>Cosentino_2023</v>
      </c>
    </row>
    <row r="118" spans="1:13" ht="13.2">
      <c r="A118" s="1" t="str">
        <f ca="1">IFERROR(__xludf.DUMMYFUNCTION("""COMPUTED_VALUE"""),"Number of teeth")</f>
        <v>Number of teeth</v>
      </c>
      <c r="B118" s="1"/>
      <c r="C118" s="1"/>
      <c r="D118" s="1"/>
      <c r="E118" s="1" t="str">
        <f ca="1">IFERROR(__xludf.DUMMYFUNCTION("""COMPUTED_VALUE"""),"numeric")</f>
        <v>numeric</v>
      </c>
      <c r="F118" s="1" t="str">
        <f ca="1">IFERROR(__xludf.DUMMYFUNCTION("""COMPUTED_VALUE"""),".na")</f>
        <v>.na</v>
      </c>
      <c r="G118" s="1" t="str">
        <f ca="1">IFERROR(__xludf.DUMMYFUNCTION("""COMPUTED_VALUE"""),".na")</f>
        <v>.na</v>
      </c>
      <c r="H118" s="1"/>
      <c r="I118" s="1"/>
      <c r="J118" s="1" t="str">
        <f ca="1">IFERROR(__xludf.DUMMYFUNCTION("""COMPUTED_VALUE"""),"Number of teeth of the species")</f>
        <v>Number of teeth of the species</v>
      </c>
      <c r="K118" s="1"/>
      <c r="L118" s="8" t="str">
        <f ca="1">IFERROR(__xludf.DUMMYFUNCTION("""COMPUTED_VALUE"""),"https://doi.org/10.1038/s41597-023-02472-w")</f>
        <v>https://doi.org/10.1038/s41597-023-02472-w</v>
      </c>
      <c r="M118" s="1" t="str">
        <f ca="1">IFERROR(__xludf.DUMMYFUNCTION("""COMPUTED_VALUE"""),"Cosentino_2023")</f>
        <v>Cosentino_2023</v>
      </c>
    </row>
    <row r="119" spans="1:13" ht="13.2">
      <c r="A119" s="1" t="str">
        <f ca="1">IFERROR(__xludf.DUMMYFUNCTION("""COMPUTED_VALUE"""),"Body mass (F/M/U)")</f>
        <v>Body mass (F/M/U)</v>
      </c>
      <c r="B119" s="1"/>
      <c r="C119" s="1"/>
      <c r="D119" s="1"/>
      <c r="E119" s="1" t="str">
        <f ca="1">IFERROR(__xludf.DUMMYFUNCTION("""COMPUTED_VALUE"""),"numeric")</f>
        <v>numeric</v>
      </c>
      <c r="F119" s="1" t="str">
        <f ca="1">IFERROR(__xludf.DUMMYFUNCTION("""COMPUTED_VALUE"""),"g")</f>
        <v>g</v>
      </c>
      <c r="G119" s="1" t="str">
        <f ca="1">IFERROR(__xludf.DUMMYFUNCTION("""COMPUTED_VALUE"""),".na")</f>
        <v>.na</v>
      </c>
      <c r="H119" s="1"/>
      <c r="I119" s="1"/>
      <c r="J119" s="1" t="str">
        <f ca="1">IFERROR(__xludf.DUMMYFUNCTION("""COMPUTED_VALUE"""),"The weight of the species")</f>
        <v>The weight of the species</v>
      </c>
      <c r="K119" s="1"/>
      <c r="L119" s="8" t="str">
        <f ca="1">IFERROR(__xludf.DUMMYFUNCTION("""COMPUTED_VALUE"""),"https://doi.org/10.1038/s41597-023-02472-w")</f>
        <v>https://doi.org/10.1038/s41597-023-02472-w</v>
      </c>
      <c r="M119" s="1" t="str">
        <f ca="1">IFERROR(__xludf.DUMMYFUNCTION("""COMPUTED_VALUE"""),"Cosentino_2023")</f>
        <v>Cosentino_2023</v>
      </c>
    </row>
    <row r="120" spans="1:13" ht="13.2">
      <c r="A120" s="1" t="str">
        <f ca="1">IFERROR(__xludf.DUMMYFUNCTION("""COMPUTED_VALUE"""),"Neonatal body mass")</f>
        <v>Neonatal body mass</v>
      </c>
      <c r="B120" s="1"/>
      <c r="C120" s="1"/>
      <c r="D120" s="1"/>
      <c r="E120" s="1" t="str">
        <f ca="1">IFERROR(__xludf.DUMMYFUNCTION("""COMPUTED_VALUE"""),"numeric")</f>
        <v>numeric</v>
      </c>
      <c r="F120" s="1" t="str">
        <f ca="1">IFERROR(__xludf.DUMMYFUNCTION("""COMPUTED_VALUE"""),"g")</f>
        <v>g</v>
      </c>
      <c r="G120" s="1" t="str">
        <f ca="1">IFERROR(__xludf.DUMMYFUNCTION("""COMPUTED_VALUE"""),".na")</f>
        <v>.na</v>
      </c>
      <c r="H120" s="1"/>
      <c r="I120" s="1"/>
      <c r="J120" s="1" t="str">
        <f ca="1">IFERROR(__xludf.DUMMYFUNCTION("""COMPUTED_VALUE"""),"The body mass of infants")</f>
        <v>The body mass of infants</v>
      </c>
      <c r="K120" s="1"/>
      <c r="L120" s="8" t="str">
        <f ca="1">IFERROR(__xludf.DUMMYFUNCTION("""COMPUTED_VALUE"""),"https://doi.org/10.1038/s41597-023-02472-w")</f>
        <v>https://doi.org/10.1038/s41597-023-02472-w</v>
      </c>
      <c r="M120" s="1" t="str">
        <f ca="1">IFERROR(__xludf.DUMMYFUNCTION("""COMPUTED_VALUE"""),"Cosentino_2023")</f>
        <v>Cosentino_2023</v>
      </c>
    </row>
    <row r="121" spans="1:13" ht="13.2">
      <c r="A121" s="1" t="str">
        <f ca="1">IFERROR(__xludf.DUMMYFUNCTION("""COMPUTED_VALUE"""),"Neonate head-body length")</f>
        <v>Neonate head-body length</v>
      </c>
      <c r="B121" s="1"/>
      <c r="C121" s="1"/>
      <c r="D121" s="1"/>
      <c r="E121" s="1" t="str">
        <f ca="1">IFERROR(__xludf.DUMMYFUNCTION("""COMPUTED_VALUE"""),"numeric")</f>
        <v>numeric</v>
      </c>
      <c r="F121" s="1" t="str">
        <f ca="1">IFERROR(__xludf.DUMMYFUNCTION("""COMPUTED_VALUE"""),"mm")</f>
        <v>mm</v>
      </c>
      <c r="G121" s="1" t="str">
        <f ca="1">IFERROR(__xludf.DUMMYFUNCTION("""COMPUTED_VALUE"""),".na")</f>
        <v>.na</v>
      </c>
      <c r="H121" s="1"/>
      <c r="I121" s="1"/>
      <c r="J121" s="1" t="str">
        <f ca="1">IFERROR(__xludf.DUMMYFUNCTION("""COMPUTED_VALUE"""),"The head-body length of infants")</f>
        <v>The head-body length of infants</v>
      </c>
      <c r="K121" s="1"/>
      <c r="L121" s="8" t="str">
        <f ca="1">IFERROR(__xludf.DUMMYFUNCTION("""COMPUTED_VALUE"""),"https://doi.org/10.1038/s41597-023-02472-w")</f>
        <v>https://doi.org/10.1038/s41597-023-02472-w</v>
      </c>
      <c r="M121" s="1" t="str">
        <f ca="1">IFERROR(__xludf.DUMMYFUNCTION("""COMPUTED_VALUE"""),"Cosentino_2023")</f>
        <v>Cosentino_2023</v>
      </c>
    </row>
    <row r="122" spans="1:13" ht="13.2">
      <c r="A122" s="1" t="str">
        <f ca="1">IFERROR(__xludf.DUMMYFUNCTION("""COMPUTED_VALUE"""),"Weaning body mass")</f>
        <v>Weaning body mass</v>
      </c>
      <c r="B122" s="1"/>
      <c r="C122" s="1"/>
      <c r="D122" s="1"/>
      <c r="E122" s="1" t="str">
        <f ca="1">IFERROR(__xludf.DUMMYFUNCTION("""COMPUTED_VALUE"""),"numeric")</f>
        <v>numeric</v>
      </c>
      <c r="F122" s="1" t="str">
        <f ca="1">IFERROR(__xludf.DUMMYFUNCTION("""COMPUTED_VALUE"""),"g")</f>
        <v>g</v>
      </c>
      <c r="G122" s="1" t="str">
        <f ca="1">IFERROR(__xludf.DUMMYFUNCTION("""COMPUTED_VALUE"""),".na")</f>
        <v>.na</v>
      </c>
      <c r="H122" s="1"/>
      <c r="I122" s="1"/>
      <c r="J122" s="1" t="str">
        <f ca="1">IFERROR(__xludf.DUMMYFUNCTION("""COMPUTED_VALUE"""),"The weight of weanlings")</f>
        <v>The weight of weanlings</v>
      </c>
      <c r="K122" s="1"/>
      <c r="L122" s="8" t="str">
        <f ca="1">IFERROR(__xludf.DUMMYFUNCTION("""COMPUTED_VALUE"""),"https://doi.org/10.1038/s41597-023-02472-w")</f>
        <v>https://doi.org/10.1038/s41597-023-02472-w</v>
      </c>
      <c r="M122" s="1" t="str">
        <f ca="1">IFERROR(__xludf.DUMMYFUNCTION("""COMPUTED_VALUE"""),"Cosentino_2023")</f>
        <v>Cosentino_2023</v>
      </c>
    </row>
    <row r="123" spans="1:13" ht="13.2">
      <c r="A123" s="1" t="str">
        <f ca="1">IFERROR(__xludf.DUMMYFUNCTION("""COMPUTED_VALUE"""),"Weaning head-body length")</f>
        <v>Weaning head-body length</v>
      </c>
      <c r="B123" s="1"/>
      <c r="C123" s="1"/>
      <c r="D123" s="1"/>
      <c r="E123" s="1" t="str">
        <f ca="1">IFERROR(__xludf.DUMMYFUNCTION("""COMPUTED_VALUE"""),"numeric")</f>
        <v>numeric</v>
      </c>
      <c r="F123" s="1" t="str">
        <f ca="1">IFERROR(__xludf.DUMMYFUNCTION("""COMPUTED_VALUE"""),"mm")</f>
        <v>mm</v>
      </c>
      <c r="G123" s="1" t="str">
        <f ca="1">IFERROR(__xludf.DUMMYFUNCTION("""COMPUTED_VALUE"""),".na")</f>
        <v>.na</v>
      </c>
      <c r="H123" s="1"/>
      <c r="I123" s="1"/>
      <c r="J123" s="1" t="str">
        <f ca="1">IFERROR(__xludf.DUMMYFUNCTION("""COMPUTED_VALUE"""),"The head-body length of weanlings")</f>
        <v>The head-body length of weanlings</v>
      </c>
      <c r="K123" s="1"/>
      <c r="L123" s="8" t="str">
        <f ca="1">IFERROR(__xludf.DUMMYFUNCTION("""COMPUTED_VALUE"""),"https://doi.org/10.1038/s41597-023-02472-w")</f>
        <v>https://doi.org/10.1038/s41597-023-02472-w</v>
      </c>
      <c r="M123" s="1" t="str">
        <f ca="1">IFERROR(__xludf.DUMMYFUNCTION("""COMPUTED_VALUE"""),"Cosentino_2023")</f>
        <v>Cosentino_2023</v>
      </c>
    </row>
    <row r="124" spans="1:13" ht="13.2">
      <c r="A124" s="1" t="str">
        <f ca="1">IFERROR(__xludf.DUMMYFUNCTION("""COMPUTED_VALUE"""),"Polygamy")</f>
        <v>Polygamy</v>
      </c>
      <c r="B124" s="1"/>
      <c r="C124" s="1"/>
      <c r="D124" s="1"/>
      <c r="E124" s="1" t="str">
        <f ca="1">IFERROR(__xludf.DUMMYFUNCTION("""COMPUTED_VALUE"""),"categorical")</f>
        <v>categorical</v>
      </c>
      <c r="F124" s="1" t="str">
        <f ca="1">IFERROR(__xludf.DUMMYFUNCTION("""COMPUTED_VALUE"""),".na")</f>
        <v>.na</v>
      </c>
      <c r="G124" s="1" t="str">
        <f ca="1">IFERROR(__xludf.DUMMYFUNCTION("""COMPUTED_VALUE"""),"1= yes, 2=no")</f>
        <v>1= yes, 2=no</v>
      </c>
      <c r="H124" s="1" t="str">
        <f ca="1">IFERROR(__xludf.DUMMYFUNCTION("""COMPUTED_VALUE"""),".na")</f>
        <v>.na</v>
      </c>
      <c r="I124" s="1" t="str">
        <f ca="1">IFERROR(__xludf.DUMMYFUNCTION("""COMPUTED_VALUE"""),".na")</f>
        <v>.na</v>
      </c>
      <c r="J124" s="1" t="str">
        <f ca="1">IFERROR(__xludf.DUMMYFUNCTION("""COMPUTED_VALUE"""),"Mating system of the species")</f>
        <v>Mating system of the species</v>
      </c>
      <c r="K124" s="1"/>
      <c r="L124" s="8" t="str">
        <f ca="1">IFERROR(__xludf.DUMMYFUNCTION("""COMPUTED_VALUE"""),"https://doi.org/10.1038/s41597-023-02472-w")</f>
        <v>https://doi.org/10.1038/s41597-023-02472-w</v>
      </c>
      <c r="M124" s="1" t="str">
        <f ca="1">IFERROR(__xludf.DUMMYFUNCTION("""COMPUTED_VALUE"""),"Cosentino_2023")</f>
        <v>Cosentino_2023</v>
      </c>
    </row>
    <row r="125" spans="1:13" ht="13.2">
      <c r="A125" s="1" t="str">
        <f ca="1">IFERROR(__xludf.DUMMYFUNCTION("""COMPUTED_VALUE"""),"Polyandry")</f>
        <v>Polyandry</v>
      </c>
      <c r="B125" s="1"/>
      <c r="C125" s="1"/>
      <c r="D125" s="1"/>
      <c r="E125" s="1" t="str">
        <f ca="1">IFERROR(__xludf.DUMMYFUNCTION("""COMPUTED_VALUE"""),"categorical")</f>
        <v>categorical</v>
      </c>
      <c r="F125" s="1" t="str">
        <f ca="1">IFERROR(__xludf.DUMMYFUNCTION("""COMPUTED_VALUE"""),".na")</f>
        <v>.na</v>
      </c>
      <c r="G125" s="1" t="str">
        <f ca="1">IFERROR(__xludf.DUMMYFUNCTION("""COMPUTED_VALUE"""),"1= yes, 2=no")</f>
        <v>1= yes, 2=no</v>
      </c>
      <c r="H125" s="1" t="str">
        <f ca="1">IFERROR(__xludf.DUMMYFUNCTION("""COMPUTED_VALUE"""),".na")</f>
        <v>.na</v>
      </c>
      <c r="I125" s="1" t="str">
        <f ca="1">IFERROR(__xludf.DUMMYFUNCTION("""COMPUTED_VALUE"""),".na")</f>
        <v>.na</v>
      </c>
      <c r="J125" s="1" t="str">
        <f ca="1">IFERROR(__xludf.DUMMYFUNCTION("""COMPUTED_VALUE"""),"Mating system of the species")</f>
        <v>Mating system of the species</v>
      </c>
      <c r="K125" s="1"/>
      <c r="L125" s="8" t="str">
        <f ca="1">IFERROR(__xludf.DUMMYFUNCTION("""COMPUTED_VALUE"""),"https://doi.org/10.1038/s41597-023-02472-w")</f>
        <v>https://doi.org/10.1038/s41597-023-02472-w</v>
      </c>
      <c r="M125" s="1" t="str">
        <f ca="1">IFERROR(__xludf.DUMMYFUNCTION("""COMPUTED_VALUE"""),"Cosentino_2023")</f>
        <v>Cosentino_2023</v>
      </c>
    </row>
    <row r="126" spans="1:13" ht="13.2">
      <c r="A126" s="1" t="str">
        <f ca="1">IFERROR(__xludf.DUMMYFUNCTION("""COMPUTED_VALUE"""),"Polygyny")</f>
        <v>Polygyny</v>
      </c>
      <c r="B126" s="1"/>
      <c r="C126" s="1"/>
      <c r="D126" s="1"/>
      <c r="E126" s="1" t="str">
        <f ca="1">IFERROR(__xludf.DUMMYFUNCTION("""COMPUTED_VALUE"""),"categorical")</f>
        <v>categorical</v>
      </c>
      <c r="F126" s="1" t="str">
        <f ca="1">IFERROR(__xludf.DUMMYFUNCTION("""COMPUTED_VALUE"""),".na")</f>
        <v>.na</v>
      </c>
      <c r="G126" s="1" t="str">
        <f ca="1">IFERROR(__xludf.DUMMYFUNCTION("""COMPUTED_VALUE"""),"1= yes, 2=no")</f>
        <v>1= yes, 2=no</v>
      </c>
      <c r="H126" s="1" t="str">
        <f ca="1">IFERROR(__xludf.DUMMYFUNCTION("""COMPUTED_VALUE"""),".na")</f>
        <v>.na</v>
      </c>
      <c r="I126" s="1" t="str">
        <f ca="1">IFERROR(__xludf.DUMMYFUNCTION("""COMPUTED_VALUE"""),".na")</f>
        <v>.na</v>
      </c>
      <c r="J126" s="1" t="str">
        <f ca="1">IFERROR(__xludf.DUMMYFUNCTION("""COMPUTED_VALUE"""),"Mating system of the species")</f>
        <v>Mating system of the species</v>
      </c>
      <c r="K126" s="1"/>
      <c r="L126" s="8" t="str">
        <f ca="1">IFERROR(__xludf.DUMMYFUNCTION("""COMPUTED_VALUE"""),"https://doi.org/10.1038/s41597-023-02472-w")</f>
        <v>https://doi.org/10.1038/s41597-023-02472-w</v>
      </c>
      <c r="M126" s="1" t="str">
        <f ca="1">IFERROR(__xludf.DUMMYFUNCTION("""COMPUTED_VALUE"""),"Cosentino_2023")</f>
        <v>Cosentino_2023</v>
      </c>
    </row>
    <row r="127" spans="1:13" ht="13.2">
      <c r="A127" s="1" t="str">
        <f ca="1">IFERROR(__xludf.DUMMYFUNCTION("""COMPUTED_VALUE"""),"Monogamy")</f>
        <v>Monogamy</v>
      </c>
      <c r="B127" s="1"/>
      <c r="C127" s="1"/>
      <c r="D127" s="1"/>
      <c r="E127" s="1" t="str">
        <f ca="1">IFERROR(__xludf.DUMMYFUNCTION("""COMPUTED_VALUE"""),"categorical")</f>
        <v>categorical</v>
      </c>
      <c r="F127" s="1" t="str">
        <f ca="1">IFERROR(__xludf.DUMMYFUNCTION("""COMPUTED_VALUE"""),".na")</f>
        <v>.na</v>
      </c>
      <c r="G127" s="1" t="str">
        <f ca="1">IFERROR(__xludf.DUMMYFUNCTION("""COMPUTED_VALUE"""),"1= yes, 2=no")</f>
        <v>1= yes, 2=no</v>
      </c>
      <c r="H127" s="1" t="str">
        <f ca="1">IFERROR(__xludf.DUMMYFUNCTION("""COMPUTED_VALUE"""),".na")</f>
        <v>.na</v>
      </c>
      <c r="I127" s="1" t="str">
        <f ca="1">IFERROR(__xludf.DUMMYFUNCTION("""COMPUTED_VALUE"""),".na")</f>
        <v>.na</v>
      </c>
      <c r="J127" s="1" t="str">
        <f ca="1">IFERROR(__xludf.DUMMYFUNCTION("""COMPUTED_VALUE"""),"Mating system of the species")</f>
        <v>Mating system of the species</v>
      </c>
      <c r="K127" s="1"/>
      <c r="L127" s="8" t="str">
        <f ca="1">IFERROR(__xludf.DUMMYFUNCTION("""COMPUTED_VALUE"""),"https://doi.org/10.1038/s41597-023-02472-w")</f>
        <v>https://doi.org/10.1038/s41597-023-02472-w</v>
      </c>
      <c r="M127" s="1" t="str">
        <f ca="1">IFERROR(__xludf.DUMMYFUNCTION("""COMPUTED_VALUE"""),"Cosentino_2023")</f>
        <v>Cosentino_2023</v>
      </c>
    </row>
    <row r="128" spans="1:13" ht="13.2">
      <c r="A128" s="1" t="str">
        <f ca="1">IFERROR(__xludf.DUMMYFUNCTION("""COMPUTED_VALUE"""),"Sexual maturity age (F/M/U)")</f>
        <v>Sexual maturity age (F/M/U)</v>
      </c>
      <c r="B128" s="1"/>
      <c r="C128" s="1"/>
      <c r="D128" s="1"/>
      <c r="E128" s="1" t="str">
        <f ca="1">IFERROR(__xludf.DUMMYFUNCTION("""COMPUTED_VALUE"""),"numeric")</f>
        <v>numeric</v>
      </c>
      <c r="F128" s="1" t="str">
        <f ca="1">IFERROR(__xludf.DUMMYFUNCTION("""COMPUTED_VALUE"""),"days")</f>
        <v>days</v>
      </c>
      <c r="G128" s="1" t="str">
        <f ca="1">IFERROR(__xludf.DUMMYFUNCTION("""COMPUTED_VALUE"""),".na")</f>
        <v>.na</v>
      </c>
      <c r="H128" s="1"/>
      <c r="I128" s="1"/>
      <c r="J128" s="1" t="str">
        <f ca="1">IFERROR(__xludf.DUMMYFUNCTION("""COMPUTED_VALUE"""),"The age of sexual maturity")</f>
        <v>The age of sexual maturity</v>
      </c>
      <c r="K128" s="1"/>
      <c r="L128" s="8" t="str">
        <f ca="1">IFERROR(__xludf.DUMMYFUNCTION("""COMPUTED_VALUE"""),"https://doi.org/10.1038/s41597-023-02472-w")</f>
        <v>https://doi.org/10.1038/s41597-023-02472-w</v>
      </c>
      <c r="M128" s="1" t="str">
        <f ca="1">IFERROR(__xludf.DUMMYFUNCTION("""COMPUTED_VALUE"""),"Cosentino_2023")</f>
        <v>Cosentino_2023</v>
      </c>
    </row>
    <row r="129" spans="1:13" ht="13.2">
      <c r="A129" s="1" t="str">
        <f ca="1">IFERROR(__xludf.DUMMYFUNCTION("""COMPUTED_VALUE"""),"Age of first birth")</f>
        <v>Age of first birth</v>
      </c>
      <c r="B129" s="1"/>
      <c r="C129" s="1"/>
      <c r="D129" s="1"/>
      <c r="E129" s="1" t="str">
        <f ca="1">IFERROR(__xludf.DUMMYFUNCTION("""COMPUTED_VALUE"""),"numeric")</f>
        <v>numeric</v>
      </c>
      <c r="F129" s="1" t="str">
        <f ca="1">IFERROR(__xludf.DUMMYFUNCTION("""COMPUTED_VALUE"""),"days")</f>
        <v>days</v>
      </c>
      <c r="G129" s="1" t="str">
        <f ca="1">IFERROR(__xludf.DUMMYFUNCTION("""COMPUTED_VALUE"""),".na")</f>
        <v>.na</v>
      </c>
      <c r="H129" s="1"/>
      <c r="I129" s="1"/>
      <c r="J129" s="1" t="str">
        <f ca="1">IFERROR(__xludf.DUMMYFUNCTION("""COMPUTED_VALUE"""),"Age of first litter of females")</f>
        <v>Age of first litter of females</v>
      </c>
      <c r="K129" s="1"/>
      <c r="L129" s="8" t="str">
        <f ca="1">IFERROR(__xludf.DUMMYFUNCTION("""COMPUTED_VALUE"""),"https://doi.org/10.1038/s41597-023-02472-w")</f>
        <v>https://doi.org/10.1038/s41597-023-02472-w</v>
      </c>
      <c r="M129" s="1" t="str">
        <f ca="1">IFERROR(__xludf.DUMMYFUNCTION("""COMPUTED_VALUE"""),"Cosentino_2023")</f>
        <v>Cosentino_2023</v>
      </c>
    </row>
    <row r="130" spans="1:13" ht="13.2">
      <c r="A130" s="1" t="str">
        <f ca="1">IFERROR(__xludf.DUMMYFUNCTION("""COMPUTED_VALUE"""),"Sperm retention")</f>
        <v>Sperm retention</v>
      </c>
      <c r="B130" s="1"/>
      <c r="C130" s="1"/>
      <c r="D130" s="1"/>
      <c r="E130" s="1" t="str">
        <f ca="1">IFERROR(__xludf.DUMMYFUNCTION("""COMPUTED_VALUE"""),"categorical ")</f>
        <v xml:space="preserve">categorical </v>
      </c>
      <c r="F130" s="1" t="str">
        <f ca="1">IFERROR(__xludf.DUMMYFUNCTION("""COMPUTED_VALUE"""),".na")</f>
        <v>.na</v>
      </c>
      <c r="G130" s="1" t="str">
        <f ca="1">IFERROR(__xludf.DUMMYFUNCTION("""COMPUTED_VALUE"""),"1= yes, 2=no")</f>
        <v>1= yes, 2=no</v>
      </c>
      <c r="H130" s="1" t="str">
        <f ca="1">IFERROR(__xludf.DUMMYFUNCTION("""COMPUTED_VALUE"""),".na")</f>
        <v>.na</v>
      </c>
      <c r="I130" s="1" t="str">
        <f ca="1">IFERROR(__xludf.DUMMYFUNCTION("""COMPUTED_VALUE"""),".na")</f>
        <v>.na</v>
      </c>
      <c r="J130" s="1" t="str">
        <f ca="1">IFERROR(__xludf.DUMMYFUNCTION("""COMPUTED_VALUE"""),"Presence of sperm retention")</f>
        <v>Presence of sperm retention</v>
      </c>
      <c r="K130" s="1"/>
      <c r="L130" s="8" t="str">
        <f ca="1">IFERROR(__xludf.DUMMYFUNCTION("""COMPUTED_VALUE"""),"https://doi.org/10.1038/s41597-023-02472-w")</f>
        <v>https://doi.org/10.1038/s41597-023-02472-w</v>
      </c>
      <c r="M130" s="1" t="str">
        <f ca="1">IFERROR(__xludf.DUMMYFUNCTION("""COMPUTED_VALUE"""),"Cosentino_2023")</f>
        <v>Cosentino_2023</v>
      </c>
    </row>
    <row r="131" spans="1:13" ht="13.2">
      <c r="A131" s="1" t="str">
        <f ca="1">IFERROR(__xludf.DUMMYFUNCTION("""COMPUTED_VALUE"""),"Delayed implantation")</f>
        <v>Delayed implantation</v>
      </c>
      <c r="B131" s="1"/>
      <c r="C131" s="1"/>
      <c r="D131" s="1"/>
      <c r="E131" s="1" t="str">
        <f ca="1">IFERROR(__xludf.DUMMYFUNCTION("""COMPUTED_VALUE"""),"categorical ")</f>
        <v xml:space="preserve">categorical </v>
      </c>
      <c r="F131" s="1" t="str">
        <f ca="1">IFERROR(__xludf.DUMMYFUNCTION("""COMPUTED_VALUE"""),".na")</f>
        <v>.na</v>
      </c>
      <c r="G131" s="1" t="str">
        <f ca="1">IFERROR(__xludf.DUMMYFUNCTION("""COMPUTED_VALUE"""),"1= yes, 2=no")</f>
        <v>1= yes, 2=no</v>
      </c>
      <c r="H131" s="1" t="str">
        <f ca="1">IFERROR(__xludf.DUMMYFUNCTION("""COMPUTED_VALUE"""),".na")</f>
        <v>.na</v>
      </c>
      <c r="I131" s="1" t="str">
        <f ca="1">IFERROR(__xludf.DUMMYFUNCTION("""COMPUTED_VALUE"""),".na")</f>
        <v>.na</v>
      </c>
      <c r="J131" s="1" t="str">
        <f ca="1">IFERROR(__xludf.DUMMYFUNCTION("""COMPUTED_VALUE"""),"Presence of any lag in the implantation")</f>
        <v>Presence of any lag in the implantation</v>
      </c>
      <c r="K131" s="1"/>
      <c r="L131" s="8" t="str">
        <f ca="1">IFERROR(__xludf.DUMMYFUNCTION("""COMPUTED_VALUE"""),"https://doi.org/10.1038/s41597-023-02472-w")</f>
        <v>https://doi.org/10.1038/s41597-023-02472-w</v>
      </c>
      <c r="M131" s="1" t="str">
        <f ca="1">IFERROR(__xludf.DUMMYFUNCTION("""COMPUTED_VALUE"""),"Cosentino_2023")</f>
        <v>Cosentino_2023</v>
      </c>
    </row>
    <row r="132" spans="1:13" ht="13.2">
      <c r="A132" s="1" t="str">
        <f ca="1">IFERROR(__xludf.DUMMYFUNCTION("""COMPUTED_VALUE"""),"Delayed embryonic development")</f>
        <v>Delayed embryonic development</v>
      </c>
      <c r="B132" s="1"/>
      <c r="C132" s="1"/>
      <c r="D132" s="1"/>
      <c r="E132" s="1" t="str">
        <f ca="1">IFERROR(__xludf.DUMMYFUNCTION("""COMPUTED_VALUE"""),"categorical")</f>
        <v>categorical</v>
      </c>
      <c r="F132" s="1" t="str">
        <f ca="1">IFERROR(__xludf.DUMMYFUNCTION("""COMPUTED_VALUE"""),".na")</f>
        <v>.na</v>
      </c>
      <c r="G132" s="1" t="str">
        <f ca="1">IFERROR(__xludf.DUMMYFUNCTION("""COMPUTED_VALUE"""),"1= yes, 2=no")</f>
        <v>1= yes, 2=no</v>
      </c>
      <c r="H132" s="1" t="str">
        <f ca="1">IFERROR(__xludf.DUMMYFUNCTION("""COMPUTED_VALUE"""),".na")</f>
        <v>.na</v>
      </c>
      <c r="I132" s="1" t="str">
        <f ca="1">IFERROR(__xludf.DUMMYFUNCTION("""COMPUTED_VALUE"""),".na")</f>
        <v>.na</v>
      </c>
      <c r="J132" s="1" t="str">
        <f ca="1">IFERROR(__xludf.DUMMYFUNCTION("""COMPUTED_VALUE"""),"Presence of any lag in the embryonic period")</f>
        <v>Presence of any lag in the embryonic period</v>
      </c>
      <c r="K132" s="1"/>
      <c r="L132" s="8" t="str">
        <f ca="1">IFERROR(__xludf.DUMMYFUNCTION("""COMPUTED_VALUE"""),"https://doi.org/10.1038/s41597-023-02472-w")</f>
        <v>https://doi.org/10.1038/s41597-023-02472-w</v>
      </c>
      <c r="M132" s="1" t="str">
        <f ca="1">IFERROR(__xludf.DUMMYFUNCTION("""COMPUTED_VALUE"""),"Cosentino_2023")</f>
        <v>Cosentino_2023</v>
      </c>
    </row>
    <row r="133" spans="1:13" ht="13.2">
      <c r="A133" s="1" t="str">
        <f ca="1">IFERROR(__xludf.DUMMYFUNCTION("""COMPUTED_VALUE"""),"Active gestation length")</f>
        <v>Active gestation length</v>
      </c>
      <c r="B133" s="1"/>
      <c r="C133" s="1"/>
      <c r="D133" s="1"/>
      <c r="E133" s="1" t="str">
        <f ca="1">IFERROR(__xludf.DUMMYFUNCTION("""COMPUTED_VALUE"""),"numeric")</f>
        <v>numeric</v>
      </c>
      <c r="F133" s="1" t="str">
        <f ca="1">IFERROR(__xludf.DUMMYFUNCTION("""COMPUTED_VALUE"""),"days ")</f>
        <v xml:space="preserve">days </v>
      </c>
      <c r="G133" s="1" t="str">
        <f ca="1">IFERROR(__xludf.DUMMYFUNCTION("""COMPUTED_VALUE"""),".na")</f>
        <v>.na</v>
      </c>
      <c r="H133" s="1"/>
      <c r="I133" s="1"/>
      <c r="J133" s="1" t="str">
        <f ca="1">IFERROR(__xludf.DUMMYFUNCTION("""COMPUTED_VALUE"""),"The length of active gestation")</f>
        <v>The length of active gestation</v>
      </c>
      <c r="K133" s="1"/>
      <c r="L133" s="8" t="str">
        <f ca="1">IFERROR(__xludf.DUMMYFUNCTION("""COMPUTED_VALUE"""),"https://doi.org/10.1038/s41597-023-02472-w")</f>
        <v>https://doi.org/10.1038/s41597-023-02472-w</v>
      </c>
      <c r="M133" s="1" t="str">
        <f ca="1">IFERROR(__xludf.DUMMYFUNCTION("""COMPUTED_VALUE"""),"Cosentino_2023")</f>
        <v>Cosentino_2023</v>
      </c>
    </row>
    <row r="134" spans="1:13" ht="13.2">
      <c r="A134" s="1" t="str">
        <f ca="1">IFERROR(__xludf.DUMMYFUNCTION("""COMPUTED_VALUE"""),"Total gestation length")</f>
        <v>Total gestation length</v>
      </c>
      <c r="B134" s="1"/>
      <c r="C134" s="1"/>
      <c r="D134" s="1"/>
      <c r="E134" s="1" t="str">
        <f ca="1">IFERROR(__xludf.DUMMYFUNCTION("""COMPUTED_VALUE"""),"numeric")</f>
        <v>numeric</v>
      </c>
      <c r="F134" s="1" t="str">
        <f ca="1">IFERROR(__xludf.DUMMYFUNCTION("""COMPUTED_VALUE"""),"days")</f>
        <v>days</v>
      </c>
      <c r="G134" s="1" t="str">
        <f ca="1">IFERROR(__xludf.DUMMYFUNCTION("""COMPUTED_VALUE"""),".na")</f>
        <v>.na</v>
      </c>
      <c r="H134" s="1"/>
      <c r="I134" s="1"/>
      <c r="J134" s="1" t="str">
        <f ca="1">IFERROR(__xludf.DUMMYFUNCTION("""COMPUTED_VALUE"""),"Total duration of pregnancy ")</f>
        <v xml:space="preserve">Total duration of pregnancy </v>
      </c>
      <c r="K134" s="1"/>
      <c r="L134" s="8" t="str">
        <f ca="1">IFERROR(__xludf.DUMMYFUNCTION("""COMPUTED_VALUE"""),"https://doi.org/10.1038/s41597-023-02472-w")</f>
        <v>https://doi.org/10.1038/s41597-023-02472-w</v>
      </c>
      <c r="M134" s="1" t="str">
        <f ca="1">IFERROR(__xludf.DUMMYFUNCTION("""COMPUTED_VALUE"""),"Cosentino_2023")</f>
        <v>Cosentino_2023</v>
      </c>
    </row>
    <row r="135" spans="1:13" ht="13.2">
      <c r="A135" s="1" t="str">
        <f ca="1">IFERROR(__xludf.DUMMYFUNCTION("""COMPUTED_VALUE"""),"Lactation length")</f>
        <v>Lactation length</v>
      </c>
      <c r="B135" s="1"/>
      <c r="C135" s="1"/>
      <c r="D135" s="1"/>
      <c r="E135" s="1" t="str">
        <f ca="1">IFERROR(__xludf.DUMMYFUNCTION("""COMPUTED_VALUE"""),"numeric")</f>
        <v>numeric</v>
      </c>
      <c r="F135" s="1" t="str">
        <f ca="1">IFERROR(__xludf.DUMMYFUNCTION("""COMPUTED_VALUE"""),"days")</f>
        <v>days</v>
      </c>
      <c r="G135" s="1" t="str">
        <f ca="1">IFERROR(__xludf.DUMMYFUNCTION("""COMPUTED_VALUE"""),".na")</f>
        <v>.na</v>
      </c>
      <c r="H135" s="1"/>
      <c r="I135" s="1"/>
      <c r="J135" s="1" t="str">
        <f ca="1">IFERROR(__xludf.DUMMYFUNCTION("""COMPUTED_VALUE"""),"The length of the lactation period")</f>
        <v>The length of the lactation period</v>
      </c>
      <c r="K135" s="1"/>
      <c r="L135" s="8" t="str">
        <f ca="1">IFERROR(__xludf.DUMMYFUNCTION("""COMPUTED_VALUE"""),"https://doi.org/10.1038/s41597-023-02472-w")</f>
        <v>https://doi.org/10.1038/s41597-023-02472-w</v>
      </c>
      <c r="M135" s="1" t="str">
        <f ca="1">IFERROR(__xludf.DUMMYFUNCTION("""COMPUTED_VALUE"""),"Cosentino_2023")</f>
        <v>Cosentino_2023</v>
      </c>
    </row>
    <row r="136" spans="1:13" ht="13.2">
      <c r="A136" s="1" t="str">
        <f ca="1">IFERROR(__xludf.DUMMYFUNCTION("""COMPUTED_VALUE"""),"Weaning length")</f>
        <v>Weaning length</v>
      </c>
      <c r="B136" s="1"/>
      <c r="C136" s="1"/>
      <c r="D136" s="1"/>
      <c r="E136" s="1" t="str">
        <f ca="1">IFERROR(__xludf.DUMMYFUNCTION("""COMPUTED_VALUE"""),"numeric")</f>
        <v>numeric</v>
      </c>
      <c r="F136" s="1" t="str">
        <f ca="1">IFERROR(__xludf.DUMMYFUNCTION("""COMPUTED_VALUE"""),"days")</f>
        <v>days</v>
      </c>
      <c r="G136" s="1" t="str">
        <f ca="1">IFERROR(__xludf.DUMMYFUNCTION("""COMPUTED_VALUE"""),".na")</f>
        <v>.na</v>
      </c>
      <c r="H136" s="1"/>
      <c r="I136" s="1"/>
      <c r="J136" s="1" t="str">
        <f ca="1">IFERROR(__xludf.DUMMYFUNCTION("""COMPUTED_VALUE"""),"The length of the weaning period")</f>
        <v>The length of the weaning period</v>
      </c>
      <c r="K136" s="1"/>
      <c r="L136" s="8" t="str">
        <f ca="1">IFERROR(__xludf.DUMMYFUNCTION("""COMPUTED_VALUE"""),"https://doi.org/10.1038/s41597-023-02472-w")</f>
        <v>https://doi.org/10.1038/s41597-023-02472-w</v>
      </c>
      <c r="M136" s="1" t="str">
        <f ca="1">IFERROR(__xludf.DUMMYFUNCTION("""COMPUTED_VALUE"""),"Cosentino_2023")</f>
        <v>Cosentino_2023</v>
      </c>
    </row>
    <row r="137" spans="1:13" ht="13.2">
      <c r="A137" s="1" t="str">
        <f ca="1">IFERROR(__xludf.DUMMYFUNCTION("""COMPUTED_VALUE"""),"Litter size")</f>
        <v>Litter size</v>
      </c>
      <c r="B137" s="1"/>
      <c r="C137" s="1"/>
      <c r="D137" s="1"/>
      <c r="E137" s="1" t="str">
        <f ca="1">IFERROR(__xludf.DUMMYFUNCTION("""COMPUTED_VALUE"""),"numeric")</f>
        <v>numeric</v>
      </c>
      <c r="F137" s="1" t="str">
        <f ca="1">IFERROR(__xludf.DUMMYFUNCTION("""COMPUTED_VALUE"""),".na")</f>
        <v>.na</v>
      </c>
      <c r="G137" s="1" t="str">
        <f ca="1">IFERROR(__xludf.DUMMYFUNCTION("""COMPUTED_VALUE"""),".na")</f>
        <v>.na</v>
      </c>
      <c r="H137" s="1"/>
      <c r="I137" s="1"/>
      <c r="J137" s="1" t="str">
        <f ca="1">IFERROR(__xludf.DUMMYFUNCTION("""COMPUTED_VALUE"""),"Number of live offspring produced in one litter")</f>
        <v>Number of live offspring produced in one litter</v>
      </c>
      <c r="K137" s="1"/>
      <c r="L137" s="8" t="str">
        <f ca="1">IFERROR(__xludf.DUMMYFUNCTION("""COMPUTED_VALUE"""),"https://doi.org/10.1038/s41597-023-02472-w")</f>
        <v>https://doi.org/10.1038/s41597-023-02472-w</v>
      </c>
      <c r="M137" s="1" t="str">
        <f ca="1">IFERROR(__xludf.DUMMYFUNCTION("""COMPUTED_VALUE"""),"Cosentino_2023")</f>
        <v>Cosentino_2023</v>
      </c>
    </row>
    <row r="138" spans="1:13" ht="13.2">
      <c r="A138" s="1" t="str">
        <f ca="1">IFERROR(__xludf.DUMMYFUNCTION("""COMPUTED_VALUE"""),"Number of litters per year")</f>
        <v>Number of litters per year</v>
      </c>
      <c r="B138" s="1"/>
      <c r="C138" s="1"/>
      <c r="D138" s="1"/>
      <c r="E138" s="1" t="str">
        <f ca="1">IFERROR(__xludf.DUMMYFUNCTION("""COMPUTED_VALUE"""),"numeric")</f>
        <v>numeric</v>
      </c>
      <c r="F138" s="1" t="str">
        <f ca="1">IFERROR(__xludf.DUMMYFUNCTION("""COMPUTED_VALUE"""),".na")</f>
        <v>.na</v>
      </c>
      <c r="G138" s="1" t="str">
        <f ca="1">IFERROR(__xludf.DUMMYFUNCTION("""COMPUTED_VALUE"""),".na")</f>
        <v>.na</v>
      </c>
      <c r="H138" s="1"/>
      <c r="I138" s="1"/>
      <c r="J138" s="1" t="str">
        <f ca="1">IFERROR(__xludf.DUMMYFUNCTION("""COMPUTED_VALUE"""),"Number of litters per female per year")</f>
        <v>Number of litters per female per year</v>
      </c>
      <c r="K138" s="1"/>
      <c r="L138" s="8" t="str">
        <f ca="1">IFERROR(__xludf.DUMMYFUNCTION("""COMPUTED_VALUE"""),"https://doi.org/10.1038/s41597-023-02472-w")</f>
        <v>https://doi.org/10.1038/s41597-023-02472-w</v>
      </c>
      <c r="M138" s="1" t="str">
        <f ca="1">IFERROR(__xludf.DUMMYFUNCTION("""COMPUTED_VALUE"""),"Cosentino_2023")</f>
        <v>Cosentino_2023</v>
      </c>
    </row>
    <row r="139" spans="1:13" ht="13.2">
      <c r="A139" s="1" t="str">
        <f ca="1">IFERROR(__xludf.DUMMYFUNCTION("""COMPUTED_VALUE"""),"Interval between births")</f>
        <v>Interval between births</v>
      </c>
      <c r="B139" s="1"/>
      <c r="C139" s="1"/>
      <c r="D139" s="1"/>
      <c r="E139" s="1" t="str">
        <f ca="1">IFERROR(__xludf.DUMMYFUNCTION("""COMPUTED_VALUE"""),"numeric")</f>
        <v>numeric</v>
      </c>
      <c r="F139" s="1" t="str">
        <f ca="1">IFERROR(__xludf.DUMMYFUNCTION("""COMPUTED_VALUE"""),"days")</f>
        <v>days</v>
      </c>
      <c r="G139" s="1" t="str">
        <f ca="1">IFERROR(__xludf.DUMMYFUNCTION("""COMPUTED_VALUE"""),".na")</f>
        <v>.na</v>
      </c>
      <c r="H139" s="1"/>
      <c r="I139" s="1"/>
      <c r="J139" s="1" t="str">
        <f ca="1">IFERROR(__xludf.DUMMYFUNCTION("""COMPUTED_VALUE"""),"The interval between two consecutive pregnancy")</f>
        <v>The interval between two consecutive pregnancy</v>
      </c>
      <c r="K139" s="1"/>
      <c r="L139" s="8" t="str">
        <f ca="1">IFERROR(__xludf.DUMMYFUNCTION("""COMPUTED_VALUE"""),"https://doi.org/10.1038/s41597-023-02472-w")</f>
        <v>https://doi.org/10.1038/s41597-023-02472-w</v>
      </c>
      <c r="M139" s="1" t="str">
        <f ca="1">IFERROR(__xludf.DUMMYFUNCTION("""COMPUTED_VALUE"""),"Cosentino_2023")</f>
        <v>Cosentino_2023</v>
      </c>
    </row>
    <row r="140" spans="1:13" ht="13.2">
      <c r="A140" s="1" t="str">
        <f ca="1">IFERROR(__xludf.DUMMYFUNCTION("""COMPUTED_VALUE"""),"Parental cares")</f>
        <v>Parental cares</v>
      </c>
      <c r="B140" s="1"/>
      <c r="C140" s="1"/>
      <c r="D140" s="1"/>
      <c r="E140" s="1" t="str">
        <f ca="1">IFERROR(__xludf.DUMMYFUNCTION("""COMPUTED_VALUE"""),"categorical ")</f>
        <v xml:space="preserve">categorical </v>
      </c>
      <c r="F140" s="1" t="str">
        <f ca="1">IFERROR(__xludf.DUMMYFUNCTION("""COMPUTED_VALUE"""),".na")</f>
        <v>.na</v>
      </c>
      <c r="G140" s="1" t="str">
        <f ca="1">IFERROR(__xludf.DUMMYFUNCTION("""COMPUTED_VALUE"""),"1= yes, 2=no")</f>
        <v>1= yes, 2=no</v>
      </c>
      <c r="H140" s="1" t="str">
        <f ca="1">IFERROR(__xludf.DUMMYFUNCTION("""COMPUTED_VALUE"""),".na")</f>
        <v>.na</v>
      </c>
      <c r="I140" s="1" t="str">
        <f ca="1">IFERROR(__xludf.DUMMYFUNCTION("""COMPUTED_VALUE"""),".na")</f>
        <v>.na</v>
      </c>
      <c r="J140" s="1" t="str">
        <f ca="1">IFERROR(__xludf.DUMMYFUNCTION("""COMPUTED_VALUE"""),"Presence of parental cares")</f>
        <v>Presence of parental cares</v>
      </c>
      <c r="K140" s="1"/>
      <c r="L140" s="8" t="str">
        <f ca="1">IFERROR(__xludf.DUMMYFUNCTION("""COMPUTED_VALUE"""),"https://doi.org/10.1038/s41597-023-02472-w")</f>
        <v>https://doi.org/10.1038/s41597-023-02472-w</v>
      </c>
      <c r="M140" s="1" t="str">
        <f ca="1">IFERROR(__xludf.DUMMYFUNCTION("""COMPUTED_VALUE"""),"Cosentino_2023")</f>
        <v>Cosentino_2023</v>
      </c>
    </row>
    <row r="141" spans="1:13" ht="13.2">
      <c r="A141" s="1" t="str">
        <f ca="1">IFERROR(__xludf.DUMMYFUNCTION("""COMPUTED_VALUE"""),"Nursery roost ")</f>
        <v xml:space="preserve">Nursery roost </v>
      </c>
      <c r="B141" s="1"/>
      <c r="C141" s="1"/>
      <c r="D141" s="1"/>
      <c r="E141" s="1" t="str">
        <f ca="1">IFERROR(__xludf.DUMMYFUNCTION("""COMPUTED_VALUE"""),"categorical ")</f>
        <v xml:space="preserve">categorical </v>
      </c>
      <c r="F141" s="1" t="str">
        <f ca="1">IFERROR(__xludf.DUMMYFUNCTION("""COMPUTED_VALUE"""),".na")</f>
        <v>.na</v>
      </c>
      <c r="G141" s="1" t="str">
        <f ca="1">IFERROR(__xludf.DUMMYFUNCTION("""COMPUTED_VALUE"""),"1= yes, 2=no")</f>
        <v>1= yes, 2=no</v>
      </c>
      <c r="H141" s="1" t="str">
        <f ca="1">IFERROR(__xludf.DUMMYFUNCTION("""COMPUTED_VALUE"""),".na")</f>
        <v>.na</v>
      </c>
      <c r="I141" s="1" t="str">
        <f ca="1">IFERROR(__xludf.DUMMYFUNCTION("""COMPUTED_VALUE"""),".na")</f>
        <v>.na</v>
      </c>
      <c r="J141" s="1" t="str">
        <f ca="1">IFERROR(__xludf.DUMMYFUNCTION("""COMPUTED_VALUE"""),"Presence of nursery roost")</f>
        <v>Presence of nursery roost</v>
      </c>
      <c r="K141" s="1"/>
      <c r="L141" s="8" t="str">
        <f ca="1">IFERROR(__xludf.DUMMYFUNCTION("""COMPUTED_VALUE"""),"https://doi.org/10.1038/s41597-023-02472-w")</f>
        <v>https://doi.org/10.1038/s41597-023-02472-w</v>
      </c>
      <c r="M141" s="1" t="str">
        <f ca="1">IFERROR(__xludf.DUMMYFUNCTION("""COMPUTED_VALUE"""),"Cosentino_2023")</f>
        <v>Cosentino_2023</v>
      </c>
    </row>
    <row r="142" spans="1:13" ht="13.2">
      <c r="A142" s="1" t="str">
        <f ca="1">IFERROR(__xludf.DUMMYFUNCTION("""COMPUTED_VALUE"""),"Nursery roost size")</f>
        <v>Nursery roost size</v>
      </c>
      <c r="B142" s="1"/>
      <c r="C142" s="1"/>
      <c r="D142" s="1"/>
      <c r="E142" s="1" t="str">
        <f ca="1">IFERROR(__xludf.DUMMYFUNCTION("""COMPUTED_VALUE"""),"numeric")</f>
        <v>numeric</v>
      </c>
      <c r="F142" s="1" t="str">
        <f ca="1">IFERROR(__xludf.DUMMYFUNCTION("""COMPUTED_VALUE"""),"number of individuals")</f>
        <v>number of individuals</v>
      </c>
      <c r="G142" s="1" t="str">
        <f ca="1">IFERROR(__xludf.DUMMYFUNCTION("""COMPUTED_VALUE"""),".na")</f>
        <v>.na</v>
      </c>
      <c r="H142" s="1"/>
      <c r="I142" s="1"/>
      <c r="J142" s="1" t="str">
        <f ca="1">IFERROR(__xludf.DUMMYFUNCTION("""COMPUTED_VALUE"""),"Number of individuals in a nursery roost")</f>
        <v>Number of individuals in a nursery roost</v>
      </c>
      <c r="K142" s="1"/>
      <c r="L142" s="8" t="str">
        <f ca="1">IFERROR(__xludf.DUMMYFUNCTION("""COMPUTED_VALUE"""),"https://doi.org/10.1038/s41597-023-02472-w")</f>
        <v>https://doi.org/10.1038/s41597-023-02472-w</v>
      </c>
      <c r="M142" s="1" t="str">
        <f ca="1">IFERROR(__xludf.DUMMYFUNCTION("""COMPUTED_VALUE"""),"Cosentino_2023")</f>
        <v>Cosentino_2023</v>
      </c>
    </row>
    <row r="143" spans="1:13" ht="13.2">
      <c r="A143" s="1" t="str">
        <f ca="1">IFERROR(__xludf.DUMMYFUNCTION("""COMPUTED_VALUE"""),"Life-span in the wild")</f>
        <v>Life-span in the wild</v>
      </c>
      <c r="B143" s="1"/>
      <c r="C143" s="1"/>
      <c r="D143" s="1"/>
      <c r="E143" s="1" t="str">
        <f ca="1">IFERROR(__xludf.DUMMYFUNCTION("""COMPUTED_VALUE"""),"numeric")</f>
        <v>numeric</v>
      </c>
      <c r="F143" s="1" t="str">
        <f ca="1">IFERROR(__xludf.DUMMYFUNCTION("""COMPUTED_VALUE"""),"years")</f>
        <v>years</v>
      </c>
      <c r="G143" s="1" t="str">
        <f ca="1">IFERROR(__xludf.DUMMYFUNCTION("""COMPUTED_VALUE"""),".na")</f>
        <v>.na</v>
      </c>
      <c r="H143" s="1"/>
      <c r="I143" s="1"/>
      <c r="J143" s="1" t="str">
        <f ca="1">IFERROR(__xludf.DUMMYFUNCTION("""COMPUTED_VALUE"""),"The length of life in the wild")</f>
        <v>The length of life in the wild</v>
      </c>
      <c r="K143" s="1"/>
      <c r="L143" s="8" t="str">
        <f ca="1">IFERROR(__xludf.DUMMYFUNCTION("""COMPUTED_VALUE"""),"https://doi.org/10.1038/s41597-023-02472-w")</f>
        <v>https://doi.org/10.1038/s41597-023-02472-w</v>
      </c>
      <c r="M143" s="1" t="str">
        <f ca="1">IFERROR(__xludf.DUMMYFUNCTION("""COMPUTED_VALUE"""),"Cosentino_2023")</f>
        <v>Cosentino_2023</v>
      </c>
    </row>
    <row r="144" spans="1:13" ht="13.2">
      <c r="A144" s="1" t="str">
        <f ca="1">IFERROR(__xludf.DUMMYFUNCTION("""COMPUTED_VALUE"""),"Life-span in captivity")</f>
        <v>Life-span in captivity</v>
      </c>
      <c r="B144" s="1"/>
      <c r="C144" s="1"/>
      <c r="D144" s="1"/>
      <c r="E144" s="1" t="str">
        <f ca="1">IFERROR(__xludf.DUMMYFUNCTION("""COMPUTED_VALUE"""),"numeric")</f>
        <v>numeric</v>
      </c>
      <c r="F144" s="1" t="str">
        <f ca="1">IFERROR(__xludf.DUMMYFUNCTION("""COMPUTED_VALUE"""),"years")</f>
        <v>years</v>
      </c>
      <c r="G144" s="1" t="str">
        <f ca="1">IFERROR(__xludf.DUMMYFUNCTION("""COMPUTED_VALUE"""),".na")</f>
        <v>.na</v>
      </c>
      <c r="H144" s="1"/>
      <c r="I144" s="1"/>
      <c r="J144" s="1" t="str">
        <f ca="1">IFERROR(__xludf.DUMMYFUNCTION("""COMPUTED_VALUE"""),"The length of life in captivity")</f>
        <v>The length of life in captivity</v>
      </c>
      <c r="K144" s="1"/>
      <c r="L144" s="8" t="str">
        <f ca="1">IFERROR(__xludf.DUMMYFUNCTION("""COMPUTED_VALUE"""),"https://doi.org/10.1038/s41597-023-02472-w")</f>
        <v>https://doi.org/10.1038/s41597-023-02472-w</v>
      </c>
      <c r="M144" s="1" t="str">
        <f ca="1">IFERROR(__xludf.DUMMYFUNCTION("""COMPUTED_VALUE"""),"Cosentino_2023")</f>
        <v>Cosentino_2023</v>
      </c>
    </row>
    <row r="145" spans="1:13" ht="13.2">
      <c r="A145" s="1" t="str">
        <f ca="1">IFERROR(__xludf.DUMMYFUNCTION("""COMPUTED_VALUE"""),"Home range (F/M/U)")</f>
        <v>Home range (F/M/U)</v>
      </c>
      <c r="B145" s="1"/>
      <c r="C145" s="1"/>
      <c r="D145" s="1"/>
      <c r="E145" s="1" t="str">
        <f ca="1">IFERROR(__xludf.DUMMYFUNCTION("""COMPUTED_VALUE"""),"numeric")</f>
        <v>numeric</v>
      </c>
      <c r="F145" s="1" t="str">
        <f ca="1">IFERROR(__xludf.DUMMYFUNCTION("""COMPUTED_VALUE"""),"Km²")</f>
        <v>Km²</v>
      </c>
      <c r="G145" s="1" t="str">
        <f ca="1">IFERROR(__xludf.DUMMYFUNCTION("""COMPUTED_VALUE"""),".na")</f>
        <v>.na</v>
      </c>
      <c r="H145" s="1"/>
      <c r="I145" s="1"/>
      <c r="J145" s="1" t="str">
        <f ca="1">IFERROR(__xludf.DUMMYFUNCTION("""COMPUTED_VALUE"""),"Size of the home range area")</f>
        <v>Size of the home range area</v>
      </c>
      <c r="K145" s="1"/>
      <c r="L145" s="8" t="str">
        <f ca="1">IFERROR(__xludf.DUMMYFUNCTION("""COMPUTED_VALUE"""),"https://doi.org/10.1038/s41597-023-02472-w")</f>
        <v>https://doi.org/10.1038/s41597-023-02472-w</v>
      </c>
      <c r="M145" s="1" t="str">
        <f ca="1">IFERROR(__xludf.DUMMYFUNCTION("""COMPUTED_VALUE"""),"Cosentino_2023")</f>
        <v>Cosentino_2023</v>
      </c>
    </row>
    <row r="146" spans="1:13" ht="13.2">
      <c r="A146" s="1" t="str">
        <f ca="1">IFERROR(__xludf.DUMMYFUNCTION("""COMPUTED_VALUE"""),"Dispersal distance (F/M/U)")</f>
        <v>Dispersal distance (F/M/U)</v>
      </c>
      <c r="B146" s="1"/>
      <c r="C146" s="1"/>
      <c r="D146" s="1"/>
      <c r="E146" s="1" t="str">
        <f ca="1">IFERROR(__xludf.DUMMYFUNCTION("""COMPUTED_VALUE"""),"numeric")</f>
        <v>numeric</v>
      </c>
      <c r="F146" s="1" t="str">
        <f ca="1">IFERROR(__xludf.DUMMYFUNCTION("""COMPUTED_VALUE"""),"Km")</f>
        <v>Km</v>
      </c>
      <c r="G146" s="1" t="str">
        <f ca="1">IFERROR(__xludf.DUMMYFUNCTION("""COMPUTED_VALUE"""),".na")</f>
        <v>.na</v>
      </c>
      <c r="H146" s="1"/>
      <c r="I146" s="1"/>
      <c r="J146" s="1" t="str">
        <f ca="1">IFERROR(__xludf.DUMMYFUNCTION("""COMPUTED_VALUE"""),"Dispersal distance")</f>
        <v>Dispersal distance</v>
      </c>
      <c r="K146" s="1"/>
      <c r="L146" s="8" t="str">
        <f ca="1">IFERROR(__xludf.DUMMYFUNCTION("""COMPUTED_VALUE"""),"https://doi.org/10.1038/s41597-023-02472-w")</f>
        <v>https://doi.org/10.1038/s41597-023-02472-w</v>
      </c>
      <c r="M146" s="1" t="str">
        <f ca="1">IFERROR(__xludf.DUMMYFUNCTION("""COMPUTED_VALUE"""),"Cosentino_2023")</f>
        <v>Cosentino_2023</v>
      </c>
    </row>
    <row r="147" spans="1:13" ht="13.2">
      <c r="A147" s="1" t="str">
        <f ca="1">IFERROR(__xludf.DUMMYFUNCTION("""COMPUTED_VALUE"""),"Territoriality (F/M/U)")</f>
        <v>Territoriality (F/M/U)</v>
      </c>
      <c r="B147" s="1"/>
      <c r="C147" s="1"/>
      <c r="D147" s="1"/>
      <c r="E147" s="1" t="str">
        <f ca="1">IFERROR(__xludf.DUMMYFUNCTION("""COMPUTED_VALUE"""),"categorical ")</f>
        <v xml:space="preserve">categorical </v>
      </c>
      <c r="F147" s="1" t="str">
        <f ca="1">IFERROR(__xludf.DUMMYFUNCTION("""COMPUTED_VALUE"""),".na")</f>
        <v>.na</v>
      </c>
      <c r="G147" s="1" t="str">
        <f ca="1">IFERROR(__xludf.DUMMYFUNCTION("""COMPUTED_VALUE"""),"1= yes, 2=no")</f>
        <v>1= yes, 2=no</v>
      </c>
      <c r="H147" s="1" t="str">
        <f ca="1">IFERROR(__xludf.DUMMYFUNCTION("""COMPUTED_VALUE"""),".na")</f>
        <v>.na</v>
      </c>
      <c r="I147" s="1" t="str">
        <f ca="1">IFERROR(__xludf.DUMMYFUNCTION("""COMPUTED_VALUE"""),".na")</f>
        <v>.na</v>
      </c>
      <c r="J147" s="1" t="str">
        <f ca="1">IFERROR(__xludf.DUMMYFUNCTION("""COMPUTED_VALUE"""),"Territoriality of the species individuals")</f>
        <v>Territoriality of the species individuals</v>
      </c>
      <c r="K147" s="1"/>
      <c r="L147" s="8" t="str">
        <f ca="1">IFERROR(__xludf.DUMMYFUNCTION("""COMPUTED_VALUE"""),"https://doi.org/10.1038/s41597-023-02472-w")</f>
        <v>https://doi.org/10.1038/s41597-023-02472-w</v>
      </c>
      <c r="M147" s="1" t="str">
        <f ca="1">IFERROR(__xludf.DUMMYFUNCTION("""COMPUTED_VALUE"""),"Cosentino_2023")</f>
        <v>Cosentino_2023</v>
      </c>
    </row>
    <row r="148" spans="1:13" ht="13.2">
      <c r="A148" s="1" t="str">
        <f ca="1">IFERROR(__xludf.DUMMYFUNCTION("""COMPUTED_VALUE"""),"Migratory")</f>
        <v>Migratory</v>
      </c>
      <c r="B148" s="1"/>
      <c r="C148" s="1"/>
      <c r="D148" s="1"/>
      <c r="E148" s="1" t="str">
        <f ca="1">IFERROR(__xludf.DUMMYFUNCTION("""COMPUTED_VALUE"""),"categorical ")</f>
        <v xml:space="preserve">categorical </v>
      </c>
      <c r="F148" s="1" t="str">
        <f ca="1">IFERROR(__xludf.DUMMYFUNCTION("""COMPUTED_VALUE"""),".na")</f>
        <v>.na</v>
      </c>
      <c r="G148" s="1" t="str">
        <f ca="1">IFERROR(__xludf.DUMMYFUNCTION("""COMPUTED_VALUE"""),"1= yes, 2=no")</f>
        <v>1= yes, 2=no</v>
      </c>
      <c r="H148" s="1" t="str">
        <f ca="1">IFERROR(__xludf.DUMMYFUNCTION("""COMPUTED_VALUE"""),".na")</f>
        <v>.na</v>
      </c>
      <c r="I148" s="1" t="str">
        <f ca="1">IFERROR(__xludf.DUMMYFUNCTION("""COMPUTED_VALUE"""),".na")</f>
        <v>.na</v>
      </c>
      <c r="J148" s="1" t="str">
        <f ca="1">IFERROR(__xludf.DUMMYFUNCTION("""COMPUTED_VALUE"""),"Presence of migratory behavior")</f>
        <v>Presence of migratory behavior</v>
      </c>
      <c r="K148" s="1"/>
      <c r="L148" s="8" t="str">
        <f ca="1">IFERROR(__xludf.DUMMYFUNCTION("""COMPUTED_VALUE"""),"https://doi.org/10.1038/s41597-023-02472-w")</f>
        <v>https://doi.org/10.1038/s41597-023-02472-w</v>
      </c>
      <c r="M148" s="1" t="str">
        <f ca="1">IFERROR(__xludf.DUMMYFUNCTION("""COMPUTED_VALUE"""),"Cosentino_2023")</f>
        <v>Cosentino_2023</v>
      </c>
    </row>
    <row r="149" spans="1:13" ht="13.2">
      <c r="A149" s="1" t="str">
        <f ca="1">IFERROR(__xludf.DUMMYFUNCTION("""COMPUTED_VALUE"""),"Colony size number ")</f>
        <v xml:space="preserve">Colony size number </v>
      </c>
      <c r="B149" s="1"/>
      <c r="C149" s="1"/>
      <c r="D149" s="1"/>
      <c r="E149" s="1" t="str">
        <f ca="1">IFERROR(__xludf.DUMMYFUNCTION("""COMPUTED_VALUE"""),"numeric")</f>
        <v>numeric</v>
      </c>
      <c r="F149" s="1" t="str">
        <f ca="1">IFERROR(__xludf.DUMMYFUNCTION("""COMPUTED_VALUE"""),"number of individuals")</f>
        <v>number of individuals</v>
      </c>
      <c r="G149" s="1" t="str">
        <f ca="1">IFERROR(__xludf.DUMMYFUNCTION("""COMPUTED_VALUE"""),".na")</f>
        <v>.na</v>
      </c>
      <c r="H149" s="1"/>
      <c r="I149" s="1"/>
      <c r="J149" s="1" t="str">
        <f ca="1">IFERROR(__xludf.DUMMYFUNCTION("""COMPUTED_VALUE"""),"Number of individuals in a colony")</f>
        <v>Number of individuals in a colony</v>
      </c>
      <c r="K149" s="1"/>
      <c r="L149" s="8" t="str">
        <f ca="1">IFERROR(__xludf.DUMMYFUNCTION("""COMPUTED_VALUE"""),"https://doi.org/10.1038/s41597-023-02472-w")</f>
        <v>https://doi.org/10.1038/s41597-023-02472-w</v>
      </c>
      <c r="M149" s="1" t="str">
        <f ca="1">IFERROR(__xludf.DUMMYFUNCTION("""COMPUTED_VALUE"""),"Cosentino_2023")</f>
        <v>Cosentino_2023</v>
      </c>
    </row>
    <row r="150" spans="1:13" ht="13.2">
      <c r="A150" s="1" t="str">
        <f ca="1">IFERROR(__xludf.DUMMYFUNCTION("""COMPUTED_VALUE"""),"Colony size ")</f>
        <v xml:space="preserve">Colony size </v>
      </c>
      <c r="B150" s="1"/>
      <c r="C150" s="1"/>
      <c r="D150" s="1"/>
      <c r="E150" s="1" t="str">
        <f ca="1">IFERROR(__xludf.DUMMYFUNCTION("""COMPUTED_VALUE"""),"categorical ")</f>
        <v xml:space="preserve">categorical </v>
      </c>
      <c r="F150" s="1" t="str">
        <f ca="1">IFERROR(__xludf.DUMMYFUNCTION("""COMPUTED_VALUE"""),".na")</f>
        <v>.na</v>
      </c>
      <c r="G150" s="1" t="str">
        <f ca="1">IFERROR(__xludf.DUMMYFUNCTION("""COMPUTED_VALUE"""),"1 = small, 2= medium, 3 = large")</f>
        <v>1 = small, 2= medium, 3 = large</v>
      </c>
      <c r="H150" s="1" t="str">
        <f ca="1">IFERROR(__xludf.DUMMYFUNCTION("""COMPUTED_VALUE"""),".na")</f>
        <v>.na</v>
      </c>
      <c r="I150" s="1" t="str">
        <f ca="1">IFERROR(__xludf.DUMMYFUNCTION("""COMPUTED_VALUE"""),".na")</f>
        <v>.na</v>
      </c>
      <c r="J150" s="1" t="str">
        <f ca="1">IFERROR(__xludf.DUMMYFUNCTION("""COMPUTED_VALUE"""),"Size of the colony")</f>
        <v>Size of the colony</v>
      </c>
      <c r="K150" s="1"/>
      <c r="L150" s="8" t="str">
        <f ca="1">IFERROR(__xludf.DUMMYFUNCTION("""COMPUTED_VALUE"""),"https://doi.org/10.1038/s41597-023-02472-w")</f>
        <v>https://doi.org/10.1038/s41597-023-02472-w</v>
      </c>
      <c r="M150" s="1" t="str">
        <f ca="1">IFERROR(__xludf.DUMMYFUNCTION("""COMPUTED_VALUE"""),"Cosentino_2023")</f>
        <v>Cosentino_2023</v>
      </c>
    </row>
    <row r="151" spans="1:13" ht="13.2">
      <c r="A151" s="1" t="str">
        <f ca="1">IFERROR(__xludf.DUMMYFUNCTION("""COMPUTED_VALUE"""),"Mixed colony")</f>
        <v>Mixed colony</v>
      </c>
      <c r="B151" s="1"/>
      <c r="C151" s="1"/>
      <c r="D151" s="1"/>
      <c r="E151" s="1" t="str">
        <f ca="1">IFERROR(__xludf.DUMMYFUNCTION("""COMPUTED_VALUE"""),"categorical ")</f>
        <v xml:space="preserve">categorical </v>
      </c>
      <c r="F151" s="1" t="str">
        <f ca="1">IFERROR(__xludf.DUMMYFUNCTION("""COMPUTED_VALUE"""),".na")</f>
        <v>.na</v>
      </c>
      <c r="G151" s="1" t="str">
        <f ca="1">IFERROR(__xludf.DUMMYFUNCTION("""COMPUTED_VALUE"""),"1= yes, 2=no")</f>
        <v>1= yes, 2=no</v>
      </c>
      <c r="H151" s="1" t="str">
        <f ca="1">IFERROR(__xludf.DUMMYFUNCTION("""COMPUTED_VALUE"""),".na")</f>
        <v>.na</v>
      </c>
      <c r="I151" s="1" t="str">
        <f ca="1">IFERROR(__xludf.DUMMYFUNCTION("""COMPUTED_VALUE"""),".na")</f>
        <v>.na</v>
      </c>
      <c r="J151" s="1" t="str">
        <f ca="1">IFERROR(__xludf.DUMMYFUNCTION("""COMPUTED_VALUE"""),"Presence of different species in the same colony")</f>
        <v>Presence of different species in the same colony</v>
      </c>
      <c r="K151" s="1"/>
      <c r="L151" s="8" t="str">
        <f ca="1">IFERROR(__xludf.DUMMYFUNCTION("""COMPUTED_VALUE"""),"https://doi.org/10.1038/s41597-023-02472-w")</f>
        <v>https://doi.org/10.1038/s41597-023-02472-w</v>
      </c>
      <c r="M151" s="1" t="str">
        <f ca="1">IFERROR(__xludf.DUMMYFUNCTION("""COMPUTED_VALUE"""),"Cosentino_2023")</f>
        <v>Cosentino_2023</v>
      </c>
    </row>
    <row r="152" spans="1:13" ht="13.2">
      <c r="A152" s="1" t="str">
        <f ca="1">IFERROR(__xludf.DUMMYFUNCTION("""COMPUTED_VALUE"""),"Hibernation")</f>
        <v>Hibernation</v>
      </c>
      <c r="B152" s="1"/>
      <c r="C152" s="1"/>
      <c r="D152" s="1"/>
      <c r="E152" s="1" t="str">
        <f ca="1">IFERROR(__xludf.DUMMYFUNCTION("""COMPUTED_VALUE"""),"categorical ")</f>
        <v xml:space="preserve">categorical </v>
      </c>
      <c r="F152" s="1" t="str">
        <f ca="1">IFERROR(__xludf.DUMMYFUNCTION("""COMPUTED_VALUE"""),".na")</f>
        <v>.na</v>
      </c>
      <c r="G152" s="1" t="str">
        <f ca="1">IFERROR(__xludf.DUMMYFUNCTION("""COMPUTED_VALUE"""),"1= yes, 2=no")</f>
        <v>1= yes, 2=no</v>
      </c>
      <c r="H152" s="1" t="str">
        <f ca="1">IFERROR(__xludf.DUMMYFUNCTION("""COMPUTED_VALUE"""),".na")</f>
        <v>.na</v>
      </c>
      <c r="I152" s="1" t="str">
        <f ca="1">IFERROR(__xludf.DUMMYFUNCTION("""COMPUTED_VALUE"""),".na")</f>
        <v>.na</v>
      </c>
      <c r="J152" s="1" t="str">
        <f ca="1">IFERROR(__xludf.DUMMYFUNCTION("""COMPUTED_VALUE"""),"Presence of hibernation period.")</f>
        <v>Presence of hibernation period.</v>
      </c>
      <c r="K152" s="1"/>
      <c r="L152" s="8" t="str">
        <f ca="1">IFERROR(__xludf.DUMMYFUNCTION("""COMPUTED_VALUE"""),"https://doi.org/10.1038/s41597-023-02472-w")</f>
        <v>https://doi.org/10.1038/s41597-023-02472-w</v>
      </c>
      <c r="M152" s="1" t="str">
        <f ca="1">IFERROR(__xludf.DUMMYFUNCTION("""COMPUTED_VALUE"""),"Cosentino_2023")</f>
        <v>Cosentino_2023</v>
      </c>
    </row>
    <row r="153" spans="1:13" ht="13.2">
      <c r="A153" s="1" t="str">
        <f ca="1">IFERROR(__xludf.DUMMYFUNCTION("""COMPUTED_VALUE"""),"Hibernation length")</f>
        <v>Hibernation length</v>
      </c>
      <c r="B153" s="1"/>
      <c r="C153" s="1"/>
      <c r="D153" s="1"/>
      <c r="E153" s="1" t="str">
        <f ca="1">IFERROR(__xludf.DUMMYFUNCTION("""COMPUTED_VALUE"""),"numeric")</f>
        <v>numeric</v>
      </c>
      <c r="F153" s="1" t="str">
        <f ca="1">IFERROR(__xludf.DUMMYFUNCTION("""COMPUTED_VALUE"""),"days")</f>
        <v>days</v>
      </c>
      <c r="G153" s="1" t="str">
        <f ca="1">IFERROR(__xludf.DUMMYFUNCTION("""COMPUTED_VALUE"""),".na")</f>
        <v>.na</v>
      </c>
      <c r="H153" s="1"/>
      <c r="I153" s="1"/>
      <c r="J153" s="1" t="str">
        <f ca="1">IFERROR(__xludf.DUMMYFUNCTION("""COMPUTED_VALUE"""),"Length of the hibernation period")</f>
        <v>Length of the hibernation period</v>
      </c>
      <c r="K153" s="1"/>
      <c r="L153" s="8" t="str">
        <f ca="1">IFERROR(__xludf.DUMMYFUNCTION("""COMPUTED_VALUE"""),"https://doi.org/10.1038/s41597-023-02472-w")</f>
        <v>https://doi.org/10.1038/s41597-023-02472-w</v>
      </c>
      <c r="M153" s="1" t="str">
        <f ca="1">IFERROR(__xludf.DUMMYFUNCTION("""COMPUTED_VALUE"""),"Cosentino_2023")</f>
        <v>Cosentino_2023</v>
      </c>
    </row>
    <row r="154" spans="1:13" ht="13.2">
      <c r="A154" s="1" t="str">
        <f ca="1">IFERROR(__xludf.DUMMYFUNCTION("""COMPUTED_VALUE"""),"Echolocation")</f>
        <v>Echolocation</v>
      </c>
      <c r="B154" s="1"/>
      <c r="C154" s="1"/>
      <c r="D154" s="1"/>
      <c r="E154" s="1" t="str">
        <f ca="1">IFERROR(__xludf.DUMMYFUNCTION("""COMPUTED_VALUE"""),"categorical ")</f>
        <v xml:space="preserve">categorical </v>
      </c>
      <c r="F154" s="1" t="str">
        <f ca="1">IFERROR(__xludf.DUMMYFUNCTION("""COMPUTED_VALUE"""),".na")</f>
        <v>.na</v>
      </c>
      <c r="G154" s="1" t="str">
        <f ca="1">IFERROR(__xludf.DUMMYFUNCTION("""COMPUTED_VALUE"""),"1= yes, 2=no")</f>
        <v>1= yes, 2=no</v>
      </c>
      <c r="H154" s="1" t="str">
        <f ca="1">IFERROR(__xludf.DUMMYFUNCTION("""COMPUTED_VALUE"""),".na")</f>
        <v>.na</v>
      </c>
      <c r="I154" s="1" t="str">
        <f ca="1">IFERROR(__xludf.DUMMYFUNCTION("""COMPUTED_VALUE"""),".na")</f>
        <v>.na</v>
      </c>
      <c r="J154" s="1" t="str">
        <f ca="1">IFERROR(__xludf.DUMMYFUNCTION("""COMPUTED_VALUE"""),"Presence of echolocation")</f>
        <v>Presence of echolocation</v>
      </c>
      <c r="K154" s="1"/>
      <c r="L154" s="8" t="str">
        <f ca="1">IFERROR(__xludf.DUMMYFUNCTION("""COMPUTED_VALUE"""),"https://doi.org/10.1038/s41597-023-02472-w")</f>
        <v>https://doi.org/10.1038/s41597-023-02472-w</v>
      </c>
      <c r="M154" s="1" t="str">
        <f ca="1">IFERROR(__xludf.DUMMYFUNCTION("""COMPUTED_VALUE"""),"Cosentino_2023")</f>
        <v>Cosentino_2023</v>
      </c>
    </row>
    <row r="155" spans="1:13" ht="13.2">
      <c r="A155" s="1" t="str">
        <f ca="1">IFERROR(__xludf.DUMMYFUNCTION("""COMPUTED_VALUE"""),"Echolocation type")</f>
        <v>Echolocation type</v>
      </c>
      <c r="B155" s="1"/>
      <c r="C155" s="1"/>
      <c r="D155" s="1"/>
      <c r="E155" s="1" t="str">
        <f ca="1">IFERROR(__xludf.DUMMYFUNCTION("""COMPUTED_VALUE"""),"categorical ")</f>
        <v xml:space="preserve">categorical </v>
      </c>
      <c r="F155" s="1" t="str">
        <f ca="1">IFERROR(__xludf.DUMMYFUNCTION("""COMPUTED_VALUE"""),".na")</f>
        <v>.na</v>
      </c>
      <c r="G155" s="1" t="str">
        <f ca="1">IFERROR(__xludf.DUMMYFUNCTION("""COMPUTED_VALUE"""),"1= CF (constant frequency), 2= FM (frequency modulated), 3= QCF (quasi- constant frequency)")</f>
        <v>1= CF (constant frequency), 2= FM (frequency modulated), 3= QCF (quasi- constant frequency)</v>
      </c>
      <c r="H155" s="1" t="str">
        <f ca="1">IFERROR(__xludf.DUMMYFUNCTION("""COMPUTED_VALUE"""),".na")</f>
        <v>.na</v>
      </c>
      <c r="I155" s="1" t="str">
        <f ca="1">IFERROR(__xludf.DUMMYFUNCTION("""COMPUTED_VALUE"""),".na")</f>
        <v>.na</v>
      </c>
      <c r="J155" s="1" t="str">
        <f ca="1">IFERROR(__xludf.DUMMYFUNCTION("""COMPUTED_VALUE"""),"The type of the echolocation call")</f>
        <v>The type of the echolocation call</v>
      </c>
      <c r="K155" s="1"/>
      <c r="L155" s="8" t="str">
        <f ca="1">IFERROR(__xludf.DUMMYFUNCTION("""COMPUTED_VALUE"""),"https://doi.org/10.1038/s41597-023-02472-w")</f>
        <v>https://doi.org/10.1038/s41597-023-02472-w</v>
      </c>
      <c r="M155" s="1" t="str">
        <f ca="1">IFERROR(__xludf.DUMMYFUNCTION("""COMPUTED_VALUE"""),"Cosentino_2023")</f>
        <v>Cosentino_2023</v>
      </c>
    </row>
    <row r="156" spans="1:13" ht="13.2">
      <c r="A156" s="1" t="str">
        <f ca="1">IFERROR(__xludf.DUMMYFUNCTION("""COMPUTED_VALUE"""),"Frequency of maximum energy (FME)")</f>
        <v>Frequency of maximum energy (FME)</v>
      </c>
      <c r="B156" s="1"/>
      <c r="C156" s="1"/>
      <c r="D156" s="1"/>
      <c r="E156" s="1" t="str">
        <f ca="1">IFERROR(__xludf.DUMMYFUNCTION("""COMPUTED_VALUE"""),"numeric")</f>
        <v>numeric</v>
      </c>
      <c r="F156" s="1" t="str">
        <f ca="1">IFERROR(__xludf.DUMMYFUNCTION("""COMPUTED_VALUE"""),"kHz")</f>
        <v>kHz</v>
      </c>
      <c r="G156" s="1" t="str">
        <f ca="1">IFERROR(__xludf.DUMMYFUNCTION("""COMPUTED_VALUE"""),".na")</f>
        <v>.na</v>
      </c>
      <c r="H156" s="1"/>
      <c r="I156" s="1"/>
      <c r="J156" s="1" t="str">
        <f ca="1">IFERROR(__xludf.DUMMYFUNCTION("""COMPUTED_VALUE"""),"Frequence of maximum energy of the call")</f>
        <v>Frequence of maximum energy of the call</v>
      </c>
      <c r="K156" s="1"/>
      <c r="L156" s="8" t="str">
        <f ca="1">IFERROR(__xludf.DUMMYFUNCTION("""COMPUTED_VALUE"""),"https://doi.org/10.1038/s41597-023-02472-w")</f>
        <v>https://doi.org/10.1038/s41597-023-02472-w</v>
      </c>
      <c r="M156" s="1" t="str">
        <f ca="1">IFERROR(__xludf.DUMMYFUNCTION("""COMPUTED_VALUE"""),"Cosentino_2023")</f>
        <v>Cosentino_2023</v>
      </c>
    </row>
    <row r="157" spans="1:13" ht="13.2">
      <c r="A157" s="1" t="str">
        <f ca="1">IFERROR(__xludf.DUMMYFUNCTION("""COMPUTED_VALUE"""),"End frequency (EF)")</f>
        <v>End frequency (EF)</v>
      </c>
      <c r="B157" s="1"/>
      <c r="C157" s="1"/>
      <c r="D157" s="1"/>
      <c r="E157" s="1" t="str">
        <f ca="1">IFERROR(__xludf.DUMMYFUNCTION("""COMPUTED_VALUE"""),"numeric")</f>
        <v>numeric</v>
      </c>
      <c r="F157" s="1" t="str">
        <f ca="1">IFERROR(__xludf.DUMMYFUNCTION("""COMPUTED_VALUE"""),"kHz")</f>
        <v>kHz</v>
      </c>
      <c r="G157" s="1" t="str">
        <f ca="1">IFERROR(__xludf.DUMMYFUNCTION("""COMPUTED_VALUE"""),".na")</f>
        <v>.na</v>
      </c>
      <c r="H157" s="1"/>
      <c r="I157" s="1"/>
      <c r="J157" s="1" t="str">
        <f ca="1">IFERROR(__xludf.DUMMYFUNCTION("""COMPUTED_VALUE"""),"End frequency of the call ")</f>
        <v xml:space="preserve">End frequency of the call </v>
      </c>
      <c r="K157" s="1"/>
      <c r="L157" s="8" t="str">
        <f ca="1">IFERROR(__xludf.DUMMYFUNCTION("""COMPUTED_VALUE"""),"https://doi.org/10.1038/s41597-023-02472-w")</f>
        <v>https://doi.org/10.1038/s41597-023-02472-w</v>
      </c>
      <c r="M157" s="1" t="str">
        <f ca="1">IFERROR(__xludf.DUMMYFUNCTION("""COMPUTED_VALUE"""),"Cosentino_2023")</f>
        <v>Cosentino_2023</v>
      </c>
    </row>
    <row r="158" spans="1:13" ht="13.2">
      <c r="A158" s="1" t="str">
        <f ca="1">IFERROR(__xludf.DUMMYFUNCTION("""COMPUTED_VALUE"""),"Activity pattern/Dusk")</f>
        <v>Activity pattern/Dusk</v>
      </c>
      <c r="B158" s="1"/>
      <c r="C158" s="1"/>
      <c r="D158" s="1"/>
      <c r="E158" s="1" t="str">
        <f ca="1">IFERROR(__xludf.DUMMYFUNCTION("""COMPUTED_VALUE"""),"categorical ")</f>
        <v xml:space="preserve">categorical </v>
      </c>
      <c r="F158" s="1" t="str">
        <f ca="1">IFERROR(__xludf.DUMMYFUNCTION("""COMPUTED_VALUE"""),".na")</f>
        <v>.na</v>
      </c>
      <c r="G158" s="1" t="str">
        <f ca="1">IFERROR(__xludf.DUMMYFUNCTION("""COMPUTED_VALUE"""),"1= yes, 2=no")</f>
        <v>1= yes, 2=no</v>
      </c>
      <c r="H158" s="1" t="str">
        <f ca="1">IFERROR(__xludf.DUMMYFUNCTION("""COMPUTED_VALUE"""),".na")</f>
        <v>.na</v>
      </c>
      <c r="I158" s="1" t="str">
        <f ca="1">IFERROR(__xludf.DUMMYFUNCTION("""COMPUTED_VALUE"""),".na")</f>
        <v>.na</v>
      </c>
      <c r="J158" s="1" t="str">
        <f ca="1">IFERROR(__xludf.DUMMYFUNCTION("""COMPUTED_VALUE"""),"Activity pattern of the species ")</f>
        <v xml:space="preserve">Activity pattern of the species </v>
      </c>
      <c r="K158" s="1"/>
      <c r="L158" s="8" t="str">
        <f ca="1">IFERROR(__xludf.DUMMYFUNCTION("""COMPUTED_VALUE"""),"https://doi.org/10.1038/s41597-023-02472-w")</f>
        <v>https://doi.org/10.1038/s41597-023-02472-w</v>
      </c>
      <c r="M158" s="1" t="str">
        <f ca="1">IFERROR(__xludf.DUMMYFUNCTION("""COMPUTED_VALUE"""),"Cosentino_2023")</f>
        <v>Cosentino_2023</v>
      </c>
    </row>
    <row r="159" spans="1:13" ht="13.2">
      <c r="A159" s="1" t="str">
        <f ca="1">IFERROR(__xludf.DUMMYFUNCTION("""COMPUTED_VALUE"""),"Activity pattern/Night")</f>
        <v>Activity pattern/Night</v>
      </c>
      <c r="B159" s="1"/>
      <c r="C159" s="1"/>
      <c r="D159" s="1"/>
      <c r="E159" s="1" t="str">
        <f ca="1">IFERROR(__xludf.DUMMYFUNCTION("""COMPUTED_VALUE"""),"categorical ")</f>
        <v xml:space="preserve">categorical </v>
      </c>
      <c r="F159" s="1" t="str">
        <f ca="1">IFERROR(__xludf.DUMMYFUNCTION("""COMPUTED_VALUE"""),".na")</f>
        <v>.na</v>
      </c>
      <c r="G159" s="1" t="str">
        <f ca="1">IFERROR(__xludf.DUMMYFUNCTION("""COMPUTED_VALUE"""),"1= yes, 2=no")</f>
        <v>1= yes, 2=no</v>
      </c>
      <c r="H159" s="1" t="str">
        <f ca="1">IFERROR(__xludf.DUMMYFUNCTION("""COMPUTED_VALUE"""),".na")</f>
        <v>.na</v>
      </c>
      <c r="I159" s="1" t="str">
        <f ca="1">IFERROR(__xludf.DUMMYFUNCTION("""COMPUTED_VALUE"""),".na")</f>
        <v>.na</v>
      </c>
      <c r="J159" s="1" t="str">
        <f ca="1">IFERROR(__xludf.DUMMYFUNCTION("""COMPUTED_VALUE"""),"Activity pattern of the species ")</f>
        <v xml:space="preserve">Activity pattern of the species </v>
      </c>
      <c r="K159" s="1"/>
      <c r="L159" s="8" t="str">
        <f ca="1">IFERROR(__xludf.DUMMYFUNCTION("""COMPUTED_VALUE"""),"https://doi.org/10.1038/s41597-023-02472-w")</f>
        <v>https://doi.org/10.1038/s41597-023-02472-w</v>
      </c>
      <c r="M159" s="1" t="str">
        <f ca="1">IFERROR(__xludf.DUMMYFUNCTION("""COMPUTED_VALUE"""),"Cosentino_2023")</f>
        <v>Cosentino_2023</v>
      </c>
    </row>
    <row r="160" spans="1:13" ht="13.2">
      <c r="A160" s="1" t="str">
        <f ca="1">IFERROR(__xludf.DUMMYFUNCTION("""COMPUTED_VALUE"""),"Activity pattern/Dawn")</f>
        <v>Activity pattern/Dawn</v>
      </c>
      <c r="B160" s="1"/>
      <c r="C160" s="1"/>
      <c r="D160" s="1"/>
      <c r="E160" s="1" t="str">
        <f ca="1">IFERROR(__xludf.DUMMYFUNCTION("""COMPUTED_VALUE"""),"categorical ")</f>
        <v xml:space="preserve">categorical </v>
      </c>
      <c r="F160" s="1" t="str">
        <f ca="1">IFERROR(__xludf.DUMMYFUNCTION("""COMPUTED_VALUE"""),".na")</f>
        <v>.na</v>
      </c>
      <c r="G160" s="1" t="str">
        <f ca="1">IFERROR(__xludf.DUMMYFUNCTION("""COMPUTED_VALUE"""),"1= yes, 2=no")</f>
        <v>1= yes, 2=no</v>
      </c>
      <c r="H160" s="1" t="str">
        <f ca="1">IFERROR(__xludf.DUMMYFUNCTION("""COMPUTED_VALUE"""),".na")</f>
        <v>.na</v>
      </c>
      <c r="I160" s="1" t="str">
        <f ca="1">IFERROR(__xludf.DUMMYFUNCTION("""COMPUTED_VALUE"""),".na")</f>
        <v>.na</v>
      </c>
      <c r="J160" s="1" t="str">
        <f ca="1">IFERROR(__xludf.DUMMYFUNCTION("""COMPUTED_VALUE"""),"Activity pattern of the species ")</f>
        <v xml:space="preserve">Activity pattern of the species </v>
      </c>
      <c r="K160" s="1"/>
      <c r="L160" s="8" t="str">
        <f ca="1">IFERROR(__xludf.DUMMYFUNCTION("""COMPUTED_VALUE"""),"https://doi.org/10.1038/s41597-023-02472-w")</f>
        <v>https://doi.org/10.1038/s41597-023-02472-w</v>
      </c>
      <c r="M160" s="1" t="str">
        <f ca="1">IFERROR(__xludf.DUMMYFUNCTION("""COMPUTED_VALUE"""),"Cosentino_2023")</f>
        <v>Cosentino_2023</v>
      </c>
    </row>
    <row r="161" spans="1:13" ht="13.2">
      <c r="A161" s="1" t="str">
        <f ca="1">IFERROR(__xludf.DUMMYFUNCTION("""COMPUTED_VALUE"""),"Activity pattern/Day")</f>
        <v>Activity pattern/Day</v>
      </c>
      <c r="B161" s="1"/>
      <c r="C161" s="1"/>
      <c r="D161" s="1"/>
      <c r="E161" s="1" t="str">
        <f ca="1">IFERROR(__xludf.DUMMYFUNCTION("""COMPUTED_VALUE"""),"categorical ")</f>
        <v xml:space="preserve">categorical </v>
      </c>
      <c r="F161" s="1" t="str">
        <f ca="1">IFERROR(__xludf.DUMMYFUNCTION("""COMPUTED_VALUE"""),".na")</f>
        <v>.na</v>
      </c>
      <c r="G161" s="1" t="str">
        <f ca="1">IFERROR(__xludf.DUMMYFUNCTION("""COMPUTED_VALUE"""),"1= yes, 2=no")</f>
        <v>1= yes, 2=no</v>
      </c>
      <c r="H161" s="1" t="str">
        <f ca="1">IFERROR(__xludf.DUMMYFUNCTION("""COMPUTED_VALUE"""),".na")</f>
        <v>.na</v>
      </c>
      <c r="I161" s="1" t="str">
        <f ca="1">IFERROR(__xludf.DUMMYFUNCTION("""COMPUTED_VALUE"""),".na")</f>
        <v>.na</v>
      </c>
      <c r="J161" s="1" t="str">
        <f ca="1">IFERROR(__xludf.DUMMYFUNCTION("""COMPUTED_VALUE"""),"Activity pattern of the species ")</f>
        <v xml:space="preserve">Activity pattern of the species </v>
      </c>
      <c r="K161" s="1"/>
      <c r="L161" s="8" t="str">
        <f ca="1">IFERROR(__xludf.DUMMYFUNCTION("""COMPUTED_VALUE"""),"https://doi.org/10.1038/s41597-023-02472-w")</f>
        <v>https://doi.org/10.1038/s41597-023-02472-w</v>
      </c>
      <c r="M161" s="1" t="str">
        <f ca="1">IFERROR(__xludf.DUMMYFUNCTION("""COMPUTED_VALUE"""),"Cosentino_2023")</f>
        <v>Cosentino_2023</v>
      </c>
    </row>
    <row r="162" spans="1:13" ht="13.2">
      <c r="A162" s="1" t="str">
        <f ca="1">IFERROR(__xludf.DUMMYFUNCTION("""COMPUTED_VALUE"""),"Roost type/Crevices in rocks (CRR)")</f>
        <v>Roost type/Crevices in rocks (CRR)</v>
      </c>
      <c r="B162" s="1"/>
      <c r="C162" s="1"/>
      <c r="D162" s="1"/>
      <c r="E162" s="1" t="str">
        <f ca="1">IFERROR(__xludf.DUMMYFUNCTION("""COMPUTED_VALUE"""),"categorical ")</f>
        <v xml:space="preserve">categorical </v>
      </c>
      <c r="F162" s="1" t="str">
        <f ca="1">IFERROR(__xludf.DUMMYFUNCTION("""COMPUTED_VALUE"""),".na")</f>
        <v>.na</v>
      </c>
      <c r="G162" s="1" t="str">
        <f ca="1">IFERROR(__xludf.DUMMYFUNCTION("""COMPUTED_VALUE"""),"1= yes, 2=no")</f>
        <v>1= yes, 2=no</v>
      </c>
      <c r="H162" s="1" t="str">
        <f ca="1">IFERROR(__xludf.DUMMYFUNCTION("""COMPUTED_VALUE"""),".na")</f>
        <v>.na</v>
      </c>
      <c r="I162" s="1" t="str">
        <f ca="1">IFERROR(__xludf.DUMMYFUNCTION("""COMPUTED_VALUE"""),".na")</f>
        <v>.na</v>
      </c>
      <c r="J162" s="1" t="str">
        <f ca="1">IFERROR(__xludf.DUMMYFUNCTION("""COMPUTED_VALUE"""),"Roost type of the species")</f>
        <v>Roost type of the species</v>
      </c>
      <c r="K162" s="1"/>
      <c r="L162" s="8" t="str">
        <f ca="1">IFERROR(__xludf.DUMMYFUNCTION("""COMPUTED_VALUE"""),"https://doi.org/10.1038/s41597-023-02472-w")</f>
        <v>https://doi.org/10.1038/s41597-023-02472-w</v>
      </c>
      <c r="M162" s="1" t="str">
        <f ca="1">IFERROR(__xludf.DUMMYFUNCTION("""COMPUTED_VALUE"""),"Cosentino_2023")</f>
        <v>Cosentino_2023</v>
      </c>
    </row>
    <row r="163" spans="1:13" ht="13.2">
      <c r="A163" s="1" t="str">
        <f ca="1">IFERROR(__xludf.DUMMYFUNCTION("""COMPUTED_VALUE"""),"Roost type/Crevices in trees (CRT)")</f>
        <v>Roost type/Crevices in trees (CRT)</v>
      </c>
      <c r="B163" s="1"/>
      <c r="C163" s="1"/>
      <c r="D163" s="1"/>
      <c r="E163" s="1" t="str">
        <f ca="1">IFERROR(__xludf.DUMMYFUNCTION("""COMPUTED_VALUE"""),"categorical ")</f>
        <v xml:space="preserve">categorical </v>
      </c>
      <c r="F163" s="1" t="str">
        <f ca="1">IFERROR(__xludf.DUMMYFUNCTION("""COMPUTED_VALUE"""),".na")</f>
        <v>.na</v>
      </c>
      <c r="G163" s="1" t="str">
        <f ca="1">IFERROR(__xludf.DUMMYFUNCTION("""COMPUTED_VALUE"""),"1= yes, 2=no")</f>
        <v>1= yes, 2=no</v>
      </c>
      <c r="H163" s="1" t="str">
        <f ca="1">IFERROR(__xludf.DUMMYFUNCTION("""COMPUTED_VALUE"""),".na")</f>
        <v>.na</v>
      </c>
      <c r="I163" s="1" t="str">
        <f ca="1">IFERROR(__xludf.DUMMYFUNCTION("""COMPUTED_VALUE"""),".na")</f>
        <v>.na</v>
      </c>
      <c r="J163" s="1" t="str">
        <f ca="1">IFERROR(__xludf.DUMMYFUNCTION("""COMPUTED_VALUE"""),"Roost type of the species")</f>
        <v>Roost type of the species</v>
      </c>
      <c r="K163" s="1"/>
      <c r="L163" s="8" t="str">
        <f ca="1">IFERROR(__xludf.DUMMYFUNCTION("""COMPUTED_VALUE"""),"https://doi.org/10.1038/s41597-023-02472-w")</f>
        <v>https://doi.org/10.1038/s41597-023-02472-w</v>
      </c>
      <c r="M163" s="1" t="str">
        <f ca="1">IFERROR(__xludf.DUMMYFUNCTION("""COMPUTED_VALUE"""),"Cosentino_2023")</f>
        <v>Cosentino_2023</v>
      </c>
    </row>
    <row r="164" spans="1:13" ht="13.2">
      <c r="A164" s="1" t="str">
        <f ca="1">IFERROR(__xludf.DUMMYFUNCTION("""COMPUTED_VALUE"""),"Roost type/Caves and sinkhole (CA)")</f>
        <v>Roost type/Caves and sinkhole (CA)</v>
      </c>
      <c r="B164" s="1"/>
      <c r="C164" s="1"/>
      <c r="D164" s="1"/>
      <c r="E164" s="1" t="str">
        <f ca="1">IFERROR(__xludf.DUMMYFUNCTION("""COMPUTED_VALUE"""),"categorical ")</f>
        <v xml:space="preserve">categorical </v>
      </c>
      <c r="F164" s="1" t="str">
        <f ca="1">IFERROR(__xludf.DUMMYFUNCTION("""COMPUTED_VALUE"""),".na")</f>
        <v>.na</v>
      </c>
      <c r="G164" s="1" t="str">
        <f ca="1">IFERROR(__xludf.DUMMYFUNCTION("""COMPUTED_VALUE"""),"1= yes, 2=no")</f>
        <v>1= yes, 2=no</v>
      </c>
      <c r="H164" s="1" t="str">
        <f ca="1">IFERROR(__xludf.DUMMYFUNCTION("""COMPUTED_VALUE"""),".na")</f>
        <v>.na</v>
      </c>
      <c r="I164" s="1" t="str">
        <f ca="1">IFERROR(__xludf.DUMMYFUNCTION("""COMPUTED_VALUE"""),".na")</f>
        <v>.na</v>
      </c>
      <c r="J164" s="1" t="str">
        <f ca="1">IFERROR(__xludf.DUMMYFUNCTION("""COMPUTED_VALUE"""),"Roost type of the species")</f>
        <v>Roost type of the species</v>
      </c>
      <c r="K164" s="1"/>
      <c r="L164" s="8" t="str">
        <f ca="1">IFERROR(__xludf.DUMMYFUNCTION("""COMPUTED_VALUE"""),"https://doi.org/10.1038/s41597-023-02472-w")</f>
        <v>https://doi.org/10.1038/s41597-023-02472-w</v>
      </c>
      <c r="M164" s="1" t="str">
        <f ca="1">IFERROR(__xludf.DUMMYFUNCTION("""COMPUTED_VALUE"""),"Cosentino_2023")</f>
        <v>Cosentino_2023</v>
      </c>
    </row>
    <row r="165" spans="1:13" ht="13.2">
      <c r="A165" s="1" t="str">
        <f ca="1">IFERROR(__xludf.DUMMYFUNCTION("""COMPUTED_VALUE"""),"Roost type/Foliage (FO)")</f>
        <v>Roost type/Foliage (FO)</v>
      </c>
      <c r="B165" s="1"/>
      <c r="C165" s="1"/>
      <c r="D165" s="1"/>
      <c r="E165" s="1" t="str">
        <f ca="1">IFERROR(__xludf.DUMMYFUNCTION("""COMPUTED_VALUE"""),"categorical ")</f>
        <v xml:space="preserve">categorical </v>
      </c>
      <c r="F165" s="1" t="str">
        <f ca="1">IFERROR(__xludf.DUMMYFUNCTION("""COMPUTED_VALUE"""),".na")</f>
        <v>.na</v>
      </c>
      <c r="G165" s="1" t="str">
        <f ca="1">IFERROR(__xludf.DUMMYFUNCTION("""COMPUTED_VALUE"""),"1= yes, 2=no")</f>
        <v>1= yes, 2=no</v>
      </c>
      <c r="H165" s="1" t="str">
        <f ca="1">IFERROR(__xludf.DUMMYFUNCTION("""COMPUTED_VALUE"""),".na")</f>
        <v>.na</v>
      </c>
      <c r="I165" s="1" t="str">
        <f ca="1">IFERROR(__xludf.DUMMYFUNCTION("""COMPUTED_VALUE"""),".na")</f>
        <v>.na</v>
      </c>
      <c r="J165" s="1" t="str">
        <f ca="1">IFERROR(__xludf.DUMMYFUNCTION("""COMPUTED_VALUE"""),"Roost type of the species")</f>
        <v>Roost type of the species</v>
      </c>
      <c r="K165" s="1"/>
      <c r="L165" s="8" t="str">
        <f ca="1">IFERROR(__xludf.DUMMYFUNCTION("""COMPUTED_VALUE"""),"https://doi.org/10.1038/s41597-023-02472-w")</f>
        <v>https://doi.org/10.1038/s41597-023-02472-w</v>
      </c>
      <c r="M165" s="1" t="str">
        <f ca="1">IFERROR(__xludf.DUMMYFUNCTION("""COMPUTED_VALUE"""),"Cosentino_2023")</f>
        <v>Cosentino_2023</v>
      </c>
    </row>
    <row r="166" spans="1:13" ht="13.2">
      <c r="A166" s="1" t="str">
        <f ca="1">IFERROR(__xludf.DUMMYFUNCTION("""COMPUTED_VALUE"""),"Roost type/Human buildings (HB)")</f>
        <v>Roost type/Human buildings (HB)</v>
      </c>
      <c r="B166" s="1"/>
      <c r="C166" s="1"/>
      <c r="D166" s="1"/>
      <c r="E166" s="1" t="str">
        <f ca="1">IFERROR(__xludf.DUMMYFUNCTION("""COMPUTED_VALUE"""),"categorical ")</f>
        <v xml:space="preserve">categorical </v>
      </c>
      <c r="F166" s="1" t="str">
        <f ca="1">IFERROR(__xludf.DUMMYFUNCTION("""COMPUTED_VALUE"""),".na")</f>
        <v>.na</v>
      </c>
      <c r="G166" s="1" t="str">
        <f ca="1">IFERROR(__xludf.DUMMYFUNCTION("""COMPUTED_VALUE"""),"1= yes, 2=no")</f>
        <v>1= yes, 2=no</v>
      </c>
      <c r="H166" s="1" t="str">
        <f ca="1">IFERROR(__xludf.DUMMYFUNCTION("""COMPUTED_VALUE"""),".na")</f>
        <v>.na</v>
      </c>
      <c r="I166" s="1" t="str">
        <f ca="1">IFERROR(__xludf.DUMMYFUNCTION("""COMPUTED_VALUE"""),".na")</f>
        <v>.na</v>
      </c>
      <c r="J166" s="1" t="str">
        <f ca="1">IFERROR(__xludf.DUMMYFUNCTION("""COMPUTED_VALUE"""),"Roost type of the species")</f>
        <v>Roost type of the species</v>
      </c>
      <c r="K166" s="1"/>
      <c r="L166" s="8" t="str">
        <f ca="1">IFERROR(__xludf.DUMMYFUNCTION("""COMPUTED_VALUE"""),"https://doi.org/10.1038/s41597-023-02472-w")</f>
        <v>https://doi.org/10.1038/s41597-023-02472-w</v>
      </c>
      <c r="M166" s="1" t="str">
        <f ca="1">IFERROR(__xludf.DUMMYFUNCTION("""COMPUTED_VALUE"""),"Cosentino_2023")</f>
        <v>Cosentino_2023</v>
      </c>
    </row>
    <row r="167" spans="1:13" ht="13.2">
      <c r="A167" s="1" t="str">
        <f ca="1">IFERROR(__xludf.DUMMYFUNCTION("""COMPUTED_VALUE"""),"Roost type/Rocky outcrops (RO)")</f>
        <v>Roost type/Rocky outcrops (RO)</v>
      </c>
      <c r="B167" s="1"/>
      <c r="C167" s="1"/>
      <c r="D167" s="1"/>
      <c r="E167" s="1" t="str">
        <f ca="1">IFERROR(__xludf.DUMMYFUNCTION("""COMPUTED_VALUE"""),"categorical ")</f>
        <v xml:space="preserve">categorical </v>
      </c>
      <c r="F167" s="1" t="str">
        <f ca="1">IFERROR(__xludf.DUMMYFUNCTION("""COMPUTED_VALUE"""),".na")</f>
        <v>.na</v>
      </c>
      <c r="G167" s="1" t="str">
        <f ca="1">IFERROR(__xludf.DUMMYFUNCTION("""COMPUTED_VALUE"""),"1= yes, 2=no")</f>
        <v>1= yes, 2=no</v>
      </c>
      <c r="H167" s="1" t="str">
        <f ca="1">IFERROR(__xludf.DUMMYFUNCTION("""COMPUTED_VALUE"""),".na")</f>
        <v>.na</v>
      </c>
      <c r="I167" s="1" t="str">
        <f ca="1">IFERROR(__xludf.DUMMYFUNCTION("""COMPUTED_VALUE"""),".na")</f>
        <v>.na</v>
      </c>
      <c r="J167" s="1" t="str">
        <f ca="1">IFERROR(__xludf.DUMMYFUNCTION("""COMPUTED_VALUE"""),"Roost type of the species")</f>
        <v>Roost type of the species</v>
      </c>
      <c r="K167" s="1"/>
      <c r="L167" s="8" t="str">
        <f ca="1">IFERROR(__xludf.DUMMYFUNCTION("""COMPUTED_VALUE"""),"https://doi.org/10.1038/s41597-023-02472-w")</f>
        <v>https://doi.org/10.1038/s41597-023-02472-w</v>
      </c>
      <c r="M167" s="1" t="str">
        <f ca="1">IFERROR(__xludf.DUMMYFUNCTION("""COMPUTED_VALUE"""),"Cosentino_2023")</f>
        <v>Cosentino_2023</v>
      </c>
    </row>
    <row r="168" spans="1:13" ht="13.2">
      <c r="A168" s="1" t="str">
        <f ca="1">IFERROR(__xludf.DUMMYFUNCTION("""COMPUTED_VALUE"""),"Roost type/Holes in the ground (HG)")</f>
        <v>Roost type/Holes in the ground (HG)</v>
      </c>
      <c r="B168" s="1"/>
      <c r="C168" s="1"/>
      <c r="D168" s="1"/>
      <c r="E168" s="1" t="str">
        <f ca="1">IFERROR(__xludf.DUMMYFUNCTION("""COMPUTED_VALUE"""),"categorical ")</f>
        <v xml:space="preserve">categorical </v>
      </c>
      <c r="F168" s="1" t="str">
        <f ca="1">IFERROR(__xludf.DUMMYFUNCTION("""COMPUTED_VALUE"""),".na")</f>
        <v>.na</v>
      </c>
      <c r="G168" s="1" t="str">
        <f ca="1">IFERROR(__xludf.DUMMYFUNCTION("""COMPUTED_VALUE"""),"1= yes, 2=no")</f>
        <v>1= yes, 2=no</v>
      </c>
      <c r="H168" s="1" t="str">
        <f ca="1">IFERROR(__xludf.DUMMYFUNCTION("""COMPUTED_VALUE"""),".na")</f>
        <v>.na</v>
      </c>
      <c r="I168" s="1" t="str">
        <f ca="1">IFERROR(__xludf.DUMMYFUNCTION("""COMPUTED_VALUE"""),".na")</f>
        <v>.na</v>
      </c>
      <c r="J168" s="1" t="str">
        <f ca="1">IFERROR(__xludf.DUMMYFUNCTION("""COMPUTED_VALUE"""),"Roost type of the species")</f>
        <v>Roost type of the species</v>
      </c>
      <c r="K168" s="1"/>
      <c r="L168" s="8" t="str">
        <f ca="1">IFERROR(__xludf.DUMMYFUNCTION("""COMPUTED_VALUE"""),"https://doi.org/10.1038/s41597-023-02472-w")</f>
        <v>https://doi.org/10.1038/s41597-023-02472-w</v>
      </c>
      <c r="M168" s="1" t="str">
        <f ca="1">IFERROR(__xludf.DUMMYFUNCTION("""COMPUTED_VALUE"""),"Cosentino_2023")</f>
        <v>Cosentino_2023</v>
      </c>
    </row>
    <row r="169" spans="1:13" ht="13.2">
      <c r="A169" s="1" t="str">
        <f ca="1">IFERROR(__xludf.DUMMYFUNCTION("""COMPUTED_VALUE"""),"Pest control")</f>
        <v>Pest control</v>
      </c>
      <c r="B169" s="1"/>
      <c r="C169" s="1"/>
      <c r="D169" s="1"/>
      <c r="E169" s="1" t="str">
        <f ca="1">IFERROR(__xludf.DUMMYFUNCTION("""COMPUTED_VALUE"""),"categorical ")</f>
        <v xml:space="preserve">categorical </v>
      </c>
      <c r="F169" s="1" t="str">
        <f ca="1">IFERROR(__xludf.DUMMYFUNCTION("""COMPUTED_VALUE"""),".na")</f>
        <v>.na</v>
      </c>
      <c r="G169" s="1" t="str">
        <f ca="1">IFERROR(__xludf.DUMMYFUNCTION("""COMPUTED_VALUE"""),"1= yes, 2=no")</f>
        <v>1= yes, 2=no</v>
      </c>
      <c r="H169" s="1" t="str">
        <f ca="1">IFERROR(__xludf.DUMMYFUNCTION("""COMPUTED_VALUE"""),".na")</f>
        <v>.na</v>
      </c>
      <c r="I169" s="1" t="str">
        <f ca="1">IFERROR(__xludf.DUMMYFUNCTION("""COMPUTED_VALUE"""),".na")</f>
        <v>.na</v>
      </c>
      <c r="J169" s="1" t="str">
        <f ca="1">IFERROR(__xludf.DUMMYFUNCTION("""COMPUTED_VALUE"""),"Presence of pest control ecosystem service")</f>
        <v>Presence of pest control ecosystem service</v>
      </c>
      <c r="K169" s="1"/>
      <c r="L169" s="8" t="str">
        <f ca="1">IFERROR(__xludf.DUMMYFUNCTION("""COMPUTED_VALUE"""),"https://doi.org/10.1038/s41597-023-02472-w")</f>
        <v>https://doi.org/10.1038/s41597-023-02472-w</v>
      </c>
      <c r="M169" s="1" t="str">
        <f ca="1">IFERROR(__xludf.DUMMYFUNCTION("""COMPUTED_VALUE"""),"Cosentino_2023")</f>
        <v>Cosentino_2023</v>
      </c>
    </row>
    <row r="170" spans="1:13" ht="13.2">
      <c r="A170" s="1" t="str">
        <f ca="1">IFERROR(__xludf.DUMMYFUNCTION("""COMPUTED_VALUE"""),"Seed dispersal")</f>
        <v>Seed dispersal</v>
      </c>
      <c r="B170" s="1"/>
      <c r="C170" s="1"/>
      <c r="D170" s="1"/>
      <c r="E170" s="1" t="str">
        <f ca="1">IFERROR(__xludf.DUMMYFUNCTION("""COMPUTED_VALUE"""),"categorical ")</f>
        <v xml:space="preserve">categorical </v>
      </c>
      <c r="F170" s="1" t="str">
        <f ca="1">IFERROR(__xludf.DUMMYFUNCTION("""COMPUTED_VALUE"""),".na")</f>
        <v>.na</v>
      </c>
      <c r="G170" s="1" t="str">
        <f ca="1">IFERROR(__xludf.DUMMYFUNCTION("""COMPUTED_VALUE"""),"1= yes, 2=no")</f>
        <v>1= yes, 2=no</v>
      </c>
      <c r="H170" s="1" t="str">
        <f ca="1">IFERROR(__xludf.DUMMYFUNCTION("""COMPUTED_VALUE"""),".na")</f>
        <v>.na</v>
      </c>
      <c r="I170" s="1" t="str">
        <f ca="1">IFERROR(__xludf.DUMMYFUNCTION("""COMPUTED_VALUE"""),".na")</f>
        <v>.na</v>
      </c>
      <c r="J170" s="1" t="str">
        <f ca="1">IFERROR(__xludf.DUMMYFUNCTION("""COMPUTED_VALUE"""),"Presence of seed dispersal ecosystem service")</f>
        <v>Presence of seed dispersal ecosystem service</v>
      </c>
      <c r="K170" s="1"/>
      <c r="L170" s="8" t="str">
        <f ca="1">IFERROR(__xludf.DUMMYFUNCTION("""COMPUTED_VALUE"""),"https://doi.org/10.1038/s41597-023-02472-w")</f>
        <v>https://doi.org/10.1038/s41597-023-02472-w</v>
      </c>
      <c r="M170" s="1" t="str">
        <f ca="1">IFERROR(__xludf.DUMMYFUNCTION("""COMPUTED_VALUE"""),"Cosentino_2023")</f>
        <v>Cosentino_2023</v>
      </c>
    </row>
    <row r="171" spans="1:13" ht="13.2">
      <c r="A171" s="1" t="str">
        <f ca="1">IFERROR(__xludf.DUMMYFUNCTION("""COMPUTED_VALUE"""),"Pollination")</f>
        <v>Pollination</v>
      </c>
      <c r="B171" s="1"/>
      <c r="C171" s="1"/>
      <c r="D171" s="1"/>
      <c r="E171" s="1" t="str">
        <f ca="1">IFERROR(__xludf.DUMMYFUNCTION("""COMPUTED_VALUE"""),"categorical ")</f>
        <v xml:space="preserve">categorical </v>
      </c>
      <c r="F171" s="1" t="str">
        <f ca="1">IFERROR(__xludf.DUMMYFUNCTION("""COMPUTED_VALUE"""),".na")</f>
        <v>.na</v>
      </c>
      <c r="G171" s="1" t="str">
        <f ca="1">IFERROR(__xludf.DUMMYFUNCTION("""COMPUTED_VALUE"""),"1= yes, 2=no")</f>
        <v>1= yes, 2=no</v>
      </c>
      <c r="H171" s="1" t="str">
        <f ca="1">IFERROR(__xludf.DUMMYFUNCTION("""COMPUTED_VALUE"""),".na")</f>
        <v>.na</v>
      </c>
      <c r="I171" s="1" t="str">
        <f ca="1">IFERROR(__xludf.DUMMYFUNCTION("""COMPUTED_VALUE"""),".na")</f>
        <v>.na</v>
      </c>
      <c r="J171" s="1" t="str">
        <f ca="1">IFERROR(__xludf.DUMMYFUNCTION("""COMPUTED_VALUE"""),"Presence of pollination ecosystem service")</f>
        <v>Presence of pollination ecosystem service</v>
      </c>
      <c r="K171" s="1"/>
      <c r="L171" s="8" t="str">
        <f ca="1">IFERROR(__xludf.DUMMYFUNCTION("""COMPUTED_VALUE"""),"https://doi.org/10.1038/s41597-023-02472-w")</f>
        <v>https://doi.org/10.1038/s41597-023-02472-w</v>
      </c>
      <c r="M171" s="1" t="str">
        <f ca="1">IFERROR(__xludf.DUMMYFUNCTION("""COMPUTED_VALUE"""),"Cosentino_2023")</f>
        <v>Cosentino_2023</v>
      </c>
    </row>
    <row r="172" spans="1:13" ht="13.2">
      <c r="A172" s="1" t="str">
        <f ca="1">IFERROR(__xludf.DUMMYFUNCTION("""COMPUTED_VALUE"""),"Threats/Overharvesting for food (OH)")</f>
        <v>Threats/Overharvesting for food (OH)</v>
      </c>
      <c r="B172" s="1"/>
      <c r="C172" s="1"/>
      <c r="D172" s="1"/>
      <c r="E172" s="1" t="str">
        <f ca="1">IFERROR(__xludf.DUMMYFUNCTION("""COMPUTED_VALUE"""),"categorical ")</f>
        <v xml:space="preserve">categorical </v>
      </c>
      <c r="F172" s="1" t="str">
        <f ca="1">IFERROR(__xludf.DUMMYFUNCTION("""COMPUTED_VALUE"""),".na")</f>
        <v>.na</v>
      </c>
      <c r="G172" s="1" t="str">
        <f ca="1">IFERROR(__xludf.DUMMYFUNCTION("""COMPUTED_VALUE"""),"1= yes, 2=no")</f>
        <v>1= yes, 2=no</v>
      </c>
      <c r="H172" s="1" t="str">
        <f ca="1">IFERROR(__xludf.DUMMYFUNCTION("""COMPUTED_VALUE"""),".na")</f>
        <v>.na</v>
      </c>
      <c r="I172" s="1" t="str">
        <f ca="1">IFERROR(__xludf.DUMMYFUNCTION("""COMPUTED_VALUE"""),".na")</f>
        <v>.na</v>
      </c>
      <c r="J172" s="1" t="str">
        <f ca="1">IFERROR(__xludf.DUMMYFUNCTION("""COMPUTED_VALUE"""),"Threats for the species ")</f>
        <v xml:space="preserve">Threats for the species </v>
      </c>
      <c r="K172" s="1"/>
      <c r="L172" s="8" t="str">
        <f ca="1">IFERROR(__xludf.DUMMYFUNCTION("""COMPUTED_VALUE"""),"https://doi.org/10.1038/s41597-023-02472-w")</f>
        <v>https://doi.org/10.1038/s41597-023-02472-w</v>
      </c>
      <c r="M172" s="1" t="str">
        <f ca="1">IFERROR(__xludf.DUMMYFUNCTION("""COMPUTED_VALUE"""),"Cosentino_2023")</f>
        <v>Cosentino_2023</v>
      </c>
    </row>
    <row r="173" spans="1:13" ht="13.2">
      <c r="A173" s="1" t="str">
        <f ca="1">IFERROR(__xludf.DUMMYFUNCTION("""COMPUTED_VALUE"""),"Threats/Deforestation (DE)")</f>
        <v>Threats/Deforestation (DE)</v>
      </c>
      <c r="B173" s="1"/>
      <c r="C173" s="1"/>
      <c r="D173" s="1"/>
      <c r="E173" s="1" t="str">
        <f ca="1">IFERROR(__xludf.DUMMYFUNCTION("""COMPUTED_VALUE"""),"categorical ")</f>
        <v xml:space="preserve">categorical </v>
      </c>
      <c r="F173" s="1" t="str">
        <f ca="1">IFERROR(__xludf.DUMMYFUNCTION("""COMPUTED_VALUE"""),".na")</f>
        <v>.na</v>
      </c>
      <c r="G173" s="1" t="str">
        <f ca="1">IFERROR(__xludf.DUMMYFUNCTION("""COMPUTED_VALUE"""),"1= yes, 2=no")</f>
        <v>1= yes, 2=no</v>
      </c>
      <c r="H173" s="1" t="str">
        <f ca="1">IFERROR(__xludf.DUMMYFUNCTION("""COMPUTED_VALUE"""),".na")</f>
        <v>.na</v>
      </c>
      <c r="I173" s="1" t="str">
        <f ca="1">IFERROR(__xludf.DUMMYFUNCTION("""COMPUTED_VALUE"""),".na")</f>
        <v>.na</v>
      </c>
      <c r="J173" s="1" t="str">
        <f ca="1">IFERROR(__xludf.DUMMYFUNCTION("""COMPUTED_VALUE"""),"Threats for the species ")</f>
        <v xml:space="preserve">Threats for the species </v>
      </c>
      <c r="K173" s="1"/>
      <c r="L173" s="8" t="str">
        <f ca="1">IFERROR(__xludf.DUMMYFUNCTION("""COMPUTED_VALUE"""),"https://doi.org/10.1038/s41597-023-02472-w")</f>
        <v>https://doi.org/10.1038/s41597-023-02472-w</v>
      </c>
      <c r="M173" s="1" t="str">
        <f ca="1">IFERROR(__xludf.DUMMYFUNCTION("""COMPUTED_VALUE"""),"Cosentino_2023")</f>
        <v>Cosentino_2023</v>
      </c>
    </row>
    <row r="174" spans="1:13" ht="13.2">
      <c r="A174" s="1" t="str">
        <f ca="1">IFERROR(__xludf.DUMMYFUNCTION("""COMPUTED_VALUE"""),"Threats/Persecution (P)")</f>
        <v>Threats/Persecution (P)</v>
      </c>
      <c r="B174" s="1"/>
      <c r="C174" s="1"/>
      <c r="D174" s="1"/>
      <c r="E174" s="1" t="str">
        <f ca="1">IFERROR(__xludf.DUMMYFUNCTION("""COMPUTED_VALUE"""),"categorical ")</f>
        <v xml:space="preserve">categorical </v>
      </c>
      <c r="F174" s="1" t="str">
        <f ca="1">IFERROR(__xludf.DUMMYFUNCTION("""COMPUTED_VALUE"""),".na")</f>
        <v>.na</v>
      </c>
      <c r="G174" s="1" t="str">
        <f ca="1">IFERROR(__xludf.DUMMYFUNCTION("""COMPUTED_VALUE"""),"1= yes, 2=no")</f>
        <v>1= yes, 2=no</v>
      </c>
      <c r="H174" s="1" t="str">
        <f ca="1">IFERROR(__xludf.DUMMYFUNCTION("""COMPUTED_VALUE"""),".na")</f>
        <v>.na</v>
      </c>
      <c r="I174" s="1" t="str">
        <f ca="1">IFERROR(__xludf.DUMMYFUNCTION("""COMPUTED_VALUE"""),".na")</f>
        <v>.na</v>
      </c>
      <c r="J174" s="1" t="str">
        <f ca="1">IFERROR(__xludf.DUMMYFUNCTION("""COMPUTED_VALUE"""),"Threats for the species ")</f>
        <v xml:space="preserve">Threats for the species </v>
      </c>
      <c r="K174" s="1"/>
      <c r="L174" s="8" t="str">
        <f ca="1">IFERROR(__xludf.DUMMYFUNCTION("""COMPUTED_VALUE"""),"https://doi.org/10.1038/s41597-023-02472-w")</f>
        <v>https://doi.org/10.1038/s41597-023-02472-w</v>
      </c>
      <c r="M174" s="1" t="str">
        <f ca="1">IFERROR(__xludf.DUMMYFUNCTION("""COMPUTED_VALUE"""),"Cosentino_2023")</f>
        <v>Cosentino_2023</v>
      </c>
    </row>
    <row r="175" spans="1:13" ht="13.2">
      <c r="A175" s="1" t="str">
        <f ca="1">IFERROR(__xludf.DUMMYFUNCTION("""COMPUTED_VALUE"""),"Threats/Habitat loss (HL)")</f>
        <v>Threats/Habitat loss (HL)</v>
      </c>
      <c r="B175" s="1"/>
      <c r="C175" s="1"/>
      <c r="D175" s="1"/>
      <c r="E175" s="1" t="str">
        <f ca="1">IFERROR(__xludf.DUMMYFUNCTION("""COMPUTED_VALUE"""),"categorical ")</f>
        <v xml:space="preserve">categorical </v>
      </c>
      <c r="F175" s="1" t="str">
        <f ca="1">IFERROR(__xludf.DUMMYFUNCTION("""COMPUTED_VALUE"""),".na")</f>
        <v>.na</v>
      </c>
      <c r="G175" s="1" t="str">
        <f ca="1">IFERROR(__xludf.DUMMYFUNCTION("""COMPUTED_VALUE"""),"1= yes, 2=no")</f>
        <v>1= yes, 2=no</v>
      </c>
      <c r="H175" s="1" t="str">
        <f ca="1">IFERROR(__xludf.DUMMYFUNCTION("""COMPUTED_VALUE"""),".na")</f>
        <v>.na</v>
      </c>
      <c r="I175" s="1" t="str">
        <f ca="1">IFERROR(__xludf.DUMMYFUNCTION("""COMPUTED_VALUE"""),".na")</f>
        <v>.na</v>
      </c>
      <c r="J175" s="1" t="str">
        <f ca="1">IFERROR(__xludf.DUMMYFUNCTION("""COMPUTED_VALUE"""),"Threats for the species ")</f>
        <v xml:space="preserve">Threats for the species </v>
      </c>
      <c r="K175" s="1"/>
      <c r="L175" s="8" t="str">
        <f ca="1">IFERROR(__xludf.DUMMYFUNCTION("""COMPUTED_VALUE"""),"https://doi.org/10.1038/s41597-023-02472-w")</f>
        <v>https://doi.org/10.1038/s41597-023-02472-w</v>
      </c>
      <c r="M175" s="1" t="str">
        <f ca="1">IFERROR(__xludf.DUMMYFUNCTION("""COMPUTED_VALUE"""),"Cosentino_2023")</f>
        <v>Cosentino_2023</v>
      </c>
    </row>
    <row r="176" spans="1:13" ht="13.2">
      <c r="A176" s="1" t="str">
        <f ca="1">IFERROR(__xludf.DUMMYFUNCTION("""COMPUTED_VALUE"""),"Threats/Dead trees removal (DTR)")</f>
        <v>Threats/Dead trees removal (DTR)</v>
      </c>
      <c r="B176" s="1"/>
      <c r="C176" s="1"/>
      <c r="D176" s="1"/>
      <c r="E176" s="1" t="str">
        <f ca="1">IFERROR(__xludf.DUMMYFUNCTION("""COMPUTED_VALUE"""),"categorical ")</f>
        <v xml:space="preserve">categorical </v>
      </c>
      <c r="F176" s="1" t="str">
        <f ca="1">IFERROR(__xludf.DUMMYFUNCTION("""COMPUTED_VALUE"""),".na")</f>
        <v>.na</v>
      </c>
      <c r="G176" s="1" t="str">
        <f ca="1">IFERROR(__xludf.DUMMYFUNCTION("""COMPUTED_VALUE"""),"1= yes, 2=no")</f>
        <v>1= yes, 2=no</v>
      </c>
      <c r="H176" s="1" t="str">
        <f ca="1">IFERROR(__xludf.DUMMYFUNCTION("""COMPUTED_VALUE"""),".na")</f>
        <v>.na</v>
      </c>
      <c r="I176" s="1" t="str">
        <f ca="1">IFERROR(__xludf.DUMMYFUNCTION("""COMPUTED_VALUE"""),".na")</f>
        <v>.na</v>
      </c>
      <c r="J176" s="1" t="str">
        <f ca="1">IFERROR(__xludf.DUMMYFUNCTION("""COMPUTED_VALUE"""),"Threats for the species ")</f>
        <v xml:space="preserve">Threats for the species </v>
      </c>
      <c r="K176" s="1"/>
      <c r="L176" s="8" t="str">
        <f ca="1">IFERROR(__xludf.DUMMYFUNCTION("""COMPUTED_VALUE"""),"https://doi.org/10.1038/s41597-023-02472-w")</f>
        <v>https://doi.org/10.1038/s41597-023-02472-w</v>
      </c>
      <c r="M176" s="1" t="str">
        <f ca="1">IFERROR(__xludf.DUMMYFUNCTION("""COMPUTED_VALUE"""),"Cosentino_2023")</f>
        <v>Cosentino_2023</v>
      </c>
    </row>
    <row r="177" spans="1:13" ht="13.2">
      <c r="A177" s="1" t="str">
        <f ca="1">IFERROR(__xludf.DUMMYFUNCTION("""COMPUTED_VALUE"""),"Threats/Roost disturbance (RD)")</f>
        <v>Threats/Roost disturbance (RD)</v>
      </c>
      <c r="B177" s="1"/>
      <c r="C177" s="1"/>
      <c r="D177" s="1"/>
      <c r="E177" s="1" t="str">
        <f ca="1">IFERROR(__xludf.DUMMYFUNCTION("""COMPUTED_VALUE"""),"categorical ")</f>
        <v xml:space="preserve">categorical </v>
      </c>
      <c r="F177" s="1" t="str">
        <f ca="1">IFERROR(__xludf.DUMMYFUNCTION("""COMPUTED_VALUE"""),".na")</f>
        <v>.na</v>
      </c>
      <c r="G177" s="1" t="str">
        <f ca="1">IFERROR(__xludf.DUMMYFUNCTION("""COMPUTED_VALUE"""),"1= yes, 2=no")</f>
        <v>1= yes, 2=no</v>
      </c>
      <c r="H177" s="1" t="str">
        <f ca="1">IFERROR(__xludf.DUMMYFUNCTION("""COMPUTED_VALUE"""),".na")</f>
        <v>.na</v>
      </c>
      <c r="I177" s="1" t="str">
        <f ca="1">IFERROR(__xludf.DUMMYFUNCTION("""COMPUTED_VALUE"""),".na")</f>
        <v>.na</v>
      </c>
      <c r="J177" s="1" t="str">
        <f ca="1">IFERROR(__xludf.DUMMYFUNCTION("""COMPUTED_VALUE"""),"Threats for the species ")</f>
        <v xml:space="preserve">Threats for the species </v>
      </c>
      <c r="K177" s="1"/>
      <c r="L177" s="8" t="str">
        <f ca="1">IFERROR(__xludf.DUMMYFUNCTION("""COMPUTED_VALUE"""),"https://doi.org/10.1038/s41597-023-02472-w")</f>
        <v>https://doi.org/10.1038/s41597-023-02472-w</v>
      </c>
      <c r="M177" s="1" t="str">
        <f ca="1">IFERROR(__xludf.DUMMYFUNCTION("""COMPUTED_VALUE"""),"Cosentino_2023")</f>
        <v>Cosentino_2023</v>
      </c>
    </row>
    <row r="178" spans="1:13" ht="13.2">
      <c r="A178" s="1" t="str">
        <f ca="1">IFERROR(__xludf.DUMMYFUNCTION("""COMPUTED_VALUE"""),"Threats/Collisions (COL)")</f>
        <v>Threats/Collisions (COL)</v>
      </c>
      <c r="B178" s="1"/>
      <c r="C178" s="1"/>
      <c r="D178" s="1"/>
      <c r="E178" s="1" t="str">
        <f ca="1">IFERROR(__xludf.DUMMYFUNCTION("""COMPUTED_VALUE"""),"categorical ")</f>
        <v xml:space="preserve">categorical </v>
      </c>
      <c r="F178" s="1" t="str">
        <f ca="1">IFERROR(__xludf.DUMMYFUNCTION("""COMPUTED_VALUE"""),".na")</f>
        <v>.na</v>
      </c>
      <c r="G178" s="1" t="str">
        <f ca="1">IFERROR(__xludf.DUMMYFUNCTION("""COMPUTED_VALUE"""),"1= yes, 2=no")</f>
        <v>1= yes, 2=no</v>
      </c>
      <c r="H178" s="1" t="str">
        <f ca="1">IFERROR(__xludf.DUMMYFUNCTION("""COMPUTED_VALUE"""),".na")</f>
        <v>.na</v>
      </c>
      <c r="I178" s="1" t="str">
        <f ca="1">IFERROR(__xludf.DUMMYFUNCTION("""COMPUTED_VALUE"""),".na")</f>
        <v>.na</v>
      </c>
      <c r="J178" s="1" t="str">
        <f ca="1">IFERROR(__xludf.DUMMYFUNCTION("""COMPUTED_VALUE"""),"Threats for the species ")</f>
        <v xml:space="preserve">Threats for the species </v>
      </c>
      <c r="K178" s="1"/>
      <c r="L178" s="8" t="str">
        <f ca="1">IFERROR(__xludf.DUMMYFUNCTION("""COMPUTED_VALUE"""),"https://doi.org/10.1038/s41597-023-02472-w")</f>
        <v>https://doi.org/10.1038/s41597-023-02472-w</v>
      </c>
      <c r="M178" s="1" t="str">
        <f ca="1">IFERROR(__xludf.DUMMYFUNCTION("""COMPUTED_VALUE"""),"Cosentino_2023")</f>
        <v>Cosentino_2023</v>
      </c>
    </row>
    <row r="179" spans="1:13" ht="13.2">
      <c r="A179" s="1" t="str">
        <f ca="1">IFERROR(__xludf.DUMMYFUNCTION("""COMPUTED_VALUE"""),"Threats/Chemical pollution (CP)")</f>
        <v>Threats/Chemical pollution (CP)</v>
      </c>
      <c r="B179" s="1"/>
      <c r="C179" s="1"/>
      <c r="D179" s="1"/>
      <c r="E179" s="1" t="str">
        <f ca="1">IFERROR(__xludf.DUMMYFUNCTION("""COMPUTED_VALUE"""),"categorical ")</f>
        <v xml:space="preserve">categorical </v>
      </c>
      <c r="F179" s="1" t="str">
        <f ca="1">IFERROR(__xludf.DUMMYFUNCTION("""COMPUTED_VALUE"""),".na")</f>
        <v>.na</v>
      </c>
      <c r="G179" s="1" t="str">
        <f ca="1">IFERROR(__xludf.DUMMYFUNCTION("""COMPUTED_VALUE"""),"1= yes, 2=no")</f>
        <v>1= yes, 2=no</v>
      </c>
      <c r="H179" s="1" t="str">
        <f ca="1">IFERROR(__xludf.DUMMYFUNCTION("""COMPUTED_VALUE"""),".na")</f>
        <v>.na</v>
      </c>
      <c r="I179" s="1" t="str">
        <f ca="1">IFERROR(__xludf.DUMMYFUNCTION("""COMPUTED_VALUE"""),".na")</f>
        <v>.na</v>
      </c>
      <c r="J179" s="1" t="str">
        <f ca="1">IFERROR(__xludf.DUMMYFUNCTION("""COMPUTED_VALUE"""),"Threats for the species ")</f>
        <v xml:space="preserve">Threats for the species </v>
      </c>
      <c r="K179" s="1"/>
      <c r="L179" s="8" t="str">
        <f ca="1">IFERROR(__xludf.DUMMYFUNCTION("""COMPUTED_VALUE"""),"https://doi.org/10.1038/s41597-023-02472-w")</f>
        <v>https://doi.org/10.1038/s41597-023-02472-w</v>
      </c>
      <c r="M179" s="1" t="str">
        <f ca="1">IFERROR(__xludf.DUMMYFUNCTION("""COMPUTED_VALUE"""),"Cosentino_2023")</f>
        <v>Cosentino_2023</v>
      </c>
    </row>
    <row r="180" spans="1:13" ht="13.2">
      <c r="A180" s="1" t="str">
        <f ca="1">IFERROR(__xludf.DUMMYFUNCTION("""COMPUTED_VALUE"""),"Conservation status")</f>
        <v>Conservation status</v>
      </c>
      <c r="B180" s="1"/>
      <c r="C180" s="1"/>
      <c r="D180" s="1"/>
      <c r="E180" s="1" t="str">
        <f ca="1">IFERROR(__xludf.DUMMYFUNCTION("""COMPUTED_VALUE"""),"categorical ")</f>
        <v xml:space="preserve">categorical </v>
      </c>
      <c r="F180" s="1" t="str">
        <f ca="1">IFERROR(__xludf.DUMMYFUNCTION("""COMPUTED_VALUE"""),".na")</f>
        <v>.na</v>
      </c>
      <c r="G180" s="1" t="str">
        <f ca="1">IFERROR(__xludf.DUMMYFUNCTION("""COMPUTED_VALUE"""),"DD= Data Deficient, LC= Least Concern, NT= Near Threatened, VU= Vulnerable, EN= Endangered, CR= Critically Endangered, NE= Not Evaluated")</f>
        <v>DD= Data Deficient, LC= Least Concern, NT= Near Threatened, VU= Vulnerable, EN= Endangered, CR= Critically Endangered, NE= Not Evaluated</v>
      </c>
      <c r="H180" s="1" t="str">
        <f ca="1">IFERROR(__xludf.DUMMYFUNCTION("""COMPUTED_VALUE"""),".na")</f>
        <v>.na</v>
      </c>
      <c r="I180" s="1" t="str">
        <f ca="1">IFERROR(__xludf.DUMMYFUNCTION("""COMPUTED_VALUE"""),".na")</f>
        <v>.na</v>
      </c>
      <c r="J180" s="1" t="str">
        <f ca="1">IFERROR(__xludf.DUMMYFUNCTION("""COMPUTED_VALUE"""),"Conservation status of the species ")</f>
        <v xml:space="preserve">Conservation status of the species </v>
      </c>
      <c r="K180" s="1"/>
      <c r="L180" s="8" t="str">
        <f ca="1">IFERROR(__xludf.DUMMYFUNCTION("""COMPUTED_VALUE"""),"https://doi.org/10.1038/s41597-023-02472-w")</f>
        <v>https://doi.org/10.1038/s41597-023-02472-w</v>
      </c>
      <c r="M180" s="1" t="str">
        <f ca="1">IFERROR(__xludf.DUMMYFUNCTION("""COMPUTED_VALUE"""),"Cosentino_2023")</f>
        <v>Cosentino_2023</v>
      </c>
    </row>
    <row r="181" spans="1:13" ht="13.2">
      <c r="A181" s="1" t="str">
        <f ca="1">IFERROR(__xludf.DUMMYFUNCTION("""COMPUTED_VALUE"""),"Insectivorous")</f>
        <v>Insectivorous</v>
      </c>
      <c r="B181" s="1"/>
      <c r="C181" s="1"/>
      <c r="D181" s="1"/>
      <c r="E181" s="1" t="str">
        <f ca="1">IFERROR(__xludf.DUMMYFUNCTION("""COMPUTED_VALUE"""),"categorical ")</f>
        <v xml:space="preserve">categorical </v>
      </c>
      <c r="F181" s="1" t="str">
        <f ca="1">IFERROR(__xludf.DUMMYFUNCTION("""COMPUTED_VALUE"""),".na")</f>
        <v>.na</v>
      </c>
      <c r="G181" s="1" t="str">
        <f ca="1">IFERROR(__xludf.DUMMYFUNCTION("""COMPUTED_VALUE"""),"0 = never, 1 = occasional, 2 = typical")</f>
        <v>0 = never, 1 = occasional, 2 = typical</v>
      </c>
      <c r="H181" s="1" t="str">
        <f ca="1">IFERROR(__xludf.DUMMYFUNCTION("""COMPUTED_VALUE"""),".na")</f>
        <v>.na</v>
      </c>
      <c r="I181" s="1" t="str">
        <f ca="1">IFERROR(__xludf.DUMMYFUNCTION("""COMPUTED_VALUE"""),".na")</f>
        <v>.na</v>
      </c>
      <c r="J181" s="1" t="str">
        <f ca="1">IFERROR(__xludf.DUMMYFUNCTION("""COMPUTED_VALUE"""),"Insectivorous species ")</f>
        <v xml:space="preserve">Insectivorous species </v>
      </c>
      <c r="K181" s="1"/>
      <c r="L181" s="8" t="str">
        <f ca="1">IFERROR(__xludf.DUMMYFUNCTION("""COMPUTED_VALUE"""),"https://doi.org/10.1038/s41597-023-02472-w")</f>
        <v>https://doi.org/10.1038/s41597-023-02472-w</v>
      </c>
      <c r="M181" s="1" t="str">
        <f ca="1">IFERROR(__xludf.DUMMYFUNCTION("""COMPUTED_VALUE"""),"Cosentino_2023")</f>
        <v>Cosentino_2023</v>
      </c>
    </row>
    <row r="182" spans="1:13" ht="13.2">
      <c r="A182" s="1" t="str">
        <f ca="1">IFERROR(__xludf.DUMMYFUNCTION("""COMPUTED_VALUE"""),"Frugivorous")</f>
        <v>Frugivorous</v>
      </c>
      <c r="B182" s="1"/>
      <c r="C182" s="1"/>
      <c r="D182" s="1"/>
      <c r="E182" s="1" t="str">
        <f ca="1">IFERROR(__xludf.DUMMYFUNCTION("""COMPUTED_VALUE"""),"categorical")</f>
        <v>categorical</v>
      </c>
      <c r="F182" s="1" t="str">
        <f ca="1">IFERROR(__xludf.DUMMYFUNCTION("""COMPUTED_VALUE"""),".na")</f>
        <v>.na</v>
      </c>
      <c r="G182" s="1" t="str">
        <f ca="1">IFERROR(__xludf.DUMMYFUNCTION("""COMPUTED_VALUE"""),"0 = never, 1 = occasional, 2 = typical")</f>
        <v>0 = never, 1 = occasional, 2 = typical</v>
      </c>
      <c r="H182" s="1" t="str">
        <f ca="1">IFERROR(__xludf.DUMMYFUNCTION("""COMPUTED_VALUE"""),".na")</f>
        <v>.na</v>
      </c>
      <c r="I182" s="1" t="str">
        <f ca="1">IFERROR(__xludf.DUMMYFUNCTION("""COMPUTED_VALUE"""),".na")</f>
        <v>.na</v>
      </c>
      <c r="J182" s="1" t="str">
        <f ca="1">IFERROR(__xludf.DUMMYFUNCTION("""COMPUTED_VALUE"""),"Frugivorous species ")</f>
        <v xml:space="preserve">Frugivorous species </v>
      </c>
      <c r="K182" s="1"/>
      <c r="L182" s="8" t="str">
        <f ca="1">IFERROR(__xludf.DUMMYFUNCTION("""COMPUTED_VALUE"""),"https://doi.org/10.1038/s41597-023-02472-w")</f>
        <v>https://doi.org/10.1038/s41597-023-02472-w</v>
      </c>
      <c r="M182" s="1" t="str">
        <f ca="1">IFERROR(__xludf.DUMMYFUNCTION("""COMPUTED_VALUE"""),"Cosentino_2023")</f>
        <v>Cosentino_2023</v>
      </c>
    </row>
    <row r="183" spans="1:13" ht="13.2">
      <c r="A183" s="1" t="str">
        <f ca="1">IFERROR(__xludf.DUMMYFUNCTION("""COMPUTED_VALUE"""),"Nectarivorous")</f>
        <v>Nectarivorous</v>
      </c>
      <c r="B183" s="1"/>
      <c r="C183" s="1"/>
      <c r="D183" s="1"/>
      <c r="E183" s="1" t="str">
        <f ca="1">IFERROR(__xludf.DUMMYFUNCTION("""COMPUTED_VALUE"""),"categorical")</f>
        <v>categorical</v>
      </c>
      <c r="F183" s="1" t="str">
        <f ca="1">IFERROR(__xludf.DUMMYFUNCTION("""COMPUTED_VALUE"""),".na")</f>
        <v>.na</v>
      </c>
      <c r="G183" s="1" t="str">
        <f ca="1">IFERROR(__xludf.DUMMYFUNCTION("""COMPUTED_VALUE"""),"0 = never, 1 = occasional, 2 = typical")</f>
        <v>0 = never, 1 = occasional, 2 = typical</v>
      </c>
      <c r="H183" s="1" t="str">
        <f ca="1">IFERROR(__xludf.DUMMYFUNCTION("""COMPUTED_VALUE"""),".na")</f>
        <v>.na</v>
      </c>
      <c r="I183" s="1" t="str">
        <f ca="1">IFERROR(__xludf.DUMMYFUNCTION("""COMPUTED_VALUE"""),".na")</f>
        <v>.na</v>
      </c>
      <c r="J183" s="1" t="str">
        <f ca="1">IFERROR(__xludf.DUMMYFUNCTION("""COMPUTED_VALUE"""),"Nectarivorous species ")</f>
        <v xml:space="preserve">Nectarivorous species </v>
      </c>
      <c r="K183" s="1"/>
      <c r="L183" s="8" t="str">
        <f ca="1">IFERROR(__xludf.DUMMYFUNCTION("""COMPUTED_VALUE"""),"https://doi.org/10.1038/s41597-023-02472-w")</f>
        <v>https://doi.org/10.1038/s41597-023-02472-w</v>
      </c>
      <c r="M183" s="1" t="str">
        <f ca="1">IFERROR(__xludf.DUMMYFUNCTION("""COMPUTED_VALUE"""),"Cosentino_2023")</f>
        <v>Cosentino_2023</v>
      </c>
    </row>
    <row r="184" spans="1:13" ht="13.2">
      <c r="A184" s="1" t="str">
        <f ca="1">IFERROR(__xludf.DUMMYFUNCTION("""COMPUTED_VALUE"""),"Carnivorous")</f>
        <v>Carnivorous</v>
      </c>
      <c r="B184" s="1"/>
      <c r="C184" s="1"/>
      <c r="D184" s="1"/>
      <c r="E184" s="1" t="str">
        <f ca="1">IFERROR(__xludf.DUMMYFUNCTION("""COMPUTED_VALUE"""),"categorical")</f>
        <v>categorical</v>
      </c>
      <c r="F184" s="1" t="str">
        <f ca="1">IFERROR(__xludf.DUMMYFUNCTION("""COMPUTED_VALUE"""),".na")</f>
        <v>.na</v>
      </c>
      <c r="G184" s="1" t="str">
        <f ca="1">IFERROR(__xludf.DUMMYFUNCTION("""COMPUTED_VALUE"""),"0 = never, 1 = occasional, 2 = typical")</f>
        <v>0 = never, 1 = occasional, 2 = typical</v>
      </c>
      <c r="H184" s="1" t="str">
        <f ca="1">IFERROR(__xludf.DUMMYFUNCTION("""COMPUTED_VALUE"""),".na")</f>
        <v>.na</v>
      </c>
      <c r="I184" s="1" t="str">
        <f ca="1">IFERROR(__xludf.DUMMYFUNCTION("""COMPUTED_VALUE"""),".na")</f>
        <v>.na</v>
      </c>
      <c r="J184" s="1" t="str">
        <f ca="1">IFERROR(__xludf.DUMMYFUNCTION("""COMPUTED_VALUE"""),"Carnivorous species ")</f>
        <v xml:space="preserve">Carnivorous species </v>
      </c>
      <c r="K184" s="1"/>
      <c r="L184" s="8" t="str">
        <f ca="1">IFERROR(__xludf.DUMMYFUNCTION("""COMPUTED_VALUE"""),"https://doi.org/10.1038/s41597-023-02472-w")</f>
        <v>https://doi.org/10.1038/s41597-023-02472-w</v>
      </c>
      <c r="M184" s="1" t="str">
        <f ca="1">IFERROR(__xludf.DUMMYFUNCTION("""COMPUTED_VALUE"""),"Cosentino_2023")</f>
        <v>Cosentino_2023</v>
      </c>
    </row>
    <row r="185" spans="1:13" ht="13.2">
      <c r="A185" s="1" t="str">
        <f ca="1">IFERROR(__xludf.DUMMYFUNCTION("""COMPUTED_VALUE"""),"Ground")</f>
        <v>Ground</v>
      </c>
      <c r="B185" s="1"/>
      <c r="C185" s="1"/>
      <c r="D185" s="1"/>
      <c r="E185" s="1" t="str">
        <f ca="1">IFERROR(__xludf.DUMMYFUNCTION("""COMPUTED_VALUE"""),"categorical ")</f>
        <v xml:space="preserve">categorical </v>
      </c>
      <c r="F185" s="1" t="str">
        <f ca="1">IFERROR(__xludf.DUMMYFUNCTION("""COMPUTED_VALUE"""),".na")</f>
        <v>.na</v>
      </c>
      <c r="G185" s="1" t="str">
        <f ca="1">IFERROR(__xludf.DUMMYFUNCTION("""COMPUTED_VALUE"""),"0 = never, 1 = occasional, 2 = typical")</f>
        <v>0 = never, 1 = occasional, 2 = typical</v>
      </c>
      <c r="H185" s="1" t="str">
        <f ca="1">IFERROR(__xludf.DUMMYFUNCTION("""COMPUTED_VALUE"""),".na")</f>
        <v>.na</v>
      </c>
      <c r="I185" s="1" t="str">
        <f ca="1">IFERROR(__xludf.DUMMYFUNCTION("""COMPUTED_VALUE"""),".na")</f>
        <v>.na</v>
      </c>
      <c r="J185" s="1" t="str">
        <f ca="1">IFERROR(__xludf.DUMMYFUNCTION("""COMPUTED_VALUE"""),"Ground foraging")</f>
        <v>Ground foraging</v>
      </c>
      <c r="K185" s="1"/>
      <c r="L185" s="8" t="str">
        <f ca="1">IFERROR(__xludf.DUMMYFUNCTION("""COMPUTED_VALUE"""),"https://doi.org/10.1038/s41597-023-02472-w")</f>
        <v>https://doi.org/10.1038/s41597-023-02472-w</v>
      </c>
      <c r="M185" s="1" t="str">
        <f ca="1">IFERROR(__xludf.DUMMYFUNCTION("""COMPUTED_VALUE"""),"Cosentino_2023")</f>
        <v>Cosentino_2023</v>
      </c>
    </row>
    <row r="186" spans="1:13" ht="13.2">
      <c r="A186" s="1" t="str">
        <f ca="1">IFERROR(__xludf.DUMMYFUNCTION("""COMPUTED_VALUE"""),"Aerial")</f>
        <v>Aerial</v>
      </c>
      <c r="B186" s="1"/>
      <c r="C186" s="1"/>
      <c r="D186" s="1"/>
      <c r="E186" s="1" t="str">
        <f ca="1">IFERROR(__xludf.DUMMYFUNCTION("""COMPUTED_VALUE"""),"categorical")</f>
        <v>categorical</v>
      </c>
      <c r="F186" s="1" t="str">
        <f ca="1">IFERROR(__xludf.DUMMYFUNCTION("""COMPUTED_VALUE"""),".na")</f>
        <v>.na</v>
      </c>
      <c r="G186" s="1" t="str">
        <f ca="1">IFERROR(__xludf.DUMMYFUNCTION("""COMPUTED_VALUE"""),"0 = never, 1 = occasional, 2 = typical")</f>
        <v>0 = never, 1 = occasional, 2 = typical</v>
      </c>
      <c r="H186" s="1" t="str">
        <f ca="1">IFERROR(__xludf.DUMMYFUNCTION("""COMPUTED_VALUE"""),".na")</f>
        <v>.na</v>
      </c>
      <c r="I186" s="1" t="str">
        <f ca="1">IFERROR(__xludf.DUMMYFUNCTION("""COMPUTED_VALUE"""),".na")</f>
        <v>.na</v>
      </c>
      <c r="J186" s="1" t="str">
        <f ca="1">IFERROR(__xludf.DUMMYFUNCTION("""COMPUTED_VALUE"""),"Aerial foraging")</f>
        <v>Aerial foraging</v>
      </c>
      <c r="K186" s="1"/>
      <c r="L186" s="8" t="str">
        <f ca="1">IFERROR(__xludf.DUMMYFUNCTION("""COMPUTED_VALUE"""),"https://doi.org/10.1038/s41597-023-02472-w")</f>
        <v>https://doi.org/10.1038/s41597-023-02472-w</v>
      </c>
      <c r="M186" s="1" t="str">
        <f ca="1">IFERROR(__xludf.DUMMYFUNCTION("""COMPUTED_VALUE"""),"Cosentino_2023")</f>
        <v>Cosentino_2023</v>
      </c>
    </row>
    <row r="187" spans="1:13" ht="13.2">
      <c r="A187" s="1" t="str">
        <f ca="1">IFERROR(__xludf.DUMMYFUNCTION("""COMPUTED_VALUE"""),"Vegetation")</f>
        <v>Vegetation</v>
      </c>
      <c r="B187" s="1"/>
      <c r="C187" s="1"/>
      <c r="D187" s="1"/>
      <c r="E187" s="1" t="str">
        <f ca="1">IFERROR(__xludf.DUMMYFUNCTION("""COMPUTED_VALUE"""),"categorical")</f>
        <v>categorical</v>
      </c>
      <c r="F187" s="1" t="str">
        <f ca="1">IFERROR(__xludf.DUMMYFUNCTION("""COMPUTED_VALUE"""),".na")</f>
        <v>.na</v>
      </c>
      <c r="G187" s="1" t="str">
        <f ca="1">IFERROR(__xludf.DUMMYFUNCTION("""COMPUTED_VALUE"""),"0 = never, 1 = occasional, 2 = typical")</f>
        <v>0 = never, 1 = occasional, 2 = typical</v>
      </c>
      <c r="H187" s="1" t="str">
        <f ca="1">IFERROR(__xludf.DUMMYFUNCTION("""COMPUTED_VALUE"""),".na")</f>
        <v>.na</v>
      </c>
      <c r="I187" s="1" t="str">
        <f ca="1">IFERROR(__xludf.DUMMYFUNCTION("""COMPUTED_VALUE"""),".na")</f>
        <v>.na</v>
      </c>
      <c r="J187" s="1" t="str">
        <f ca="1">IFERROR(__xludf.DUMMYFUNCTION("""COMPUTED_VALUE"""),"Vegetation foraging")</f>
        <v>Vegetation foraging</v>
      </c>
      <c r="K187" s="1"/>
      <c r="L187" s="8" t="str">
        <f ca="1">IFERROR(__xludf.DUMMYFUNCTION("""COMPUTED_VALUE"""),"https://doi.org/10.1038/s41597-023-02472-w")</f>
        <v>https://doi.org/10.1038/s41597-023-02472-w</v>
      </c>
      <c r="M187" s="1" t="str">
        <f ca="1">IFERROR(__xludf.DUMMYFUNCTION("""COMPUTED_VALUE"""),"Cosentino_2023")</f>
        <v>Cosentino_2023</v>
      </c>
    </row>
    <row r="188" spans="1:13" ht="13.2">
      <c r="A188" s="1" t="str">
        <f ca="1">IFERROR(__xludf.DUMMYFUNCTION("""COMPUTED_VALUE"""),"Aquatic ")</f>
        <v xml:space="preserve">Aquatic </v>
      </c>
      <c r="B188" s="1"/>
      <c r="C188" s="1"/>
      <c r="D188" s="1"/>
      <c r="E188" s="1" t="str">
        <f ca="1">IFERROR(__xludf.DUMMYFUNCTION("""COMPUTED_VALUE"""),"categorical")</f>
        <v>categorical</v>
      </c>
      <c r="F188" s="1" t="str">
        <f ca="1">IFERROR(__xludf.DUMMYFUNCTION("""COMPUTED_VALUE"""),".na")</f>
        <v>.na</v>
      </c>
      <c r="G188" s="1" t="str">
        <f ca="1">IFERROR(__xludf.DUMMYFUNCTION("""COMPUTED_VALUE"""),"0 = never, 1 = occasional, 2 = typical")</f>
        <v>0 = never, 1 = occasional, 2 = typical</v>
      </c>
      <c r="H188" s="1" t="str">
        <f ca="1">IFERROR(__xludf.DUMMYFUNCTION("""COMPUTED_VALUE"""),".na")</f>
        <v>.na</v>
      </c>
      <c r="I188" s="1" t="str">
        <f ca="1">IFERROR(__xludf.DUMMYFUNCTION("""COMPUTED_VALUE"""),".na")</f>
        <v>.na</v>
      </c>
      <c r="J188" s="1" t="str">
        <f ca="1">IFERROR(__xludf.DUMMYFUNCTION("""COMPUTED_VALUE"""),"Aquatic foraging")</f>
        <v>Aquatic foraging</v>
      </c>
      <c r="K188" s="1"/>
      <c r="L188" s="8" t="str">
        <f ca="1">IFERROR(__xludf.DUMMYFUNCTION("""COMPUTED_VALUE"""),"https://doi.org/10.1038/s41597-023-02472-w")</f>
        <v>https://doi.org/10.1038/s41597-023-02472-w</v>
      </c>
      <c r="M188" s="1" t="str">
        <f ca="1">IFERROR(__xludf.DUMMYFUNCTION("""COMPUTED_VALUE"""),"Cosentino_2023")</f>
        <v>Cosentino_2023</v>
      </c>
    </row>
    <row r="189" spans="1:13" ht="13.2">
      <c r="A189" s="1" t="str">
        <f ca="1">IFERROR(__xludf.DUMMYFUNCTION("""COMPUTED_VALUE"""),"Clutter ")</f>
        <v xml:space="preserve">Clutter </v>
      </c>
      <c r="B189" s="1"/>
      <c r="C189" s="1"/>
      <c r="D189" s="1"/>
      <c r="E189" s="1" t="str">
        <f ca="1">IFERROR(__xludf.DUMMYFUNCTION("""COMPUTED_VALUE"""),"categorical ")</f>
        <v xml:space="preserve">categorical </v>
      </c>
      <c r="F189" s="1" t="str">
        <f ca="1">IFERROR(__xludf.DUMMYFUNCTION("""COMPUTED_VALUE"""),".na")</f>
        <v>.na</v>
      </c>
      <c r="G189" s="1" t="str">
        <f ca="1">IFERROR(__xludf.DUMMYFUNCTION("""COMPUTED_VALUE"""),"0 = never, 1 = occasional, 2 = typical")</f>
        <v>0 = never, 1 = occasional, 2 = typical</v>
      </c>
      <c r="H189" s="1" t="str">
        <f ca="1">IFERROR(__xludf.DUMMYFUNCTION("""COMPUTED_VALUE"""),".na")</f>
        <v>.na</v>
      </c>
      <c r="I189" s="1" t="str">
        <f ca="1">IFERROR(__xludf.DUMMYFUNCTION("""COMPUTED_VALUE"""),".na")</f>
        <v>.na</v>
      </c>
      <c r="J189" s="1" t="str">
        <f ca="1">IFERROR(__xludf.DUMMYFUNCTION("""COMPUTED_VALUE"""),"Clutter foraging habitat")</f>
        <v>Clutter foraging habitat</v>
      </c>
      <c r="K189" s="1"/>
      <c r="L189" s="8" t="str">
        <f ca="1">IFERROR(__xludf.DUMMYFUNCTION("""COMPUTED_VALUE"""),"https://doi.org/10.1038/s41597-023-02472-w")</f>
        <v>https://doi.org/10.1038/s41597-023-02472-w</v>
      </c>
      <c r="M189" s="1" t="str">
        <f ca="1">IFERROR(__xludf.DUMMYFUNCTION("""COMPUTED_VALUE"""),"Cosentino_2023")</f>
        <v>Cosentino_2023</v>
      </c>
    </row>
    <row r="190" spans="1:13" ht="13.2">
      <c r="A190" s="1" t="str">
        <f ca="1">IFERROR(__xludf.DUMMYFUNCTION("""COMPUTED_VALUE"""),"Clutter_Edge")</f>
        <v>Clutter_Edge</v>
      </c>
      <c r="B190" s="1"/>
      <c r="C190" s="1"/>
      <c r="D190" s="1"/>
      <c r="E190" s="1" t="str">
        <f ca="1">IFERROR(__xludf.DUMMYFUNCTION("""COMPUTED_VALUE"""),"categorical")</f>
        <v>categorical</v>
      </c>
      <c r="F190" s="1" t="str">
        <f ca="1">IFERROR(__xludf.DUMMYFUNCTION("""COMPUTED_VALUE"""),".na")</f>
        <v>.na</v>
      </c>
      <c r="G190" s="1" t="str">
        <f ca="1">IFERROR(__xludf.DUMMYFUNCTION("""COMPUTED_VALUE"""),"0 = never, 1 = occasional, 2 = typical")</f>
        <v>0 = never, 1 = occasional, 2 = typical</v>
      </c>
      <c r="H190" s="1" t="str">
        <f ca="1">IFERROR(__xludf.DUMMYFUNCTION("""COMPUTED_VALUE"""),".na")</f>
        <v>.na</v>
      </c>
      <c r="I190" s="1" t="str">
        <f ca="1">IFERROR(__xludf.DUMMYFUNCTION("""COMPUTED_VALUE"""),".na")</f>
        <v>.na</v>
      </c>
      <c r="J190" s="1" t="str">
        <f ca="1">IFERROR(__xludf.DUMMYFUNCTION("""COMPUTED_VALUE"""),"Clutter-edge/ edge foraging habitat")</f>
        <v>Clutter-edge/ edge foraging habitat</v>
      </c>
      <c r="K190" s="1"/>
      <c r="L190" s="8" t="str">
        <f ca="1">IFERROR(__xludf.DUMMYFUNCTION("""COMPUTED_VALUE"""),"https://doi.org/10.1038/s41597-023-02472-w")</f>
        <v>https://doi.org/10.1038/s41597-023-02472-w</v>
      </c>
      <c r="M190" s="1" t="str">
        <f ca="1">IFERROR(__xludf.DUMMYFUNCTION("""COMPUTED_VALUE"""),"Cosentino_2023")</f>
        <v>Cosentino_2023</v>
      </c>
    </row>
    <row r="191" spans="1:13" ht="13.2">
      <c r="A191" s="1" t="str">
        <f ca="1">IFERROR(__xludf.DUMMYFUNCTION("""COMPUTED_VALUE"""),"Open")</f>
        <v>Open</v>
      </c>
      <c r="B191" s="1"/>
      <c r="C191" s="1"/>
      <c r="D191" s="1"/>
      <c r="E191" s="1" t="str">
        <f ca="1">IFERROR(__xludf.DUMMYFUNCTION("""COMPUTED_VALUE"""),"categorical")</f>
        <v>categorical</v>
      </c>
      <c r="F191" s="1" t="str">
        <f ca="1">IFERROR(__xludf.DUMMYFUNCTION("""COMPUTED_VALUE"""),".na")</f>
        <v>.na</v>
      </c>
      <c r="G191" s="1" t="str">
        <f ca="1">IFERROR(__xludf.DUMMYFUNCTION("""COMPUTED_VALUE"""),"0 = never, 1 = occasional, 2 = typical")</f>
        <v>0 = never, 1 = occasional, 2 = typical</v>
      </c>
      <c r="H191" s="1" t="str">
        <f ca="1">IFERROR(__xludf.DUMMYFUNCTION("""COMPUTED_VALUE"""),".na")</f>
        <v>.na</v>
      </c>
      <c r="I191" s="1" t="str">
        <f ca="1">IFERROR(__xludf.DUMMYFUNCTION("""COMPUTED_VALUE"""),".na")</f>
        <v>.na</v>
      </c>
      <c r="J191" s="1" t="str">
        <f ca="1">IFERROR(__xludf.DUMMYFUNCTION("""COMPUTED_VALUE"""),"Open foraging habitat")</f>
        <v>Open foraging habitat</v>
      </c>
      <c r="K191" s="1"/>
      <c r="L191" s="8" t="str">
        <f ca="1">IFERROR(__xludf.DUMMYFUNCTION("""COMPUTED_VALUE"""),"https://doi.org/10.1038/s41597-023-02472-w")</f>
        <v>https://doi.org/10.1038/s41597-023-02472-w</v>
      </c>
      <c r="M191" s="1" t="str">
        <f ca="1">IFERROR(__xludf.DUMMYFUNCTION("""COMPUTED_VALUE"""),"Cosentino_2023")</f>
        <v>Cosentino_2023</v>
      </c>
    </row>
    <row r="192" spans="1:13" ht="13.2">
      <c r="A192" s="1" t="str">
        <f ca="1">IFERROR(__xludf.DUMMYFUNCTION("""COMPUTED_VALUE"""),"Hawking")</f>
        <v>Hawking</v>
      </c>
      <c r="B192" s="1"/>
      <c r="C192" s="1"/>
      <c r="D192" s="1"/>
      <c r="E192" s="1" t="str">
        <f ca="1">IFERROR(__xludf.DUMMYFUNCTION("""COMPUTED_VALUE"""),"categorical ")</f>
        <v xml:space="preserve">categorical </v>
      </c>
      <c r="F192" s="1" t="str">
        <f ca="1">IFERROR(__xludf.DUMMYFUNCTION("""COMPUTED_VALUE"""),".na")</f>
        <v>.na</v>
      </c>
      <c r="G192" s="1" t="str">
        <f ca="1">IFERROR(__xludf.DUMMYFUNCTION("""COMPUTED_VALUE"""),"0 = never, 1 = occasional, 2 = typical")</f>
        <v>0 = never, 1 = occasional, 2 = typical</v>
      </c>
      <c r="H192" s="1" t="str">
        <f ca="1">IFERROR(__xludf.DUMMYFUNCTION("""COMPUTED_VALUE"""),".na")</f>
        <v>.na</v>
      </c>
      <c r="I192" s="1" t="str">
        <f ca="1">IFERROR(__xludf.DUMMYFUNCTION("""COMPUTED_VALUE"""),".na")</f>
        <v>.na</v>
      </c>
      <c r="J192" s="1" t="str">
        <f ca="1">IFERROR(__xludf.DUMMYFUNCTION("""COMPUTED_VALUE"""),"Hawking strategy ")</f>
        <v xml:space="preserve">Hawking strategy </v>
      </c>
      <c r="K192" s="1"/>
      <c r="L192" s="8" t="str">
        <f ca="1">IFERROR(__xludf.DUMMYFUNCTION("""COMPUTED_VALUE"""),"https://doi.org/10.1038/s41597-023-02472-w")</f>
        <v>https://doi.org/10.1038/s41597-023-02472-w</v>
      </c>
      <c r="M192" s="1" t="str">
        <f ca="1">IFERROR(__xludf.DUMMYFUNCTION("""COMPUTED_VALUE"""),"Cosentino_2023")</f>
        <v>Cosentino_2023</v>
      </c>
    </row>
    <row r="193" spans="1:13" ht="13.2">
      <c r="A193" s="1" t="str">
        <f ca="1">IFERROR(__xludf.DUMMYFUNCTION("""COMPUTED_VALUE"""),"Gleaning")</f>
        <v>Gleaning</v>
      </c>
      <c r="B193" s="1"/>
      <c r="C193" s="1"/>
      <c r="D193" s="1"/>
      <c r="E193" s="1" t="str">
        <f ca="1">IFERROR(__xludf.DUMMYFUNCTION("""COMPUTED_VALUE"""),"categorical")</f>
        <v>categorical</v>
      </c>
      <c r="F193" s="1" t="str">
        <f ca="1">IFERROR(__xludf.DUMMYFUNCTION("""COMPUTED_VALUE"""),".na")</f>
        <v>.na</v>
      </c>
      <c r="G193" s="1" t="str">
        <f ca="1">IFERROR(__xludf.DUMMYFUNCTION("""COMPUTED_VALUE"""),"0 = never, 1 = occasional, 2 = typical")</f>
        <v>0 = never, 1 = occasional, 2 = typical</v>
      </c>
      <c r="H193" s="1" t="str">
        <f ca="1">IFERROR(__xludf.DUMMYFUNCTION("""COMPUTED_VALUE"""),".na")</f>
        <v>.na</v>
      </c>
      <c r="I193" s="1" t="str">
        <f ca="1">IFERROR(__xludf.DUMMYFUNCTION("""COMPUTED_VALUE"""),".na")</f>
        <v>.na</v>
      </c>
      <c r="J193" s="1" t="str">
        <f ca="1">IFERROR(__xludf.DUMMYFUNCTION("""COMPUTED_VALUE"""),"Gleaning strategy")</f>
        <v>Gleaning strategy</v>
      </c>
      <c r="K193" s="1"/>
      <c r="L193" s="8" t="str">
        <f ca="1">IFERROR(__xludf.DUMMYFUNCTION("""COMPUTED_VALUE"""),"https://doi.org/10.1038/s41597-023-02472-w")</f>
        <v>https://doi.org/10.1038/s41597-023-02472-w</v>
      </c>
      <c r="M193" s="1" t="str">
        <f ca="1">IFERROR(__xludf.DUMMYFUNCTION("""COMPUTED_VALUE"""),"Cosentino_2023")</f>
        <v>Cosentino_2023</v>
      </c>
    </row>
    <row r="194" spans="1:13" ht="13.2">
      <c r="A194" s="1" t="str">
        <f ca="1">IFERROR(__xludf.DUMMYFUNCTION("""COMPUTED_VALUE"""),"Flycatching ")</f>
        <v xml:space="preserve">Flycatching </v>
      </c>
      <c r="B194" s="1"/>
      <c r="C194" s="1"/>
      <c r="D194" s="1"/>
      <c r="E194" s="1" t="str">
        <f ca="1">IFERROR(__xludf.DUMMYFUNCTION("""COMPUTED_VALUE"""),"categorical")</f>
        <v>categorical</v>
      </c>
      <c r="F194" s="1" t="str">
        <f ca="1">IFERROR(__xludf.DUMMYFUNCTION("""COMPUTED_VALUE"""),".na")</f>
        <v>.na</v>
      </c>
      <c r="G194" s="1" t="str">
        <f ca="1">IFERROR(__xludf.DUMMYFUNCTION("""COMPUTED_VALUE"""),"0 = never, 1 = occasional, 2 = typical")</f>
        <v>0 = never, 1 = occasional, 2 = typical</v>
      </c>
      <c r="H194" s="1" t="str">
        <f ca="1">IFERROR(__xludf.DUMMYFUNCTION("""COMPUTED_VALUE"""),".na")</f>
        <v>.na</v>
      </c>
      <c r="I194" s="1" t="str">
        <f ca="1">IFERROR(__xludf.DUMMYFUNCTION("""COMPUTED_VALUE"""),".na")</f>
        <v>.na</v>
      </c>
      <c r="J194" s="1" t="str">
        <f ca="1">IFERROR(__xludf.DUMMYFUNCTION("""COMPUTED_VALUE"""),"Flycatching strategy")</f>
        <v>Flycatching strategy</v>
      </c>
      <c r="K194" s="1"/>
      <c r="L194" s="8" t="str">
        <f ca="1">IFERROR(__xludf.DUMMYFUNCTION("""COMPUTED_VALUE"""),"https://doi.org/10.1038/s41597-023-02472-w")</f>
        <v>https://doi.org/10.1038/s41597-023-02472-w</v>
      </c>
      <c r="M194" s="1" t="str">
        <f ca="1">IFERROR(__xludf.DUMMYFUNCTION("""COMPUTED_VALUE"""),"Cosentino_2023")</f>
        <v>Cosentino_2023</v>
      </c>
    </row>
    <row r="195" spans="1:13" ht="13.2">
      <c r="A195" s="1" t="str">
        <f ca="1">IFERROR(__xludf.DUMMYFUNCTION("""COMPUTED_VALUE"""),"Trawling")</f>
        <v>Trawling</v>
      </c>
      <c r="B195" s="1"/>
      <c r="C195" s="1"/>
      <c r="D195" s="1"/>
      <c r="E195" s="1" t="str">
        <f ca="1">IFERROR(__xludf.DUMMYFUNCTION("""COMPUTED_VALUE"""),"categorical")</f>
        <v>categorical</v>
      </c>
      <c r="F195" s="1" t="str">
        <f ca="1">IFERROR(__xludf.DUMMYFUNCTION("""COMPUTED_VALUE"""),".na")</f>
        <v>.na</v>
      </c>
      <c r="G195" s="1" t="str">
        <f ca="1">IFERROR(__xludf.DUMMYFUNCTION("""COMPUTED_VALUE"""),"0 = never, 1 = occasional, 2 = typical")</f>
        <v>0 = never, 1 = occasional, 2 = typical</v>
      </c>
      <c r="H195" s="1" t="str">
        <f ca="1">IFERROR(__xludf.DUMMYFUNCTION("""COMPUTED_VALUE"""),".na")</f>
        <v>.na</v>
      </c>
      <c r="I195" s="1" t="str">
        <f ca="1">IFERROR(__xludf.DUMMYFUNCTION("""COMPUTED_VALUE"""),".na")</f>
        <v>.na</v>
      </c>
      <c r="J195" s="1" t="str">
        <f ca="1">IFERROR(__xludf.DUMMYFUNCTION("""COMPUTED_VALUE"""),"Trawling strategy")</f>
        <v>Trawling strategy</v>
      </c>
      <c r="K195" s="1"/>
      <c r="L195" s="8" t="str">
        <f ca="1">IFERROR(__xludf.DUMMYFUNCTION("""COMPUTED_VALUE"""),"https://doi.org/10.1038/s41597-023-02472-w")</f>
        <v>https://doi.org/10.1038/s41597-023-02472-w</v>
      </c>
      <c r="M195" s="1" t="str">
        <f ca="1">IFERROR(__xludf.DUMMYFUNCTION("""COMPUTED_VALUE"""),"Cosentino_2023")</f>
        <v>Cosentino_2023</v>
      </c>
    </row>
    <row r="196" spans="1:13" ht="13.2">
      <c r="A196" s="1" t="str">
        <f ca="1">IFERROR(__xludf.DUMMYFUNCTION("""COMPUTED_VALUE"""),"Hovering")</f>
        <v>Hovering</v>
      </c>
      <c r="B196" s="1"/>
      <c r="C196" s="1"/>
      <c r="D196" s="1"/>
      <c r="E196" s="1" t="str">
        <f ca="1">IFERROR(__xludf.DUMMYFUNCTION("""COMPUTED_VALUE"""),"categorical")</f>
        <v>categorical</v>
      </c>
      <c r="F196" s="1" t="str">
        <f ca="1">IFERROR(__xludf.DUMMYFUNCTION("""COMPUTED_VALUE"""),".na")</f>
        <v>.na</v>
      </c>
      <c r="G196" s="1" t="str">
        <f ca="1">IFERROR(__xludf.DUMMYFUNCTION("""COMPUTED_VALUE"""),"0 = never, 1 = occasional, 2 = typical")</f>
        <v>0 = never, 1 = occasional, 2 = typical</v>
      </c>
      <c r="H196" s="1" t="str">
        <f ca="1">IFERROR(__xludf.DUMMYFUNCTION("""COMPUTED_VALUE"""),".na")</f>
        <v>.na</v>
      </c>
      <c r="I196" s="1" t="str">
        <f ca="1">IFERROR(__xludf.DUMMYFUNCTION("""COMPUTED_VALUE"""),".na")</f>
        <v>.na</v>
      </c>
      <c r="J196" s="1" t="str">
        <f ca="1">IFERROR(__xludf.DUMMYFUNCTION("""COMPUTED_VALUE"""),"Hovering strategy")</f>
        <v>Hovering strategy</v>
      </c>
      <c r="K196" s="1"/>
      <c r="L196" s="8" t="str">
        <f ca="1">IFERROR(__xludf.DUMMYFUNCTION("""COMPUTED_VALUE"""),"https://doi.org/10.1038/s41597-023-02472-w")</f>
        <v>https://doi.org/10.1038/s41597-023-02472-w</v>
      </c>
      <c r="M196" s="1" t="str">
        <f ca="1">IFERROR(__xludf.DUMMYFUNCTION("""COMPUTED_VALUE"""),"Cosentino_2023")</f>
        <v>Cosentino_2023</v>
      </c>
    </row>
    <row r="197" spans="1:13" ht="13.2">
      <c r="A197" s="1" t="str">
        <f ca="1">IFERROR(__xludf.DUMMYFUNCTION("""COMPUTED_VALUE"""),"Perching")</f>
        <v>Perching</v>
      </c>
      <c r="B197" s="1"/>
      <c r="C197" s="1"/>
      <c r="D197" s="1"/>
      <c r="E197" s="1" t="str">
        <f ca="1">IFERROR(__xludf.DUMMYFUNCTION("""COMPUTED_VALUE"""),"categorical")</f>
        <v>categorical</v>
      </c>
      <c r="F197" s="1" t="str">
        <f ca="1">IFERROR(__xludf.DUMMYFUNCTION("""COMPUTED_VALUE"""),".na")</f>
        <v>.na</v>
      </c>
      <c r="G197" s="1" t="str">
        <f ca="1">IFERROR(__xludf.DUMMYFUNCTION("""COMPUTED_VALUE"""),"0 = never, 1 = occasional, 2 = typical")</f>
        <v>0 = never, 1 = occasional, 2 = typical</v>
      </c>
      <c r="H197" s="1" t="str">
        <f ca="1">IFERROR(__xludf.DUMMYFUNCTION("""COMPUTED_VALUE"""),".na")</f>
        <v>.na</v>
      </c>
      <c r="I197" s="1" t="str">
        <f ca="1">IFERROR(__xludf.DUMMYFUNCTION("""COMPUTED_VALUE"""),".na")</f>
        <v>.na</v>
      </c>
      <c r="J197" s="1" t="str">
        <f ca="1">IFERROR(__xludf.DUMMYFUNCTION("""COMPUTED_VALUE"""),"Perching strategy")</f>
        <v>Perching strategy</v>
      </c>
      <c r="K197" s="1"/>
      <c r="L197" s="8" t="str">
        <f ca="1">IFERROR(__xludf.DUMMYFUNCTION("""COMPUTED_VALUE"""),"https://doi.org/10.1038/s41597-023-02472-w")</f>
        <v>https://doi.org/10.1038/s41597-023-02472-w</v>
      </c>
      <c r="M197" s="1" t="str">
        <f ca="1">IFERROR(__xludf.DUMMYFUNCTION("""COMPUTED_VALUE"""),"Cosentino_2023")</f>
        <v>Cosentino_2023</v>
      </c>
    </row>
    <row r="198" spans="1:13" ht="13.2">
      <c r="A198" s="1" t="str">
        <f ca="1">IFERROR(__xludf.DUMMYFUNCTION("""COMPUTED_VALUE"""),"Seeds")</f>
        <v>Seeds</v>
      </c>
      <c r="B198" s="1"/>
      <c r="C198" s="1"/>
      <c r="D198" s="1"/>
      <c r="E198" s="1" t="str">
        <f ca="1">IFERROR(__xludf.DUMMYFUNCTION("""COMPUTED_VALUE"""),"categorical ")</f>
        <v xml:space="preserve">categorical </v>
      </c>
      <c r="F198" s="1" t="str">
        <f ca="1">IFERROR(__xludf.DUMMYFUNCTION("""COMPUTED_VALUE"""),".na")</f>
        <v>.na</v>
      </c>
      <c r="G198" s="1" t="str">
        <f ca="1">IFERROR(__xludf.DUMMYFUNCTION("""COMPUTED_VALUE"""),"0 = never, 1 = occasional, 2 = typical")</f>
        <v>0 = never, 1 = occasional, 2 = typical</v>
      </c>
      <c r="H198" s="1" t="str">
        <f ca="1">IFERROR(__xludf.DUMMYFUNCTION("""COMPUTED_VALUE"""),".na")</f>
        <v>.na</v>
      </c>
      <c r="I198" s="1" t="str">
        <f ca="1">IFERROR(__xludf.DUMMYFUNCTION("""COMPUTED_VALUE"""),".na")</f>
        <v>.na</v>
      </c>
      <c r="J198" s="1" t="str">
        <f ca="1">IFERROR(__xludf.DUMMYFUNCTION("""COMPUTED_VALUE"""),"Presence of seeds in the diet")</f>
        <v>Presence of seeds in the diet</v>
      </c>
      <c r="K198" s="1"/>
      <c r="L198" s="8" t="str">
        <f ca="1">IFERROR(__xludf.DUMMYFUNCTION("""COMPUTED_VALUE"""),"https://doi.org/10.1038/s41597-023-02472-w")</f>
        <v>https://doi.org/10.1038/s41597-023-02472-w</v>
      </c>
      <c r="M198" s="1" t="str">
        <f ca="1">IFERROR(__xludf.DUMMYFUNCTION("""COMPUTED_VALUE"""),"Cosentino_2023")</f>
        <v>Cosentino_2023</v>
      </c>
    </row>
    <row r="199" spans="1:13" ht="13.2">
      <c r="A199" s="1" t="str">
        <f ca="1">IFERROR(__xludf.DUMMYFUNCTION("""COMPUTED_VALUE"""),"Fruits")</f>
        <v>Fruits</v>
      </c>
      <c r="B199" s="1"/>
      <c r="C199" s="1"/>
      <c r="D199" s="1"/>
      <c r="E199" s="1" t="str">
        <f ca="1">IFERROR(__xludf.DUMMYFUNCTION("""COMPUTED_VALUE"""),"categorical")</f>
        <v>categorical</v>
      </c>
      <c r="F199" s="1" t="str">
        <f ca="1">IFERROR(__xludf.DUMMYFUNCTION("""COMPUTED_VALUE"""),".na")</f>
        <v>.na</v>
      </c>
      <c r="G199" s="1" t="str">
        <f ca="1">IFERROR(__xludf.DUMMYFUNCTION("""COMPUTED_VALUE"""),"0 = never, 1 = occasional, 2 = typical")</f>
        <v>0 = never, 1 = occasional, 2 = typical</v>
      </c>
      <c r="H199" s="1" t="str">
        <f ca="1">IFERROR(__xludf.DUMMYFUNCTION("""COMPUTED_VALUE"""),".na")</f>
        <v>.na</v>
      </c>
      <c r="I199" s="1" t="str">
        <f ca="1">IFERROR(__xludf.DUMMYFUNCTION("""COMPUTED_VALUE"""),".na")</f>
        <v>.na</v>
      </c>
      <c r="J199" s="1" t="str">
        <f ca="1">IFERROR(__xludf.DUMMYFUNCTION("""COMPUTED_VALUE"""),"Presence of fruits in the diet")</f>
        <v>Presence of fruits in the diet</v>
      </c>
      <c r="K199" s="1"/>
      <c r="L199" s="8" t="str">
        <f ca="1">IFERROR(__xludf.DUMMYFUNCTION("""COMPUTED_VALUE"""),"https://doi.org/10.1038/s41597-023-02472-w")</f>
        <v>https://doi.org/10.1038/s41597-023-02472-w</v>
      </c>
      <c r="M199" s="1" t="str">
        <f ca="1">IFERROR(__xludf.DUMMYFUNCTION("""COMPUTED_VALUE"""),"Cosentino_2023")</f>
        <v>Cosentino_2023</v>
      </c>
    </row>
    <row r="200" spans="1:13" ht="13.2">
      <c r="A200" s="1" t="str">
        <f ca="1">IFERROR(__xludf.DUMMYFUNCTION("""COMPUTED_VALUE"""),"Leaves")</f>
        <v>Leaves</v>
      </c>
      <c r="B200" s="1"/>
      <c r="C200" s="1"/>
      <c r="D200" s="1"/>
      <c r="E200" s="1" t="str">
        <f ca="1">IFERROR(__xludf.DUMMYFUNCTION("""COMPUTED_VALUE"""),"categorical")</f>
        <v>categorical</v>
      </c>
      <c r="F200" s="1" t="str">
        <f ca="1">IFERROR(__xludf.DUMMYFUNCTION("""COMPUTED_VALUE"""),".na")</f>
        <v>.na</v>
      </c>
      <c r="G200" s="1" t="str">
        <f ca="1">IFERROR(__xludf.DUMMYFUNCTION("""COMPUTED_VALUE"""),"0 = never, 1 = occasional, 2 = typical")</f>
        <v>0 = never, 1 = occasional, 2 = typical</v>
      </c>
      <c r="H200" s="1" t="str">
        <f ca="1">IFERROR(__xludf.DUMMYFUNCTION("""COMPUTED_VALUE"""),".na")</f>
        <v>.na</v>
      </c>
      <c r="I200" s="1" t="str">
        <f ca="1">IFERROR(__xludf.DUMMYFUNCTION("""COMPUTED_VALUE"""),".na")</f>
        <v>.na</v>
      </c>
      <c r="J200" s="1" t="str">
        <f ca="1">IFERROR(__xludf.DUMMYFUNCTION("""COMPUTED_VALUE"""),"Presence of leaves in the diet")</f>
        <v>Presence of leaves in the diet</v>
      </c>
      <c r="K200" s="1"/>
      <c r="L200" s="8" t="str">
        <f ca="1">IFERROR(__xludf.DUMMYFUNCTION("""COMPUTED_VALUE"""),"https://doi.org/10.1038/s41597-023-02472-w")</f>
        <v>https://doi.org/10.1038/s41597-023-02472-w</v>
      </c>
      <c r="M200" s="1" t="str">
        <f ca="1">IFERROR(__xludf.DUMMYFUNCTION("""COMPUTED_VALUE"""),"Cosentino_2023")</f>
        <v>Cosentino_2023</v>
      </c>
    </row>
    <row r="201" spans="1:13" ht="13.2">
      <c r="A201" s="1" t="str">
        <f ca="1">IFERROR(__xludf.DUMMYFUNCTION("""COMPUTED_VALUE"""),"Flowers ")</f>
        <v xml:space="preserve">Flowers </v>
      </c>
      <c r="B201" s="1"/>
      <c r="C201" s="1"/>
      <c r="D201" s="1"/>
      <c r="E201" s="1" t="str">
        <f ca="1">IFERROR(__xludf.DUMMYFUNCTION("""COMPUTED_VALUE"""),"categorical")</f>
        <v>categorical</v>
      </c>
      <c r="F201" s="1" t="str">
        <f ca="1">IFERROR(__xludf.DUMMYFUNCTION("""COMPUTED_VALUE"""),".na")</f>
        <v>.na</v>
      </c>
      <c r="G201" s="1" t="str">
        <f ca="1">IFERROR(__xludf.DUMMYFUNCTION("""COMPUTED_VALUE"""),"0 = never, 1 = occasional, 2 = typical")</f>
        <v>0 = never, 1 = occasional, 2 = typical</v>
      </c>
      <c r="H201" s="1" t="str">
        <f ca="1">IFERROR(__xludf.DUMMYFUNCTION("""COMPUTED_VALUE"""),".na")</f>
        <v>.na</v>
      </c>
      <c r="I201" s="1" t="str">
        <f ca="1">IFERROR(__xludf.DUMMYFUNCTION("""COMPUTED_VALUE"""),".na")</f>
        <v>.na</v>
      </c>
      <c r="J201" s="1" t="str">
        <f ca="1">IFERROR(__xludf.DUMMYFUNCTION("""COMPUTED_VALUE"""),"Presence of flowers in the diet")</f>
        <v>Presence of flowers in the diet</v>
      </c>
      <c r="K201" s="1"/>
      <c r="L201" s="8" t="str">
        <f ca="1">IFERROR(__xludf.DUMMYFUNCTION("""COMPUTED_VALUE"""),"https://doi.org/10.1038/s41597-023-02472-w")</f>
        <v>https://doi.org/10.1038/s41597-023-02472-w</v>
      </c>
      <c r="M201" s="1" t="str">
        <f ca="1">IFERROR(__xludf.DUMMYFUNCTION("""COMPUTED_VALUE"""),"Cosentino_2023")</f>
        <v>Cosentino_2023</v>
      </c>
    </row>
    <row r="202" spans="1:13" ht="13.2">
      <c r="A202" s="1" t="str">
        <f ca="1">IFERROR(__xludf.DUMMYFUNCTION("""COMPUTED_VALUE"""),"Nectar")</f>
        <v>Nectar</v>
      </c>
      <c r="B202" s="1"/>
      <c r="C202" s="1"/>
      <c r="D202" s="1"/>
      <c r="E202" s="1" t="str">
        <f ca="1">IFERROR(__xludf.DUMMYFUNCTION("""COMPUTED_VALUE"""),"categorical")</f>
        <v>categorical</v>
      </c>
      <c r="F202" s="1" t="str">
        <f ca="1">IFERROR(__xludf.DUMMYFUNCTION("""COMPUTED_VALUE"""),".na")</f>
        <v>.na</v>
      </c>
      <c r="G202" s="1" t="str">
        <f ca="1">IFERROR(__xludf.DUMMYFUNCTION("""COMPUTED_VALUE"""),"0 = never, 1 = occasional, 2 = typical")</f>
        <v>0 = never, 1 = occasional, 2 = typical</v>
      </c>
      <c r="H202" s="1" t="str">
        <f ca="1">IFERROR(__xludf.DUMMYFUNCTION("""COMPUTED_VALUE"""),".na")</f>
        <v>.na</v>
      </c>
      <c r="I202" s="1" t="str">
        <f ca="1">IFERROR(__xludf.DUMMYFUNCTION("""COMPUTED_VALUE"""),".na")</f>
        <v>.na</v>
      </c>
      <c r="J202" s="1" t="str">
        <f ca="1">IFERROR(__xludf.DUMMYFUNCTION("""COMPUTED_VALUE"""),"Presence of nectar in the diet")</f>
        <v>Presence of nectar in the diet</v>
      </c>
      <c r="K202" s="1"/>
      <c r="L202" s="8" t="str">
        <f ca="1">IFERROR(__xludf.DUMMYFUNCTION("""COMPUTED_VALUE"""),"https://doi.org/10.1038/s41597-023-02472-w")</f>
        <v>https://doi.org/10.1038/s41597-023-02472-w</v>
      </c>
      <c r="M202" s="1" t="str">
        <f ca="1">IFERROR(__xludf.DUMMYFUNCTION("""COMPUTED_VALUE"""),"Cosentino_2023")</f>
        <v>Cosentino_2023</v>
      </c>
    </row>
    <row r="203" spans="1:13" ht="13.2">
      <c r="A203" s="1" t="str">
        <f ca="1">IFERROR(__xludf.DUMMYFUNCTION("""COMPUTED_VALUE"""),"Insects")</f>
        <v>Insects</v>
      </c>
      <c r="B203" s="1"/>
      <c r="C203" s="1"/>
      <c r="D203" s="1"/>
      <c r="E203" s="1" t="str">
        <f ca="1">IFERROR(__xludf.DUMMYFUNCTION("""COMPUTED_VALUE"""),"categorical")</f>
        <v>categorical</v>
      </c>
      <c r="F203" s="1" t="str">
        <f ca="1">IFERROR(__xludf.DUMMYFUNCTION("""COMPUTED_VALUE"""),".na")</f>
        <v>.na</v>
      </c>
      <c r="G203" s="1" t="str">
        <f ca="1">IFERROR(__xludf.DUMMYFUNCTION("""COMPUTED_VALUE"""),"0 = never, 1 = occasional, 2 = typical")</f>
        <v>0 = never, 1 = occasional, 2 = typical</v>
      </c>
      <c r="H203" s="1" t="str">
        <f ca="1">IFERROR(__xludf.DUMMYFUNCTION("""COMPUTED_VALUE"""),".na")</f>
        <v>.na</v>
      </c>
      <c r="I203" s="1" t="str">
        <f ca="1">IFERROR(__xludf.DUMMYFUNCTION("""COMPUTED_VALUE"""),".na")</f>
        <v>.na</v>
      </c>
      <c r="J203" s="1" t="str">
        <f ca="1">IFERROR(__xludf.DUMMYFUNCTION("""COMPUTED_VALUE"""),"Presence of insects in the diet")</f>
        <v>Presence of insects in the diet</v>
      </c>
      <c r="K203" s="1"/>
      <c r="L203" s="8" t="str">
        <f ca="1">IFERROR(__xludf.DUMMYFUNCTION("""COMPUTED_VALUE"""),"https://doi.org/10.1038/s41597-023-02472-w")</f>
        <v>https://doi.org/10.1038/s41597-023-02472-w</v>
      </c>
      <c r="M203" s="1" t="str">
        <f ca="1">IFERROR(__xludf.DUMMYFUNCTION("""COMPUTED_VALUE"""),"Cosentino_2023")</f>
        <v>Cosentino_2023</v>
      </c>
    </row>
    <row r="204" spans="1:13" ht="13.2">
      <c r="A204" s="1" t="str">
        <f ca="1">IFERROR(__xludf.DUMMYFUNCTION("""COMPUTED_VALUE"""),"Arachnids")</f>
        <v>Arachnids</v>
      </c>
      <c r="B204" s="1"/>
      <c r="C204" s="1"/>
      <c r="D204" s="1"/>
      <c r="E204" s="1" t="str">
        <f ca="1">IFERROR(__xludf.DUMMYFUNCTION("""COMPUTED_VALUE"""),"categorical")</f>
        <v>categorical</v>
      </c>
      <c r="F204" s="1" t="str">
        <f ca="1">IFERROR(__xludf.DUMMYFUNCTION("""COMPUTED_VALUE"""),".na")</f>
        <v>.na</v>
      </c>
      <c r="G204" s="1" t="str">
        <f ca="1">IFERROR(__xludf.DUMMYFUNCTION("""COMPUTED_VALUE"""),"0 = never, 1 = occasional, 2 = typical")</f>
        <v>0 = never, 1 = occasional, 2 = typical</v>
      </c>
      <c r="H204" s="1" t="str">
        <f ca="1">IFERROR(__xludf.DUMMYFUNCTION("""COMPUTED_VALUE"""),".na")</f>
        <v>.na</v>
      </c>
      <c r="I204" s="1" t="str">
        <f ca="1">IFERROR(__xludf.DUMMYFUNCTION("""COMPUTED_VALUE"""),".na")</f>
        <v>.na</v>
      </c>
      <c r="J204" s="1" t="str">
        <f ca="1">IFERROR(__xludf.DUMMYFUNCTION("""COMPUTED_VALUE"""),"Presence of arachnids in the diet")</f>
        <v>Presence of arachnids in the diet</v>
      </c>
      <c r="K204" s="1"/>
      <c r="L204" s="8" t="str">
        <f ca="1">IFERROR(__xludf.DUMMYFUNCTION("""COMPUTED_VALUE"""),"https://doi.org/10.1038/s41597-023-02472-w")</f>
        <v>https://doi.org/10.1038/s41597-023-02472-w</v>
      </c>
      <c r="M204" s="1" t="str">
        <f ca="1">IFERROR(__xludf.DUMMYFUNCTION("""COMPUTED_VALUE"""),"Cosentino_2023")</f>
        <v>Cosentino_2023</v>
      </c>
    </row>
    <row r="205" spans="1:13" ht="13.2">
      <c r="A205" s="1" t="str">
        <f ca="1">IFERROR(__xludf.DUMMYFUNCTION("""COMPUTED_VALUE"""),"Centipedes")</f>
        <v>Centipedes</v>
      </c>
      <c r="B205" s="1"/>
      <c r="C205" s="1"/>
      <c r="D205" s="1"/>
      <c r="E205" s="1" t="str">
        <f ca="1">IFERROR(__xludf.DUMMYFUNCTION("""COMPUTED_VALUE"""),"categorical")</f>
        <v>categorical</v>
      </c>
      <c r="F205" s="1" t="str">
        <f ca="1">IFERROR(__xludf.DUMMYFUNCTION("""COMPUTED_VALUE"""),".na")</f>
        <v>.na</v>
      </c>
      <c r="G205" s="1" t="str">
        <f ca="1">IFERROR(__xludf.DUMMYFUNCTION("""COMPUTED_VALUE"""),"0 = never, 1 = occasional, 2 = typical")</f>
        <v>0 = never, 1 = occasional, 2 = typical</v>
      </c>
      <c r="H205" s="1" t="str">
        <f ca="1">IFERROR(__xludf.DUMMYFUNCTION("""COMPUTED_VALUE"""),".na")</f>
        <v>.na</v>
      </c>
      <c r="I205" s="1" t="str">
        <f ca="1">IFERROR(__xludf.DUMMYFUNCTION("""COMPUTED_VALUE"""),".na")</f>
        <v>.na</v>
      </c>
      <c r="J205" s="1" t="str">
        <f ca="1">IFERROR(__xludf.DUMMYFUNCTION("""COMPUTED_VALUE"""),"Presence of chilopods in the diet")</f>
        <v>Presence of chilopods in the diet</v>
      </c>
      <c r="K205" s="1"/>
      <c r="L205" s="8" t="str">
        <f ca="1">IFERROR(__xludf.DUMMYFUNCTION("""COMPUTED_VALUE"""),"https://doi.org/10.1038/s41597-023-02472-w")</f>
        <v>https://doi.org/10.1038/s41597-023-02472-w</v>
      </c>
      <c r="M205" s="1" t="str">
        <f ca="1">IFERROR(__xludf.DUMMYFUNCTION("""COMPUTED_VALUE"""),"Cosentino_2023")</f>
        <v>Cosentino_2023</v>
      </c>
    </row>
    <row r="206" spans="1:13" ht="13.2">
      <c r="A206" s="1" t="str">
        <f ca="1">IFERROR(__xludf.DUMMYFUNCTION("""COMPUTED_VALUE"""),"Fishes")</f>
        <v>Fishes</v>
      </c>
      <c r="B206" s="1"/>
      <c r="C206" s="1"/>
      <c r="D206" s="1"/>
      <c r="E206" s="1" t="str">
        <f ca="1">IFERROR(__xludf.DUMMYFUNCTION("""COMPUTED_VALUE"""),"categorical")</f>
        <v>categorical</v>
      </c>
      <c r="F206" s="1" t="str">
        <f ca="1">IFERROR(__xludf.DUMMYFUNCTION("""COMPUTED_VALUE"""),".na")</f>
        <v>.na</v>
      </c>
      <c r="G206" s="1" t="str">
        <f ca="1">IFERROR(__xludf.DUMMYFUNCTION("""COMPUTED_VALUE"""),"0 = never, 1 = occasional, 2 = typical")</f>
        <v>0 = never, 1 = occasional, 2 = typical</v>
      </c>
      <c r="H206" s="1" t="str">
        <f ca="1">IFERROR(__xludf.DUMMYFUNCTION("""COMPUTED_VALUE"""),".na")</f>
        <v>.na</v>
      </c>
      <c r="I206" s="1" t="str">
        <f ca="1">IFERROR(__xludf.DUMMYFUNCTION("""COMPUTED_VALUE"""),".na")</f>
        <v>.na</v>
      </c>
      <c r="J206" s="1" t="str">
        <f ca="1">IFERROR(__xludf.DUMMYFUNCTION("""COMPUTED_VALUE"""),"Presence of fishes in the diet")</f>
        <v>Presence of fishes in the diet</v>
      </c>
      <c r="K206" s="1"/>
      <c r="L206" s="8" t="str">
        <f ca="1">IFERROR(__xludf.DUMMYFUNCTION("""COMPUTED_VALUE"""),"https://doi.org/10.1038/s41597-023-02472-w")</f>
        <v>https://doi.org/10.1038/s41597-023-02472-w</v>
      </c>
      <c r="M206" s="1" t="str">
        <f ca="1">IFERROR(__xludf.DUMMYFUNCTION("""COMPUTED_VALUE"""),"Cosentino_2023")</f>
        <v>Cosentino_2023</v>
      </c>
    </row>
    <row r="207" spans="1:13" ht="13.2">
      <c r="A207" s="1" t="str">
        <f ca="1">IFERROR(__xludf.DUMMYFUNCTION("""COMPUTED_VALUE"""),"Amphibians")</f>
        <v>Amphibians</v>
      </c>
      <c r="B207" s="1"/>
      <c r="C207" s="1"/>
      <c r="D207" s="1"/>
      <c r="E207" s="1" t="str">
        <f ca="1">IFERROR(__xludf.DUMMYFUNCTION("""COMPUTED_VALUE"""),"categorical")</f>
        <v>categorical</v>
      </c>
      <c r="F207" s="1" t="str">
        <f ca="1">IFERROR(__xludf.DUMMYFUNCTION("""COMPUTED_VALUE"""),".na")</f>
        <v>.na</v>
      </c>
      <c r="G207" s="1" t="str">
        <f ca="1">IFERROR(__xludf.DUMMYFUNCTION("""COMPUTED_VALUE"""),"0 = never, 1 = occasional, 2 = typical")</f>
        <v>0 = never, 1 = occasional, 2 = typical</v>
      </c>
      <c r="H207" s="1" t="str">
        <f ca="1">IFERROR(__xludf.DUMMYFUNCTION("""COMPUTED_VALUE"""),".na")</f>
        <v>.na</v>
      </c>
      <c r="I207" s="1" t="str">
        <f ca="1">IFERROR(__xludf.DUMMYFUNCTION("""COMPUTED_VALUE"""),".na")</f>
        <v>.na</v>
      </c>
      <c r="J207" s="1" t="str">
        <f ca="1">IFERROR(__xludf.DUMMYFUNCTION("""COMPUTED_VALUE"""),"Presence of amphibians in the diet")</f>
        <v>Presence of amphibians in the diet</v>
      </c>
      <c r="K207" s="1"/>
      <c r="L207" s="8" t="str">
        <f ca="1">IFERROR(__xludf.DUMMYFUNCTION("""COMPUTED_VALUE"""),"https://doi.org/10.1038/s41597-023-02472-w")</f>
        <v>https://doi.org/10.1038/s41597-023-02472-w</v>
      </c>
      <c r="M207" s="1" t="str">
        <f ca="1">IFERROR(__xludf.DUMMYFUNCTION("""COMPUTED_VALUE"""),"Cosentino_2023")</f>
        <v>Cosentino_2023</v>
      </c>
    </row>
    <row r="208" spans="1:13" ht="13.2">
      <c r="A208" s="1" t="str">
        <f ca="1">IFERROR(__xludf.DUMMYFUNCTION("""COMPUTED_VALUE"""),"Reptiles ")</f>
        <v xml:space="preserve">Reptiles </v>
      </c>
      <c r="B208" s="1"/>
      <c r="C208" s="1"/>
      <c r="D208" s="1"/>
      <c r="E208" s="1" t="str">
        <f ca="1">IFERROR(__xludf.DUMMYFUNCTION("""COMPUTED_VALUE"""),"categorical")</f>
        <v>categorical</v>
      </c>
      <c r="F208" s="1" t="str">
        <f ca="1">IFERROR(__xludf.DUMMYFUNCTION("""COMPUTED_VALUE"""),".na")</f>
        <v>.na</v>
      </c>
      <c r="G208" s="1" t="str">
        <f ca="1">IFERROR(__xludf.DUMMYFUNCTION("""COMPUTED_VALUE"""),"0 = never, 1 = occasional, 2 = typical")</f>
        <v>0 = never, 1 = occasional, 2 = typical</v>
      </c>
      <c r="H208" s="1" t="str">
        <f ca="1">IFERROR(__xludf.DUMMYFUNCTION("""COMPUTED_VALUE"""),".na")</f>
        <v>.na</v>
      </c>
      <c r="I208" s="1" t="str">
        <f ca="1">IFERROR(__xludf.DUMMYFUNCTION("""COMPUTED_VALUE"""),".na")</f>
        <v>.na</v>
      </c>
      <c r="J208" s="1" t="str">
        <f ca="1">IFERROR(__xludf.DUMMYFUNCTION("""COMPUTED_VALUE"""),"Presence of reptiles in the diet")</f>
        <v>Presence of reptiles in the diet</v>
      </c>
      <c r="K208" s="1"/>
      <c r="L208" s="8" t="str">
        <f ca="1">IFERROR(__xludf.DUMMYFUNCTION("""COMPUTED_VALUE"""),"https://doi.org/10.1038/s41597-023-02472-w")</f>
        <v>https://doi.org/10.1038/s41597-023-02472-w</v>
      </c>
      <c r="M208" s="1" t="str">
        <f ca="1">IFERROR(__xludf.DUMMYFUNCTION("""COMPUTED_VALUE"""),"Cosentino_2023")</f>
        <v>Cosentino_2023</v>
      </c>
    </row>
    <row r="209" spans="1:13" ht="13.2">
      <c r="A209" s="1" t="str">
        <f ca="1">IFERROR(__xludf.DUMMYFUNCTION("""COMPUTED_VALUE"""),"Birds")</f>
        <v>Birds</v>
      </c>
      <c r="B209" s="1"/>
      <c r="C209" s="1"/>
      <c r="D209" s="1"/>
      <c r="E209" s="1" t="str">
        <f ca="1">IFERROR(__xludf.DUMMYFUNCTION("""COMPUTED_VALUE"""),"categorical")</f>
        <v>categorical</v>
      </c>
      <c r="F209" s="1" t="str">
        <f ca="1">IFERROR(__xludf.DUMMYFUNCTION("""COMPUTED_VALUE"""),".na")</f>
        <v>.na</v>
      </c>
      <c r="G209" s="1" t="str">
        <f ca="1">IFERROR(__xludf.DUMMYFUNCTION("""COMPUTED_VALUE"""),"0 = never, 1 = occasional, 2 = typical")</f>
        <v>0 = never, 1 = occasional, 2 = typical</v>
      </c>
      <c r="H209" s="1" t="str">
        <f ca="1">IFERROR(__xludf.DUMMYFUNCTION("""COMPUTED_VALUE"""),".na")</f>
        <v>.na</v>
      </c>
      <c r="I209" s="1" t="str">
        <f ca="1">IFERROR(__xludf.DUMMYFUNCTION("""COMPUTED_VALUE"""),".na")</f>
        <v>.na</v>
      </c>
      <c r="J209" s="1" t="str">
        <f ca="1">IFERROR(__xludf.DUMMYFUNCTION("""COMPUTED_VALUE"""),"Presence of birds in the diet")</f>
        <v>Presence of birds in the diet</v>
      </c>
      <c r="K209" s="1"/>
      <c r="L209" s="8" t="str">
        <f ca="1">IFERROR(__xludf.DUMMYFUNCTION("""COMPUTED_VALUE"""),"https://doi.org/10.1038/s41597-023-02472-w")</f>
        <v>https://doi.org/10.1038/s41597-023-02472-w</v>
      </c>
      <c r="M209" s="1" t="str">
        <f ca="1">IFERROR(__xludf.DUMMYFUNCTION("""COMPUTED_VALUE"""),"Cosentino_2023")</f>
        <v>Cosentino_2023</v>
      </c>
    </row>
    <row r="210" spans="1:13" ht="13.2">
      <c r="A210" s="1" t="str">
        <f ca="1">IFERROR(__xludf.DUMMYFUNCTION("""COMPUTED_VALUE"""),"Mammals")</f>
        <v>Mammals</v>
      </c>
      <c r="B210" s="1"/>
      <c r="C210" s="1"/>
      <c r="D210" s="1"/>
      <c r="E210" s="1" t="str">
        <f ca="1">IFERROR(__xludf.DUMMYFUNCTION("""COMPUTED_VALUE"""),"categorical")</f>
        <v>categorical</v>
      </c>
      <c r="F210" s="1" t="str">
        <f ca="1">IFERROR(__xludf.DUMMYFUNCTION("""COMPUTED_VALUE"""),".na")</f>
        <v>.na</v>
      </c>
      <c r="G210" s="1" t="str">
        <f ca="1">IFERROR(__xludf.DUMMYFUNCTION("""COMPUTED_VALUE"""),"0 = never, 1 = occasional, 2 = typical")</f>
        <v>0 = never, 1 = occasional, 2 = typical</v>
      </c>
      <c r="H210" s="1" t="str">
        <f ca="1">IFERROR(__xludf.DUMMYFUNCTION("""COMPUTED_VALUE"""),".na")</f>
        <v>.na</v>
      </c>
      <c r="I210" s="1" t="str">
        <f ca="1">IFERROR(__xludf.DUMMYFUNCTION("""COMPUTED_VALUE"""),".na")</f>
        <v>.na</v>
      </c>
      <c r="J210" s="1" t="str">
        <f ca="1">IFERROR(__xludf.DUMMYFUNCTION("""COMPUTED_VALUE"""),"Presence of mammals in the diet")</f>
        <v>Presence of mammals in the diet</v>
      </c>
      <c r="K210" s="1"/>
      <c r="L210" s="8" t="str">
        <f ca="1">IFERROR(__xludf.DUMMYFUNCTION("""COMPUTED_VALUE"""),"https://doi.org/10.1038/s41597-023-02472-w")</f>
        <v>https://doi.org/10.1038/s41597-023-02472-w</v>
      </c>
      <c r="M210" s="1" t="str">
        <f ca="1">IFERROR(__xludf.DUMMYFUNCTION("""COMPUTED_VALUE"""),"Cosentino_2023")</f>
        <v>Cosentino_2023</v>
      </c>
    </row>
    <row r="211" spans="1:13" ht="13.2">
      <c r="A211" s="1" t="str">
        <f ca="1">IFERROR(__xludf.DUMMYFUNCTION("IMPORTRANGE(""https://docs.google.com/spreadsheets/d/1BCbdmKz-Qgtt7rB_ylKiWolmoC4I0weZUT_oqDACokI/edit?gid=339089415#gid=339089415"", ""Froidevaux_2023!D3:P120"")"),"CallBandwidth")</f>
        <v>CallBandwidth</v>
      </c>
      <c r="B211" s="1"/>
      <c r="C211" s="1"/>
      <c r="D211" s="1"/>
      <c r="E211" s="1" t="str">
        <f ca="1">IFERROR(__xludf.DUMMYFUNCTION("""COMPUTED_VALUE"""),"numeric")</f>
        <v>numeric</v>
      </c>
      <c r="F211" s="1" t="str">
        <f ca="1">IFERROR(__xludf.DUMMYFUNCTION("""COMPUTED_VALUE"""),"kHz")</f>
        <v>kHz</v>
      </c>
      <c r="G211" s="1" t="str">
        <f ca="1">IFERROR(__xludf.DUMMYFUNCTION("""COMPUTED_VALUE"""),".na")</f>
        <v>.na</v>
      </c>
      <c r="H211" s="1"/>
      <c r="I211" s="1"/>
      <c r="J211" s="1" t="str">
        <f ca="1">IFERROR(__xludf.DUMMYFUNCTION("""COMPUTED_VALUE"""),"The range of frequencies through which an echolocation call sweeps")</f>
        <v>The range of frequencies through which an echolocation call sweeps</v>
      </c>
      <c r="K211" s="1"/>
      <c r="L211" s="8" t="str">
        <f ca="1">IFERROR(__xludf.DUMMYFUNCTION("""COMPUTED_VALUE"""),"https://doi.org/10.1038/s41597-023-02157-4")</f>
        <v>https://doi.org/10.1038/s41597-023-02157-4</v>
      </c>
      <c r="M211" s="1" t="str">
        <f ca="1">IFERROR(__xludf.DUMMYFUNCTION("""COMPUTED_VALUE"""),"Froidevaux_2023")</f>
        <v>Froidevaux_2023</v>
      </c>
    </row>
    <row r="212" spans="1:13" ht="13.2">
      <c r="A212" s="1" t="str">
        <f ca="1">IFERROR(__xludf.DUMMYFUNCTION("""COMPUTED_VALUE"""),"CallDuration")</f>
        <v>CallDuration</v>
      </c>
      <c r="B212" s="1"/>
      <c r="C212" s="1"/>
      <c r="D212" s="1"/>
      <c r="E212" s="1" t="str">
        <f ca="1">IFERROR(__xludf.DUMMYFUNCTION("""COMPUTED_VALUE"""),"numeric")</f>
        <v>numeric</v>
      </c>
      <c r="F212" s="1" t="str">
        <f ca="1">IFERROR(__xludf.DUMMYFUNCTION("""COMPUTED_VALUE"""),"ms")</f>
        <v>ms</v>
      </c>
      <c r="G212" s="1" t="str">
        <f ca="1">IFERROR(__xludf.DUMMYFUNCTION("""COMPUTED_VALUE"""),".na")</f>
        <v>.na</v>
      </c>
      <c r="H212" s="1"/>
      <c r="I212" s="1"/>
      <c r="J212" s="1" t="str">
        <f ca="1">IFERROR(__xludf.DUMMYFUNCTION("""COMPUTED_VALUE"""),"Duration of a call")</f>
        <v>Duration of a call</v>
      </c>
      <c r="K212" s="1"/>
      <c r="L212" s="8" t="str">
        <f ca="1">IFERROR(__xludf.DUMMYFUNCTION("""COMPUTED_VALUE"""),"https://doi.org/10.1038/s41597-023-02157-4")</f>
        <v>https://doi.org/10.1038/s41597-023-02157-4</v>
      </c>
      <c r="M212" s="1" t="str">
        <f ca="1">IFERROR(__xludf.DUMMYFUNCTION("""COMPUTED_VALUE"""),"Froidevaux_2023")</f>
        <v>Froidevaux_2023</v>
      </c>
    </row>
    <row r="213" spans="1:13" ht="13.2">
      <c r="A213" s="1" t="str">
        <f ca="1">IFERROR(__xludf.DUMMYFUNCTION("""COMPUTED_VALUE"""),"CallEndFrequency")</f>
        <v>CallEndFrequency</v>
      </c>
      <c r="B213" s="1"/>
      <c r="C213" s="1"/>
      <c r="D213" s="1"/>
      <c r="E213" s="1" t="str">
        <f ca="1">IFERROR(__xludf.DUMMYFUNCTION("""COMPUTED_VALUE"""),"numeric")</f>
        <v>numeric</v>
      </c>
      <c r="F213" s="1" t="str">
        <f ca="1">IFERROR(__xludf.DUMMYFUNCTION("""COMPUTED_VALUE"""),"kHz")</f>
        <v>kHz</v>
      </c>
      <c r="G213" s="1" t="str">
        <f ca="1">IFERROR(__xludf.DUMMYFUNCTION("""COMPUTED_VALUE"""),".na")</f>
        <v>.na</v>
      </c>
      <c r="H213" s="1"/>
      <c r="I213" s="1"/>
      <c r="J213" s="1" t="str">
        <f ca="1">IFERROR(__xludf.DUMMYFUNCTION("""COMPUTED_VALUE"""),"Frequency value measured at the end of the call")</f>
        <v>Frequency value measured at the end of the call</v>
      </c>
      <c r="K213" s="1"/>
      <c r="L213" s="8" t="str">
        <f ca="1">IFERROR(__xludf.DUMMYFUNCTION("""COMPUTED_VALUE"""),"https://doi.org/10.1038/s41597-023-02157-4")</f>
        <v>https://doi.org/10.1038/s41597-023-02157-4</v>
      </c>
      <c r="M213" s="1" t="str">
        <f ca="1">IFERROR(__xludf.DUMMYFUNCTION("""COMPUTED_VALUE"""),"Froidevaux_2023")</f>
        <v>Froidevaux_2023</v>
      </c>
    </row>
    <row r="214" spans="1:13" ht="13.2">
      <c r="A214" s="1" t="str">
        <f ca="1">IFERROR(__xludf.DUMMYFUNCTION("""COMPUTED_VALUE"""),"InterpulseInterval")</f>
        <v>InterpulseInterval</v>
      </c>
      <c r="B214" s="1"/>
      <c r="C214" s="1"/>
      <c r="D214" s="1"/>
      <c r="E214" s="1" t="str">
        <f ca="1">IFERROR(__xludf.DUMMYFUNCTION("""COMPUTED_VALUE"""),"numeric")</f>
        <v>numeric</v>
      </c>
      <c r="F214" s="1" t="str">
        <f ca="1">IFERROR(__xludf.DUMMYFUNCTION("""COMPUTED_VALUE"""),"ms")</f>
        <v>ms</v>
      </c>
      <c r="G214" s="1" t="str">
        <f ca="1">IFERROR(__xludf.DUMMYFUNCTION("""COMPUTED_VALUE"""),".na")</f>
        <v>.na</v>
      </c>
      <c r="H214" s="1"/>
      <c r="I214" s="1"/>
      <c r="J214" s="1" t="str">
        <f ca="1">IFERROR(__xludf.DUMMYFUNCTION("""COMPUTED_VALUE"""),"Time interval between two consecutive calls")</f>
        <v>Time interval between two consecutive calls</v>
      </c>
      <c r="K214" s="1"/>
      <c r="L214" s="8" t="str">
        <f ca="1">IFERROR(__xludf.DUMMYFUNCTION("""COMPUTED_VALUE"""),"https://doi.org/10.1038/s41597-023-02157-4")</f>
        <v>https://doi.org/10.1038/s41597-023-02157-4</v>
      </c>
      <c r="M214" s="1" t="str">
        <f ca="1">IFERROR(__xludf.DUMMYFUNCTION("""COMPUTED_VALUE"""),"Froidevaux_2023")</f>
        <v>Froidevaux_2023</v>
      </c>
    </row>
    <row r="215" spans="1:13" ht="13.2">
      <c r="A215" s="1" t="str">
        <f ca="1">IFERROR(__xludf.DUMMYFUNCTION("""COMPUTED_VALUE"""),"CallMaxFrequency")</f>
        <v>CallMaxFrequency</v>
      </c>
      <c r="B215" s="1"/>
      <c r="C215" s="1"/>
      <c r="D215" s="1"/>
      <c r="E215" s="1" t="str">
        <f ca="1">IFERROR(__xludf.DUMMYFUNCTION("""COMPUTED_VALUE"""),"numeric")</f>
        <v>numeric</v>
      </c>
      <c r="F215" s="1" t="str">
        <f ca="1">IFERROR(__xludf.DUMMYFUNCTION("""COMPUTED_VALUE"""),"kHz")</f>
        <v>kHz</v>
      </c>
      <c r="G215" s="1" t="str">
        <f ca="1">IFERROR(__xludf.DUMMYFUNCTION("""COMPUTED_VALUE"""),".na")</f>
        <v>.na</v>
      </c>
      <c r="H215" s="1"/>
      <c r="I215" s="1"/>
      <c r="J215" s="1" t="str">
        <f ca="1">IFERROR(__xludf.DUMMYFUNCTION("""COMPUTED_VALUE"""),"Maximum frequency value of the call")</f>
        <v>Maximum frequency value of the call</v>
      </c>
      <c r="K215" s="1"/>
      <c r="L215" s="8" t="str">
        <f ca="1">IFERROR(__xludf.DUMMYFUNCTION("""COMPUTED_VALUE"""),"https://doi.org/10.1038/s41597-023-02157-4")</f>
        <v>https://doi.org/10.1038/s41597-023-02157-4</v>
      </c>
      <c r="M215" s="1" t="str">
        <f ca="1">IFERROR(__xludf.DUMMYFUNCTION("""COMPUTED_VALUE"""),"Froidevaux_2023")</f>
        <v>Froidevaux_2023</v>
      </c>
    </row>
    <row r="216" spans="1:13" ht="13.2">
      <c r="A216" s="1" t="str">
        <f ca="1">IFERROR(__xludf.DUMMYFUNCTION("""COMPUTED_VALUE"""),"CallMidFrequency")</f>
        <v>CallMidFrequency</v>
      </c>
      <c r="B216" s="1"/>
      <c r="C216" s="1"/>
      <c r="D216" s="1"/>
      <c r="E216" s="1" t="str">
        <f ca="1">IFERROR(__xludf.DUMMYFUNCTION("""COMPUTED_VALUE"""),"numeric")</f>
        <v>numeric</v>
      </c>
      <c r="F216" s="1" t="str">
        <f ca="1">IFERROR(__xludf.DUMMYFUNCTION("""COMPUTED_VALUE"""),"kHz")</f>
        <v>kHz</v>
      </c>
      <c r="G216" s="1" t="str">
        <f ca="1">IFERROR(__xludf.DUMMYFUNCTION("""COMPUTED_VALUE"""),".na")</f>
        <v>.na</v>
      </c>
      <c r="H216" s="1"/>
      <c r="I216" s="1"/>
      <c r="J216" s="1" t="str">
        <f ca="1">IFERROR(__xludf.DUMMYFUNCTION("""COMPUTED_VALUE"""),"Frequency of highest energy taken at half call duration")</f>
        <v>Frequency of highest energy taken at half call duration</v>
      </c>
      <c r="K216" s="1"/>
      <c r="L216" s="8" t="str">
        <f ca="1">IFERROR(__xludf.DUMMYFUNCTION("""COMPUTED_VALUE"""),"https://doi.org/10.1038/s41597-023-02157-4")</f>
        <v>https://doi.org/10.1038/s41597-023-02157-4</v>
      </c>
      <c r="M216" s="1" t="str">
        <f ca="1">IFERROR(__xludf.DUMMYFUNCTION("""COMPUTED_VALUE"""),"Froidevaux_2023")</f>
        <v>Froidevaux_2023</v>
      </c>
    </row>
    <row r="217" spans="1:13" ht="13.2">
      <c r="A217" s="1" t="str">
        <f ca="1">IFERROR(__xludf.DUMMYFUNCTION("""COMPUTED_VALUE"""),"CallMinFrequency")</f>
        <v>CallMinFrequency</v>
      </c>
      <c r="B217" s="1"/>
      <c r="C217" s="1"/>
      <c r="D217" s="1"/>
      <c r="E217" s="1" t="str">
        <f ca="1">IFERROR(__xludf.DUMMYFUNCTION("""COMPUTED_VALUE"""),"numeric")</f>
        <v>numeric</v>
      </c>
      <c r="F217" s="1" t="str">
        <f ca="1">IFERROR(__xludf.DUMMYFUNCTION("""COMPUTED_VALUE"""),"kHz")</f>
        <v>kHz</v>
      </c>
      <c r="G217" s="1" t="str">
        <f ca="1">IFERROR(__xludf.DUMMYFUNCTION("""COMPUTED_VALUE"""),".na")</f>
        <v>.na</v>
      </c>
      <c r="H217" s="1"/>
      <c r="I217" s="1"/>
      <c r="J217" s="1" t="str">
        <f ca="1">IFERROR(__xludf.DUMMYFUNCTION("""COMPUTED_VALUE"""),"Minimum frequency value of the call")</f>
        <v>Minimum frequency value of the call</v>
      </c>
      <c r="K217" s="1"/>
      <c r="L217" s="8" t="str">
        <f ca="1">IFERROR(__xludf.DUMMYFUNCTION("""COMPUTED_VALUE"""),"https://doi.org/10.1038/s41597-023-02157-4")</f>
        <v>https://doi.org/10.1038/s41597-023-02157-4</v>
      </c>
      <c r="M217" s="1" t="str">
        <f ca="1">IFERROR(__xludf.DUMMYFUNCTION("""COMPUTED_VALUE"""),"Froidevaux_2023")</f>
        <v>Froidevaux_2023</v>
      </c>
    </row>
    <row r="218" spans="1:13" ht="13.2">
      <c r="A218" s="1" t="str">
        <f ca="1">IFERROR(__xludf.DUMMYFUNCTION("""COMPUTED_VALUE"""),"CallPeakFrequency")</f>
        <v>CallPeakFrequency</v>
      </c>
      <c r="B218" s="1"/>
      <c r="C218" s="1"/>
      <c r="D218" s="1"/>
      <c r="E218" s="1" t="str">
        <f ca="1">IFERROR(__xludf.DUMMYFUNCTION("""COMPUTED_VALUE"""),"numeric")</f>
        <v>numeric</v>
      </c>
      <c r="F218" s="1" t="str">
        <f ca="1">IFERROR(__xludf.DUMMYFUNCTION("""COMPUTED_VALUE"""),"kHz")</f>
        <v>kHz</v>
      </c>
      <c r="G218" s="1" t="str">
        <f ca="1">IFERROR(__xludf.DUMMYFUNCTION("""COMPUTED_VALUE"""),".na")</f>
        <v>.na</v>
      </c>
      <c r="H218" s="1"/>
      <c r="I218" s="1"/>
      <c r="J218" s="1" t="str">
        <f ca="1">IFERROR(__xludf.DUMMYFUNCTION("""COMPUTED_VALUE"""),"Frequency with the greatest amount of energy in a call")</f>
        <v>Frequency with the greatest amount of energy in a call</v>
      </c>
      <c r="K218" s="1"/>
      <c r="L218" s="8" t="str">
        <f ca="1">IFERROR(__xludf.DUMMYFUNCTION("""COMPUTED_VALUE"""),"https://doi.org/10.1038/s41597-023-02157-4")</f>
        <v>https://doi.org/10.1038/s41597-023-02157-4</v>
      </c>
      <c r="M218" s="1" t="str">
        <f ca="1">IFERROR(__xludf.DUMMYFUNCTION("""COMPUTED_VALUE"""),"Froidevaux_2023")</f>
        <v>Froidevaux_2023</v>
      </c>
    </row>
    <row r="219" spans="1:13" ht="13.2">
      <c r="A219" s="1" t="str">
        <f ca="1">IFERROR(__xludf.DUMMYFUNCTION("""COMPUTED_VALUE"""),"CallSlope")</f>
        <v>CallSlope</v>
      </c>
      <c r="B219" s="1"/>
      <c r="C219" s="1"/>
      <c r="D219" s="1"/>
      <c r="E219" s="1" t="str">
        <f ca="1">IFERROR(__xludf.DUMMYFUNCTION("""COMPUTED_VALUE"""),"numeric")</f>
        <v>numeric</v>
      </c>
      <c r="F219" s="1" t="str">
        <f ca="1">IFERROR(__xludf.DUMMYFUNCTION("""COMPUTED_VALUE"""),"kHz/ms")</f>
        <v>kHz/ms</v>
      </c>
      <c r="G219" s="1" t="str">
        <f ca="1">IFERROR(__xludf.DUMMYFUNCTION("""COMPUTED_VALUE"""),".na")</f>
        <v>.na</v>
      </c>
      <c r="H219" s="1"/>
      <c r="I219" s="1"/>
      <c r="J219" s="1" t="str">
        <f ca="1">IFERROR(__xludf.DUMMYFUNCTION("""COMPUTED_VALUE"""),"Total slope of the call, calculated from the difference in frequency and time from the point of highest frequency to the point of the characteristic frequency")</f>
        <v>Total slope of the call, calculated from the difference in frequency and time from the point of highest frequency to the point of the characteristic frequency</v>
      </c>
      <c r="K219" s="1"/>
      <c r="L219" s="8" t="str">
        <f ca="1">IFERROR(__xludf.DUMMYFUNCTION("""COMPUTED_VALUE"""),"https://doi.org/10.1038/s41597-023-02157-4")</f>
        <v>https://doi.org/10.1038/s41597-023-02157-4</v>
      </c>
      <c r="M219" s="1" t="str">
        <f ca="1">IFERROR(__xludf.DUMMYFUNCTION("""COMPUTED_VALUE"""),"Froidevaux_2023")</f>
        <v>Froidevaux_2023</v>
      </c>
    </row>
    <row r="220" spans="1:13" ht="13.2">
      <c r="A220" s="1" t="str">
        <f ca="1">IFERROR(__xludf.DUMMYFUNCTION("""COMPUTED_VALUE"""),"CallStartFrequency")</f>
        <v>CallStartFrequency</v>
      </c>
      <c r="B220" s="1"/>
      <c r="C220" s="1"/>
      <c r="D220" s="1"/>
      <c r="E220" s="1" t="str">
        <f ca="1">IFERROR(__xludf.DUMMYFUNCTION("""COMPUTED_VALUE"""),"numeric")</f>
        <v>numeric</v>
      </c>
      <c r="F220" s="1" t="str">
        <f ca="1">IFERROR(__xludf.DUMMYFUNCTION("""COMPUTED_VALUE"""),"kHz")</f>
        <v>kHz</v>
      </c>
      <c r="G220" s="1" t="str">
        <f ca="1">IFERROR(__xludf.DUMMYFUNCTION("""COMPUTED_VALUE"""),".na")</f>
        <v>.na</v>
      </c>
      <c r="H220" s="1"/>
      <c r="I220" s="1"/>
      <c r="J220" s="1" t="str">
        <f ca="1">IFERROR(__xludf.DUMMYFUNCTION("""COMPUTED_VALUE"""),"Frequency value measured at the beginning of the call")</f>
        <v>Frequency value measured at the beginning of the call</v>
      </c>
      <c r="K220" s="1"/>
      <c r="L220" s="8" t="str">
        <f ca="1">IFERROR(__xludf.DUMMYFUNCTION("""COMPUTED_VALUE"""),"https://doi.org/10.1038/s41597-023-02157-4")</f>
        <v>https://doi.org/10.1038/s41597-023-02157-4</v>
      </c>
      <c r="M220" s="1" t="str">
        <f ca="1">IFERROR(__xludf.DUMMYFUNCTION("""COMPUTED_VALUE"""),"Froidevaux_2023")</f>
        <v>Froidevaux_2023</v>
      </c>
    </row>
    <row r="221" spans="1:13" ht="13.2">
      <c r="A221" s="1" t="str">
        <f ca="1">IFERROR(__xludf.DUMMYFUNCTION("""COMPUTED_VALUE"""),"rateBuzz")</f>
        <v>rateBuzz</v>
      </c>
      <c r="B221" s="1"/>
      <c r="C221" s="1"/>
      <c r="D221" s="1"/>
      <c r="E221" s="1" t="str">
        <f ca="1">IFERROR(__xludf.DUMMYFUNCTION("""COMPUTED_VALUE"""),"numeric")</f>
        <v>numeric</v>
      </c>
      <c r="F221" s="1" t="str">
        <f ca="1">IFERROR(__xludf.DUMMYFUNCTION("""COMPUTED_VALUE"""),"Number_of_buzzes/hour")</f>
        <v>Number_of_buzzes/hour</v>
      </c>
      <c r="G221" s="1" t="str">
        <f ca="1">IFERROR(__xludf.DUMMYFUNCTION("""COMPUTED_VALUE"""),".na")</f>
        <v>.na</v>
      </c>
      <c r="H221" s="1"/>
      <c r="I221" s="1"/>
      <c r="J221" s="1" t="str">
        <f ca="1">IFERROR(__xludf.DUMMYFUNCTION("""COMPUTED_VALUE"""),"Number of feeding buzzes per hour")</f>
        <v>Number of feeding buzzes per hour</v>
      </c>
      <c r="K221" s="1"/>
      <c r="L221" s="8" t="str">
        <f ca="1">IFERROR(__xludf.DUMMYFUNCTION("""COMPUTED_VALUE"""),"https://doi.org/10.1038/s41597-023-02157-4")</f>
        <v>https://doi.org/10.1038/s41597-023-02157-4</v>
      </c>
      <c r="M221" s="1" t="str">
        <f ca="1">IFERROR(__xludf.DUMMYFUNCTION("""COMPUTED_VALUE"""),"Froidevaux_2023")</f>
        <v>Froidevaux_2023</v>
      </c>
    </row>
    <row r="222" spans="1:13" ht="13.2">
      <c r="A222" s="1" t="str">
        <f ca="1">IFERROR(__xludf.DUMMYFUNCTION("""COMPUTED_VALUE"""),"buzzDuration")</f>
        <v>buzzDuration</v>
      </c>
      <c r="B222" s="1"/>
      <c r="C222" s="1"/>
      <c r="D222" s="1"/>
      <c r="E222" s="1" t="str">
        <f ca="1">IFERROR(__xludf.DUMMYFUNCTION("""COMPUTED_VALUE"""),"numeric")</f>
        <v>numeric</v>
      </c>
      <c r="F222" s="1" t="str">
        <f ca="1">IFERROR(__xludf.DUMMYFUNCTION("""COMPUTED_VALUE"""),"ms")</f>
        <v>ms</v>
      </c>
      <c r="G222" s="1" t="str">
        <f ca="1">IFERROR(__xludf.DUMMYFUNCTION("""COMPUTED_VALUE"""),".na")</f>
        <v>.na</v>
      </c>
      <c r="H222" s="1"/>
      <c r="I222" s="1"/>
      <c r="J222" s="1" t="str">
        <f ca="1">IFERROR(__xludf.DUMMYFUNCTION("""COMPUTED_VALUE"""),"Duration of a feeding buzz (including pre-buzz phase)")</f>
        <v>Duration of a feeding buzz (including pre-buzz phase)</v>
      </c>
      <c r="K222" s="1"/>
      <c r="L222" s="8" t="str">
        <f ca="1">IFERROR(__xludf.DUMMYFUNCTION("""COMPUTED_VALUE"""),"https://doi.org/10.1038/s41597-023-02157-4")</f>
        <v>https://doi.org/10.1038/s41597-023-02157-4</v>
      </c>
      <c r="M222" s="1" t="str">
        <f ca="1">IFERROR(__xludf.DUMMYFUNCTION("""COMPUTED_VALUE"""),"Froidevaux_2023")</f>
        <v>Froidevaux_2023</v>
      </c>
    </row>
    <row r="223" spans="1:13" ht="13.2">
      <c r="A223" s="1" t="str">
        <f ca="1">IFERROR(__xludf.DUMMYFUNCTION("""COMPUTED_VALUE"""),"buzzPeakFrequency")</f>
        <v>buzzPeakFrequency</v>
      </c>
      <c r="B223" s="1"/>
      <c r="C223" s="1"/>
      <c r="D223" s="1"/>
      <c r="E223" s="1" t="str">
        <f ca="1">IFERROR(__xludf.DUMMYFUNCTION("""COMPUTED_VALUE"""),"numeric")</f>
        <v>numeric</v>
      </c>
      <c r="F223" s="1" t="str">
        <f ca="1">IFERROR(__xludf.DUMMYFUNCTION("""COMPUTED_VALUE"""),"kHz")</f>
        <v>kHz</v>
      </c>
      <c r="G223" s="1" t="str">
        <f ca="1">IFERROR(__xludf.DUMMYFUNCTION("""COMPUTED_VALUE"""),".na")</f>
        <v>.na</v>
      </c>
      <c r="H223" s="1"/>
      <c r="I223" s="1"/>
      <c r="J223" s="1" t="str">
        <f ca="1">IFERROR(__xludf.DUMMYFUNCTION("""COMPUTED_VALUE"""),"Frequency with the greatest amount of energy in a feeding buzz call")</f>
        <v>Frequency with the greatest amount of energy in a feeding buzz call</v>
      </c>
      <c r="K223" s="1"/>
      <c r="L223" s="8" t="str">
        <f ca="1">IFERROR(__xludf.DUMMYFUNCTION("""COMPUTED_VALUE"""),"https://doi.org/10.1038/s41597-023-02157-4")</f>
        <v>https://doi.org/10.1038/s41597-023-02157-4</v>
      </c>
      <c r="M223" s="1" t="str">
        <f ca="1">IFERROR(__xludf.DUMMYFUNCTION("""COMPUTED_VALUE"""),"Froidevaux_2023")</f>
        <v>Froidevaux_2023</v>
      </c>
    </row>
    <row r="224" spans="1:13" ht="13.2">
      <c r="A224" s="1" t="str">
        <f ca="1">IFERROR(__xludf.DUMMYFUNCTION("""COMPUTED_VALUE"""),"CallType")</f>
        <v>CallType</v>
      </c>
      <c r="B224" s="1"/>
      <c r="C224" s="1"/>
      <c r="D224" s="1"/>
      <c r="E224" s="1" t="str">
        <f ca="1">IFERROR(__xludf.DUMMYFUNCTION("""COMPUTED_VALUE"""),"categorical")</f>
        <v>categorical</v>
      </c>
      <c r="F224" s="1" t="str">
        <f ca="1">IFERROR(__xludf.DUMMYFUNCTION("""COMPUTED_VALUE"""),".na")</f>
        <v>.na</v>
      </c>
      <c r="G224" s="1" t="str">
        <f ca="1">IFERROR(__xludf.DUMMYFUNCTION("""COMPUTED_VALUE"""),"FM (frequency modulated), FM/QCF (frequency modulated or quasi-constant frequency), CF+FM constant-frequency with modulated frequency components)")</f>
        <v>FM (frequency modulated), FM/QCF (frequency modulated or quasi-constant frequency), CF+FM constant-frequency with modulated frequency components)</v>
      </c>
      <c r="H224" s="1" t="str">
        <f ca="1">IFERROR(__xludf.DUMMYFUNCTION("""COMPUTED_VALUE"""),".na")</f>
        <v>.na</v>
      </c>
      <c r="I224" s="1" t="str">
        <f ca="1">IFERROR(__xludf.DUMMYFUNCTION("""COMPUTED_VALUE"""),".na")</f>
        <v>.na</v>
      </c>
      <c r="J224" s="1" t="str">
        <f ca="1">IFERROR(__xludf.DUMMYFUNCTION("""COMPUTED_VALUE"""),"Call type: FM (frequency modulated), FM/QCF (frequency modulated or quasi-constant frequency), CF+FM constant-frequency with modulated frequency components)")</f>
        <v>Call type: FM (frequency modulated), FM/QCF (frequency modulated or quasi-constant frequency), CF+FM constant-frequency with modulated frequency components)</v>
      </c>
      <c r="K224" s="1"/>
      <c r="L224" s="8" t="str">
        <f ca="1">IFERROR(__xludf.DUMMYFUNCTION("""COMPUTED_VALUE"""),"https://doi.org/10.1038/s41597-023-02157-4")</f>
        <v>https://doi.org/10.1038/s41597-023-02157-4</v>
      </c>
      <c r="M224" s="1" t="str">
        <f ca="1">IFERROR(__xludf.DUMMYFUNCTION("""COMPUTED_VALUE"""),"Froidevaux_2023")</f>
        <v>Froidevaux_2023</v>
      </c>
    </row>
    <row r="225" spans="1:13" ht="13.2">
      <c r="A225" s="1" t="str">
        <f ca="1">IFERROR(__xludf.DUMMYFUNCTION("""COMPUTED_VALUE"""),"MaxLongevity")</f>
        <v>MaxLongevity</v>
      </c>
      <c r="B225" s="1"/>
      <c r="C225" s="1"/>
      <c r="D225" s="1"/>
      <c r="E225" s="1" t="str">
        <f ca="1">IFERROR(__xludf.DUMMYFUNCTION("""COMPUTED_VALUE"""),"numeric")</f>
        <v>numeric</v>
      </c>
      <c r="F225" s="1" t="str">
        <f ca="1">IFERROR(__xludf.DUMMYFUNCTION("""COMPUTED_VALUE"""),"years")</f>
        <v>years</v>
      </c>
      <c r="G225" s="1" t="str">
        <f ca="1">IFERROR(__xludf.DUMMYFUNCTION("""COMPUTED_VALUE"""),".na")</f>
        <v>.na</v>
      </c>
      <c r="H225" s="1"/>
      <c r="I225" s="1"/>
      <c r="J225" s="1" t="str">
        <f ca="1">IFERROR(__xludf.DUMMYFUNCTION("""COMPUTED_VALUE"""),"Maximum record of longevity in the wild")</f>
        <v>Maximum record of longevity in the wild</v>
      </c>
      <c r="K225" s="1"/>
      <c r="L225" s="8" t="str">
        <f ca="1">IFERROR(__xludf.DUMMYFUNCTION("""COMPUTED_VALUE"""),"https://doi.org/10.1038/s41597-023-02157-4")</f>
        <v>https://doi.org/10.1038/s41597-023-02157-4</v>
      </c>
      <c r="M225" s="1" t="str">
        <f ca="1">IFERROR(__xludf.DUMMYFUNCTION("""COMPUTED_VALUE"""),"Froidevaux_2023")</f>
        <v>Froidevaux_2023</v>
      </c>
    </row>
    <row r="226" spans="1:13" ht="13.2">
      <c r="A226" s="1" t="str">
        <f ca="1">IFERROR(__xludf.DUMMYFUNCTION("""COMPUTED_VALUE"""),"FirstMainPreyItem")</f>
        <v>FirstMainPreyItem</v>
      </c>
      <c r="B226" s="1"/>
      <c r="C226" s="1"/>
      <c r="D226" s="1"/>
      <c r="E226" s="1" t="str">
        <f ca="1">IFERROR(__xludf.DUMMYFUNCTION("""COMPUTED_VALUE"""),"categorical")</f>
        <v>categorical</v>
      </c>
      <c r="F226" s="1" t="str">
        <f ca="1">IFERROR(__xludf.DUMMYFUNCTION("""COMPUTED_VALUE"""),".na")</f>
        <v>.na</v>
      </c>
      <c r="G226" s="1" t="str">
        <f ca="1">IFERROR(__xludf.DUMMYFUNCTION("""COMPUTED_VALUE"""),"Lepidoptera, Coleoptera, Diptera, Trichoptera, Hymenoptera, Orthoptera, Arachnida")</f>
        <v>Lepidoptera, Coleoptera, Diptera, Trichoptera, Hymenoptera, Orthoptera, Arachnida</v>
      </c>
      <c r="H226" s="1" t="str">
        <f ca="1">IFERROR(__xludf.DUMMYFUNCTION("""COMPUTED_VALUE"""),".na")</f>
        <v>.na</v>
      </c>
      <c r="I226" s="1" t="str">
        <f ca="1">IFERROR(__xludf.DUMMYFUNCTION("""COMPUTED_VALUE"""),".na")</f>
        <v>.na</v>
      </c>
      <c r="J226" s="1" t="str">
        <f ca="1">IFERROR(__xludf.DUMMYFUNCTION("""COMPUTED_VALUE"""),"Order of the main prey item: Lepidoptera, Coleoptera, Diptera, Trichoptera, Hymenoptera, Orthoptera, Arachnida")</f>
        <v>Order of the main prey item: Lepidoptera, Coleoptera, Diptera, Trichoptera, Hymenoptera, Orthoptera, Arachnida</v>
      </c>
      <c r="K226" s="1"/>
      <c r="L226" s="8" t="str">
        <f ca="1">IFERROR(__xludf.DUMMYFUNCTION("""COMPUTED_VALUE"""),"https://doi.org/10.1038/s41597-023-02157-4")</f>
        <v>https://doi.org/10.1038/s41597-023-02157-4</v>
      </c>
      <c r="M226" s="1" t="str">
        <f ca="1">IFERROR(__xludf.DUMMYFUNCTION("""COMPUTED_VALUE"""),"Froidevaux_2023")</f>
        <v>Froidevaux_2023</v>
      </c>
    </row>
    <row r="227" spans="1:13" ht="13.2">
      <c r="A227" s="1" t="str">
        <f ca="1">IFERROR(__xludf.DUMMYFUNCTION("""COMPUTED_VALUE"""),"SecondMainPreyItem")</f>
        <v>SecondMainPreyItem</v>
      </c>
      <c r="B227" s="1"/>
      <c r="C227" s="1"/>
      <c r="D227" s="1"/>
      <c r="E227" s="1" t="str">
        <f ca="1">IFERROR(__xludf.DUMMYFUNCTION("""COMPUTED_VALUE"""),"categorical")</f>
        <v>categorical</v>
      </c>
      <c r="F227" s="1" t="str">
        <f ca="1">IFERROR(__xludf.DUMMYFUNCTION("""COMPUTED_VALUE"""),".na")</f>
        <v>.na</v>
      </c>
      <c r="G227" s="1" t="str">
        <f ca="1">IFERROR(__xludf.DUMMYFUNCTION("""COMPUTED_VALUE"""),"Lepidoptera, Coleoptera, Diptera, Trichoptera, Hymenoptera, Orthoptera, Arachnida")</f>
        <v>Lepidoptera, Coleoptera, Diptera, Trichoptera, Hymenoptera, Orthoptera, Arachnida</v>
      </c>
      <c r="H227" s="1" t="str">
        <f ca="1">IFERROR(__xludf.DUMMYFUNCTION("""COMPUTED_VALUE"""),".na")</f>
        <v>.na</v>
      </c>
      <c r="I227" s="1" t="str">
        <f ca="1">IFERROR(__xludf.DUMMYFUNCTION("""COMPUTED_VALUE"""),".na")</f>
        <v>.na</v>
      </c>
      <c r="J227" s="1" t="str">
        <f ca="1">IFERROR(__xludf.DUMMYFUNCTION("""COMPUTED_VALUE"""),"Order of the second main prey item: Lepidoptera, Coleoptera, Diptera, Trichoptera, Hymenoptera, Orthoptera, Arachnida")</f>
        <v>Order of the second main prey item: Lepidoptera, Coleoptera, Diptera, Trichoptera, Hymenoptera, Orthoptera, Arachnida</v>
      </c>
      <c r="K227" s="1"/>
      <c r="L227" s="8" t="str">
        <f ca="1">IFERROR(__xludf.DUMMYFUNCTION("""COMPUTED_VALUE"""),"https://doi.org/10.1038/s41597-023-02157-4")</f>
        <v>https://doi.org/10.1038/s41597-023-02157-4</v>
      </c>
      <c r="M227" s="1" t="str">
        <f ca="1">IFERROR(__xludf.DUMMYFUNCTION("""COMPUTED_VALUE"""),"Froidevaux_2023")</f>
        <v>Froidevaux_2023</v>
      </c>
    </row>
    <row r="228" spans="1:13" ht="13.2">
      <c r="A228" s="1" t="str">
        <f ca="1">IFERROR(__xludf.DUMMYFUNCTION("""COMPUTED_VALUE"""),"ThirdMainPreyItem")</f>
        <v>ThirdMainPreyItem</v>
      </c>
      <c r="B228" s="1"/>
      <c r="C228" s="1"/>
      <c r="D228" s="1"/>
      <c r="E228" s="1" t="str">
        <f ca="1">IFERROR(__xludf.DUMMYFUNCTION("""COMPUTED_VALUE"""),"categorical")</f>
        <v>categorical</v>
      </c>
      <c r="F228" s="1" t="str">
        <f ca="1">IFERROR(__xludf.DUMMYFUNCTION("""COMPUTED_VALUE"""),".na")</f>
        <v>.na</v>
      </c>
      <c r="G228" s="1" t="str">
        <f ca="1">IFERROR(__xludf.DUMMYFUNCTION("""COMPUTED_VALUE"""),"Lepidoptera, Coleoptera, Diptera, Trichoptera, Hymenoptera, Orthoptera, Arachnida")</f>
        <v>Lepidoptera, Coleoptera, Diptera, Trichoptera, Hymenoptera, Orthoptera, Arachnida</v>
      </c>
      <c r="H228" s="1" t="str">
        <f ca="1">IFERROR(__xludf.DUMMYFUNCTION("""COMPUTED_VALUE"""),".na")</f>
        <v>.na</v>
      </c>
      <c r="I228" s="1" t="str">
        <f ca="1">IFERROR(__xludf.DUMMYFUNCTION("""COMPUTED_VALUE"""),".na")</f>
        <v>.na</v>
      </c>
      <c r="J228" s="1" t="str">
        <f ca="1">IFERROR(__xludf.DUMMYFUNCTION("""COMPUTED_VALUE"""),"Order of the third main prey item: Lepidoptera, Coleoptera, Diptera, Trichoptera, Hymenoptera, Orthoptera, Arachnida")</f>
        <v>Order of the third main prey item: Lepidoptera, Coleoptera, Diptera, Trichoptera, Hymenoptera, Orthoptera, Arachnida</v>
      </c>
      <c r="K228" s="1"/>
      <c r="L228" s="8" t="str">
        <f ca="1">IFERROR(__xludf.DUMMYFUNCTION("""COMPUTED_VALUE"""),"https://doi.org/10.1038/s41597-023-02157-4")</f>
        <v>https://doi.org/10.1038/s41597-023-02157-4</v>
      </c>
      <c r="M228" s="1" t="str">
        <f ca="1">IFERROR(__xludf.DUMMYFUNCTION("""COMPUTED_VALUE"""),"Froidevaux_2023")</f>
        <v>Froidevaux_2023</v>
      </c>
    </row>
    <row r="229" spans="1:13" ht="13.2">
      <c r="A229" s="1" t="str">
        <f ca="1">IFERROR(__xludf.DUMMYFUNCTION("""COMPUTED_VALUE"""),"DietaryNicheBreadth")</f>
        <v>DietaryNicheBreadth</v>
      </c>
      <c r="B229" s="1"/>
      <c r="C229" s="1"/>
      <c r="D229" s="1"/>
      <c r="E229" s="1" t="str">
        <f ca="1">IFERROR(__xludf.DUMMYFUNCTION("""COMPUTED_VALUE"""),"numeric")</f>
        <v>numeric</v>
      </c>
      <c r="F229" s="1" t="str">
        <f ca="1">IFERROR(__xludf.DUMMYFUNCTION("""COMPUTED_VALUE"""),".na")</f>
        <v>.na</v>
      </c>
      <c r="G229" s="1" t="str">
        <f ca="1">IFERROR(__xludf.DUMMYFUNCTION("""COMPUTED_VALUE"""),".na")</f>
        <v>.na</v>
      </c>
      <c r="H229" s="1"/>
      <c r="I229" s="1"/>
      <c r="J229" s="1" t="str">
        <f ca="1">IFERROR(__xludf.DUMMYFUNCTION("""COMPUTED_VALUE"""),"Dietary niche breadth calculated using Levin’s standardised index: higher values indicate large niche breadth")</f>
        <v>Dietary niche breadth calculated using Levin’s standardised index: higher values indicate large niche breadth</v>
      </c>
      <c r="K229" s="1"/>
      <c r="L229" s="8" t="str">
        <f ca="1">IFERROR(__xludf.DUMMYFUNCTION("""COMPUTED_VALUE"""),"https://doi.org/10.1038/s41597-023-02157-4")</f>
        <v>https://doi.org/10.1038/s41597-023-02157-4</v>
      </c>
      <c r="M229" s="1" t="str">
        <f ca="1">IFERROR(__xludf.DUMMYFUNCTION("""COMPUTED_VALUE"""),"Froidevaux_2023")</f>
        <v>Froidevaux_2023</v>
      </c>
    </row>
    <row r="230" spans="1:13" ht="13.2">
      <c r="A230" s="1" t="str">
        <f ca="1">IFERROR(__xludf.DUMMYFUNCTION("""COMPUTED_VALUE"""),"DietaryDiversity")</f>
        <v>DietaryDiversity</v>
      </c>
      <c r="B230" s="1"/>
      <c r="C230" s="1"/>
      <c r="D230" s="1"/>
      <c r="E230" s="1" t="str">
        <f ca="1">IFERROR(__xludf.DUMMYFUNCTION("""COMPUTED_VALUE"""),"numeric")</f>
        <v>numeric</v>
      </c>
      <c r="F230" s="1" t="str">
        <f ca="1">IFERROR(__xludf.DUMMYFUNCTION("""COMPUTED_VALUE"""),".na")</f>
        <v>.na</v>
      </c>
      <c r="G230" s="1" t="str">
        <f ca="1">IFERROR(__xludf.DUMMYFUNCTION("""COMPUTED_VALUE"""),".na")</f>
        <v>.na</v>
      </c>
      <c r="H230" s="1"/>
      <c r="I230" s="1"/>
      <c r="J230" s="1" t="str">
        <f ca="1">IFERROR(__xludf.DUMMYFUNCTION("""COMPUTED_VALUE"""),"Dietary diversity calculated using Shannon-Weaver diversity index: higher values indicate highly diverse diet")</f>
        <v>Dietary diversity calculated using Shannon-Weaver diversity index: higher values indicate highly diverse diet</v>
      </c>
      <c r="K230" s="1"/>
      <c r="L230" s="8" t="str">
        <f ca="1">IFERROR(__xludf.DUMMYFUNCTION("""COMPUTED_VALUE"""),"https://doi.org/10.1038/s41597-023-02157-4")</f>
        <v>https://doi.org/10.1038/s41597-023-02157-4</v>
      </c>
      <c r="M230" s="1" t="str">
        <f ca="1">IFERROR(__xludf.DUMMYFUNCTION("""COMPUTED_VALUE"""),"Froidevaux_2023")</f>
        <v>Froidevaux_2023</v>
      </c>
    </row>
    <row r="231" spans="1:13" ht="13.2">
      <c r="A231" s="1" t="str">
        <f ca="1">IFERROR(__xludf.DUMMYFUNCTION("""COMPUTED_VALUE"""),"DietType")</f>
        <v>DietType</v>
      </c>
      <c r="B231" s="1"/>
      <c r="C231" s="1"/>
      <c r="D231" s="1"/>
      <c r="E231" s="1" t="str">
        <f ca="1">IFERROR(__xludf.DUMMYFUNCTION("""COMPUTED_VALUE"""),"categorical")</f>
        <v>categorical</v>
      </c>
      <c r="F231" s="1" t="str">
        <f ca="1">IFERROR(__xludf.DUMMYFUNCTION("""COMPUTED_VALUE"""),".na")</f>
        <v>.na</v>
      </c>
      <c r="G231" s="1" t="str">
        <f ca="1">IFERROR(__xludf.DUMMYFUNCTION("""COMPUTED_VALUE"""),"insectivorous, frugivorous")</f>
        <v>insectivorous, frugivorous</v>
      </c>
      <c r="H231" s="1" t="str">
        <f ca="1">IFERROR(__xludf.DUMMYFUNCTION("""COMPUTED_VALUE"""),".na")</f>
        <v>.na</v>
      </c>
      <c r="I231" s="1" t="str">
        <f ca="1">IFERROR(__xludf.DUMMYFUNCTION("""COMPUTED_VALUE"""),".na")</f>
        <v>.na</v>
      </c>
      <c r="J231" s="1" t="str">
        <f ca="1">IFERROR(__xludf.DUMMYFUNCTION("""COMPUTED_VALUE"""),"Diet type: insectivorous, frugivorous")</f>
        <v>Diet type: insectivorous, frugivorous</v>
      </c>
      <c r="K231" s="1"/>
      <c r="L231" s="8" t="str">
        <f ca="1">IFERROR(__xludf.DUMMYFUNCTION("""COMPUTED_VALUE"""),"https://doi.org/10.1038/s41597-023-02157-4")</f>
        <v>https://doi.org/10.1038/s41597-023-02157-4</v>
      </c>
      <c r="M231" s="1" t="str">
        <f ca="1">IFERROR(__xludf.DUMMYFUNCTION("""COMPUTED_VALUE"""),"Froidevaux_2023")</f>
        <v>Froidevaux_2023</v>
      </c>
    </row>
    <row r="232" spans="1:13" ht="13.2">
      <c r="A232" s="1" t="str">
        <f ca="1">IFERROR(__xludf.DUMMYFUNCTION("""COMPUTED_VALUE"""),"TrophicSpecialization")</f>
        <v>TrophicSpecialization</v>
      </c>
      <c r="B232" s="1"/>
      <c r="C232" s="1"/>
      <c r="D232" s="1"/>
      <c r="E232" s="1" t="str">
        <f ca="1">IFERROR(__xludf.DUMMYFUNCTION("""COMPUTED_VALUE"""),"numeric")</f>
        <v>numeric</v>
      </c>
      <c r="F232" s="1" t="str">
        <f ca="1">IFERROR(__xludf.DUMMYFUNCTION("""COMPUTED_VALUE"""),"index")</f>
        <v>index</v>
      </c>
      <c r="G232" s="1" t="str">
        <f ca="1">IFERROR(__xludf.DUMMYFUNCTION("""COMPUTED_VALUE"""),".na")</f>
        <v>.na</v>
      </c>
      <c r="H232" s="1"/>
      <c r="I232" s="1"/>
      <c r="J232" s="1" t="str">
        <f ca="1">IFERROR(__xludf.DUMMYFUNCTION("""COMPUTED_VALUE"""),"Trophic specialisation calculated using the coefficient of variation: higher values indicate high level of specialisation towards a given prey order")</f>
        <v>Trophic specialisation calculated using the coefficient of variation: higher values indicate high level of specialisation towards a given prey order</v>
      </c>
      <c r="K232" s="1"/>
      <c r="L232" s="8" t="str">
        <f ca="1">IFERROR(__xludf.DUMMYFUNCTION("""COMPUTED_VALUE"""),"https://doi.org/10.1038/s41597-023-02157-4")</f>
        <v>https://doi.org/10.1038/s41597-023-02157-4</v>
      </c>
      <c r="M232" s="1" t="str">
        <f ca="1">IFERROR(__xludf.DUMMYFUNCTION("""COMPUTED_VALUE"""),"Froidevaux_2023")</f>
        <v>Froidevaux_2023</v>
      </c>
    </row>
    <row r="233" spans="1:13" ht="13.2">
      <c r="A233" s="1" t="str">
        <f ca="1">IFERROR(__xludf.DUMMYFUNCTION("""COMPUTED_VALUE"""),"SpeciesHabitatSpecializationIndex")</f>
        <v>SpeciesHabitatSpecializationIndex</v>
      </c>
      <c r="B233" s="1"/>
      <c r="C233" s="1"/>
      <c r="D233" s="1"/>
      <c r="E233" s="1" t="str">
        <f ca="1">IFERROR(__xludf.DUMMYFUNCTION("""COMPUTED_VALUE"""),"numeric")</f>
        <v>numeric</v>
      </c>
      <c r="F233" s="1" t="str">
        <f ca="1">IFERROR(__xludf.DUMMYFUNCTION("""COMPUTED_VALUE"""),".na")</f>
        <v>.na</v>
      </c>
      <c r="G233" s="1" t="str">
        <f ca="1">IFERROR(__xludf.DUMMYFUNCTION("""COMPUTED_VALUE"""),".na")</f>
        <v>.na</v>
      </c>
      <c r="H233" s="1"/>
      <c r="I233" s="1"/>
      <c r="J233" s="1" t="str">
        <f ca="1">IFERROR(__xludf.DUMMYFUNCTION("""COMPUTED_VALUE"""),"Species habitat specialisation index: degree of specialisation of a species in its use of a habitat for foraging/commuting calculated using the coefficient of variation: higher values indicate high level of specialisation towards a given habitat.")</f>
        <v>Species habitat specialisation index: degree of specialisation of a species in its use of a habitat for foraging/commuting calculated using the coefficient of variation: higher values indicate high level of specialisation towards a given habitat.</v>
      </c>
      <c r="K233" s="1"/>
      <c r="L233" s="8" t="str">
        <f ca="1">IFERROR(__xludf.DUMMYFUNCTION("""COMPUTED_VALUE"""),"https://doi.org/10.1038/s41597-023-02157-4")</f>
        <v>https://doi.org/10.1038/s41597-023-02157-4</v>
      </c>
      <c r="M233" s="1" t="str">
        <f ca="1">IFERROR(__xludf.DUMMYFUNCTION("""COMPUTED_VALUE"""),"Froidevaux_2023")</f>
        <v>Froidevaux_2023</v>
      </c>
    </row>
    <row r="234" spans="1:13" ht="13.2">
      <c r="A234" s="1" t="str">
        <f ca="1">IFERROR(__xludf.DUMMYFUNCTION("""COMPUTED_VALUE"""),"DeciduousForestAffinitySmallScale")</f>
        <v>DeciduousForestAffinitySmallScale</v>
      </c>
      <c r="B234" s="1"/>
      <c r="C234" s="1"/>
      <c r="D234" s="1"/>
      <c r="E234" s="1" t="str">
        <f ca="1">IFERROR(__xludf.DUMMYFUNCTION("""COMPUTED_VALUE"""),"numeric")</f>
        <v>numeric</v>
      </c>
      <c r="F234" s="1" t="str">
        <f ca="1">IFERROR(__xludf.DUMMYFUNCTION("""COMPUTED_VALUE"""),".na")</f>
        <v>.na</v>
      </c>
      <c r="G234" s="1" t="str">
        <f ca="1">IFERROR(__xludf.DUMMYFUNCTION("""COMPUTED_VALUE"""),".na")</f>
        <v>.na</v>
      </c>
      <c r="H234" s="1"/>
      <c r="I234" s="1"/>
      <c r="J234" s="1" t="str">
        <f ca="1">IFERROR(__xludf.DUMMYFUNCTION("""COMPUTED_VALUE"""),"Estimated response to decideous forest at 50 m radius buffer scale calculated from generalized linear mixed model")</f>
        <v>Estimated response to decideous forest at 50 m radius buffer scale calculated from generalized linear mixed model</v>
      </c>
      <c r="K234" s="1"/>
      <c r="L234" s="8" t="str">
        <f ca="1">IFERROR(__xludf.DUMMYFUNCTION("""COMPUTED_VALUE"""),"https://doi.org/10.1038/s41597-023-02157-4")</f>
        <v>https://doi.org/10.1038/s41597-023-02157-4</v>
      </c>
      <c r="M234" s="1" t="str">
        <f ca="1">IFERROR(__xludf.DUMMYFUNCTION("""COMPUTED_VALUE"""),"Froidevaux_2023")</f>
        <v>Froidevaux_2023</v>
      </c>
    </row>
    <row r="235" spans="1:13" ht="13.2">
      <c r="A235" s="1" t="str">
        <f ca="1">IFERROR(__xludf.DUMMYFUNCTION("""COMPUTED_VALUE"""),"ConiferousForestAffinitySmallScale")</f>
        <v>ConiferousForestAffinitySmallScale</v>
      </c>
      <c r="B235" s="1"/>
      <c r="C235" s="1"/>
      <c r="D235" s="1"/>
      <c r="E235" s="1" t="str">
        <f ca="1">IFERROR(__xludf.DUMMYFUNCTION("""COMPUTED_VALUE"""),"numeric")</f>
        <v>numeric</v>
      </c>
      <c r="F235" s="1" t="str">
        <f ca="1">IFERROR(__xludf.DUMMYFUNCTION("""COMPUTED_VALUE"""),".na")</f>
        <v>.na</v>
      </c>
      <c r="G235" s="1" t="str">
        <f ca="1">IFERROR(__xludf.DUMMYFUNCTION("""COMPUTED_VALUE"""),".na")</f>
        <v>.na</v>
      </c>
      <c r="H235" s="1"/>
      <c r="I235" s="1"/>
      <c r="J235" s="1" t="str">
        <f ca="1">IFERROR(__xludf.DUMMYFUNCTION("""COMPUTED_VALUE"""),"Estimated response to coniferous forest at 50 m radius buffer scale calculated from generalized linear mixed model")</f>
        <v>Estimated response to coniferous forest at 50 m radius buffer scale calculated from generalized linear mixed model</v>
      </c>
      <c r="K235" s="1"/>
      <c r="L235" s="8" t="str">
        <f ca="1">IFERROR(__xludf.DUMMYFUNCTION("""COMPUTED_VALUE"""),"https://doi.org/10.1038/s41597-023-02157-4")</f>
        <v>https://doi.org/10.1038/s41597-023-02157-4</v>
      </c>
      <c r="M235" s="1" t="str">
        <f ca="1">IFERROR(__xludf.DUMMYFUNCTION("""COMPUTED_VALUE"""),"Froidevaux_2023")</f>
        <v>Froidevaux_2023</v>
      </c>
    </row>
    <row r="236" spans="1:13" ht="13.2">
      <c r="A236" s="1" t="str">
        <f ca="1">IFERROR(__xludf.DUMMYFUNCTION("""COMPUTED_VALUE"""),"DenseUrbanAreaAffinitySmallScale")</f>
        <v>DenseUrbanAreaAffinitySmallScale</v>
      </c>
      <c r="B236" s="1"/>
      <c r="C236" s="1"/>
      <c r="D236" s="1"/>
      <c r="E236" s="1" t="str">
        <f ca="1">IFERROR(__xludf.DUMMYFUNCTION("""COMPUTED_VALUE"""),"numeric")</f>
        <v>numeric</v>
      </c>
      <c r="F236" s="1" t="str">
        <f ca="1">IFERROR(__xludf.DUMMYFUNCTION("""COMPUTED_VALUE"""),".na")</f>
        <v>.na</v>
      </c>
      <c r="G236" s="1" t="str">
        <f ca="1">IFERROR(__xludf.DUMMYFUNCTION("""COMPUTED_VALUE"""),".na")</f>
        <v>.na</v>
      </c>
      <c r="H236" s="1"/>
      <c r="I236" s="1"/>
      <c r="J236" s="1" t="str">
        <f ca="1">IFERROR(__xludf.DUMMYFUNCTION("""COMPUTED_VALUE"""),"Estimated response to dense urban area at 50 m radius buffer scale calculated from generalized linear mixed model")</f>
        <v>Estimated response to dense urban area at 50 m radius buffer scale calculated from generalized linear mixed model</v>
      </c>
      <c r="K236" s="1"/>
      <c r="L236" s="8" t="str">
        <f ca="1">IFERROR(__xludf.DUMMYFUNCTION("""COMPUTED_VALUE"""),"https://doi.org/10.1038/s41597-023-02157-4")</f>
        <v>https://doi.org/10.1038/s41597-023-02157-4</v>
      </c>
      <c r="M236" s="1" t="str">
        <f ca="1">IFERROR(__xludf.DUMMYFUNCTION("""COMPUTED_VALUE"""),"Froidevaux_2023")</f>
        <v>Froidevaux_2023</v>
      </c>
    </row>
    <row r="237" spans="1:13" ht="13.2">
      <c r="A237" s="1" t="str">
        <f ca="1">IFERROR(__xludf.DUMMYFUNCTION("""COMPUTED_VALUE"""),"FreshwaterAffinitySmallScale")</f>
        <v>FreshwaterAffinitySmallScale</v>
      </c>
      <c r="B237" s="1"/>
      <c r="C237" s="1"/>
      <c r="D237" s="1"/>
      <c r="E237" s="1" t="str">
        <f ca="1">IFERROR(__xludf.DUMMYFUNCTION("""COMPUTED_VALUE"""),"numeric")</f>
        <v>numeric</v>
      </c>
      <c r="F237" s="1" t="str">
        <f ca="1">IFERROR(__xludf.DUMMYFUNCTION("""COMPUTED_VALUE"""),".na")</f>
        <v>.na</v>
      </c>
      <c r="G237" s="1" t="str">
        <f ca="1">IFERROR(__xludf.DUMMYFUNCTION("""COMPUTED_VALUE"""),".na")</f>
        <v>.na</v>
      </c>
      <c r="H237" s="1"/>
      <c r="I237" s="1"/>
      <c r="J237" s="1" t="str">
        <f ca="1">IFERROR(__xludf.DUMMYFUNCTION("""COMPUTED_VALUE"""),"Estimated response to freshwater at 50 m radius buffer scale calculated from generalized linear mixed model")</f>
        <v>Estimated response to freshwater at 50 m radius buffer scale calculated from generalized linear mixed model</v>
      </c>
      <c r="K237" s="1"/>
      <c r="L237" s="8" t="str">
        <f ca="1">IFERROR(__xludf.DUMMYFUNCTION("""COMPUTED_VALUE"""),"https://doi.org/10.1038/s41597-023-02157-4")</f>
        <v>https://doi.org/10.1038/s41597-023-02157-4</v>
      </c>
      <c r="M237" s="1" t="str">
        <f ca="1">IFERROR(__xludf.DUMMYFUNCTION("""COMPUTED_VALUE"""),"Froidevaux_2023")</f>
        <v>Froidevaux_2023</v>
      </c>
    </row>
    <row r="238" spans="1:13" ht="13.2">
      <c r="A238" s="1" t="str">
        <f ca="1">IFERROR(__xludf.DUMMYFUNCTION("""COMPUTED_VALUE"""),"CroplandAffinitySmallScale")</f>
        <v>CroplandAffinitySmallScale</v>
      </c>
      <c r="B238" s="1"/>
      <c r="C238" s="1"/>
      <c r="D238" s="1"/>
      <c r="E238" s="1" t="str">
        <f ca="1">IFERROR(__xludf.DUMMYFUNCTION("""COMPUTED_VALUE"""),"numeric")</f>
        <v>numeric</v>
      </c>
      <c r="F238" s="1" t="str">
        <f ca="1">IFERROR(__xludf.DUMMYFUNCTION("""COMPUTED_VALUE"""),".na")</f>
        <v>.na</v>
      </c>
      <c r="G238" s="1" t="str">
        <f ca="1">IFERROR(__xludf.DUMMYFUNCTION("""COMPUTED_VALUE"""),".na")</f>
        <v>.na</v>
      </c>
      <c r="H238" s="1"/>
      <c r="I238" s="1"/>
      <c r="J238" s="1" t="str">
        <f ca="1">IFERROR(__xludf.DUMMYFUNCTION("""COMPUTED_VALUE"""),"Estimated response to cropland at 50 m radius buffer scale calculated from generalized linear mixed model")</f>
        <v>Estimated response to cropland at 50 m radius buffer scale calculated from generalized linear mixed model</v>
      </c>
      <c r="K238" s="1"/>
      <c r="L238" s="8" t="str">
        <f ca="1">IFERROR(__xludf.DUMMYFUNCTION("""COMPUTED_VALUE"""),"https://doi.org/10.1038/s41597-023-02157-4")</f>
        <v>https://doi.org/10.1038/s41597-023-02157-4</v>
      </c>
      <c r="M238" s="1" t="str">
        <f ca="1">IFERROR(__xludf.DUMMYFUNCTION("""COMPUTED_VALUE"""),"Froidevaux_2023")</f>
        <v>Froidevaux_2023</v>
      </c>
    </row>
    <row r="239" spans="1:13" ht="13.2">
      <c r="A239" s="1" t="str">
        <f ca="1">IFERROR(__xludf.DUMMYFUNCTION("""COMPUTED_VALUE"""),"GrasslandAffinitySmallScale")</f>
        <v>GrasslandAffinitySmallScale</v>
      </c>
      <c r="B239" s="1"/>
      <c r="C239" s="1"/>
      <c r="D239" s="1"/>
      <c r="E239" s="1" t="str">
        <f ca="1">IFERROR(__xludf.DUMMYFUNCTION("""COMPUTED_VALUE"""),"numeric")</f>
        <v>numeric</v>
      </c>
      <c r="F239" s="1" t="str">
        <f ca="1">IFERROR(__xludf.DUMMYFUNCTION("""COMPUTED_VALUE"""),".na")</f>
        <v>.na</v>
      </c>
      <c r="G239" s="1" t="str">
        <f ca="1">IFERROR(__xludf.DUMMYFUNCTION("""COMPUTED_VALUE"""),".na")</f>
        <v>.na</v>
      </c>
      <c r="H239" s="1"/>
      <c r="I239" s="1"/>
      <c r="J239" s="1" t="str">
        <f ca="1">IFERROR(__xludf.DUMMYFUNCTION("""COMPUTED_VALUE"""),"Estimated response to grassland at 50 m radius buffer scale calculated from generalized linear mixed model")</f>
        <v>Estimated response to grassland at 50 m radius buffer scale calculated from generalized linear mixed model</v>
      </c>
      <c r="K239" s="1"/>
      <c r="L239" s="8" t="str">
        <f ca="1">IFERROR(__xludf.DUMMYFUNCTION("""COMPUTED_VALUE"""),"https://doi.org/10.1038/s41597-023-02157-4")</f>
        <v>https://doi.org/10.1038/s41597-023-02157-4</v>
      </c>
      <c r="M239" s="1" t="str">
        <f ca="1">IFERROR(__xludf.DUMMYFUNCTION("""COMPUTED_VALUE"""),"Froidevaux_2023")</f>
        <v>Froidevaux_2023</v>
      </c>
    </row>
    <row r="240" spans="1:13" ht="13.2">
      <c r="A240" s="1" t="str">
        <f ca="1">IFERROR(__xludf.DUMMYFUNCTION("""COMPUTED_VALUE"""),"DeciduousForestAffinityMediumScale")</f>
        <v>DeciduousForestAffinityMediumScale</v>
      </c>
      <c r="B240" s="1"/>
      <c r="C240" s="1"/>
      <c r="D240" s="1"/>
      <c r="E240" s="1" t="str">
        <f ca="1">IFERROR(__xludf.DUMMYFUNCTION("""COMPUTED_VALUE"""),"numeric")</f>
        <v>numeric</v>
      </c>
      <c r="F240" s="1" t="str">
        <f ca="1">IFERROR(__xludf.DUMMYFUNCTION("""COMPUTED_VALUE"""),".na")</f>
        <v>.na</v>
      </c>
      <c r="G240" s="1" t="str">
        <f ca="1">IFERROR(__xludf.DUMMYFUNCTION("""COMPUTED_VALUE"""),".na")</f>
        <v>.na</v>
      </c>
      <c r="H240" s="1"/>
      <c r="I240" s="1"/>
      <c r="J240" s="1" t="str">
        <f ca="1">IFERROR(__xludf.DUMMYFUNCTION("""COMPUTED_VALUE"""),"Estimated response to decideous forest at 500 m radius buffer scale calculated from generalized linear mixed model")</f>
        <v>Estimated response to decideous forest at 500 m radius buffer scale calculated from generalized linear mixed model</v>
      </c>
      <c r="K240" s="1"/>
      <c r="L240" s="8" t="str">
        <f ca="1">IFERROR(__xludf.DUMMYFUNCTION("""COMPUTED_VALUE"""),"https://doi.org/10.1038/s41597-023-02157-4")</f>
        <v>https://doi.org/10.1038/s41597-023-02157-4</v>
      </c>
      <c r="M240" s="1" t="str">
        <f ca="1">IFERROR(__xludf.DUMMYFUNCTION("""COMPUTED_VALUE"""),"Froidevaux_2023")</f>
        <v>Froidevaux_2023</v>
      </c>
    </row>
    <row r="241" spans="1:13" ht="13.2">
      <c r="A241" s="1" t="str">
        <f ca="1">IFERROR(__xludf.DUMMYFUNCTION("""COMPUTED_VALUE"""),"ConiferousForestAffinityMediumScale")</f>
        <v>ConiferousForestAffinityMediumScale</v>
      </c>
      <c r="B241" s="1"/>
      <c r="C241" s="1"/>
      <c r="D241" s="1"/>
      <c r="E241" s="1" t="str">
        <f ca="1">IFERROR(__xludf.DUMMYFUNCTION("""COMPUTED_VALUE"""),"numeric")</f>
        <v>numeric</v>
      </c>
      <c r="F241" s="1" t="str">
        <f ca="1">IFERROR(__xludf.DUMMYFUNCTION("""COMPUTED_VALUE"""),".na")</f>
        <v>.na</v>
      </c>
      <c r="G241" s="1" t="str">
        <f ca="1">IFERROR(__xludf.DUMMYFUNCTION("""COMPUTED_VALUE"""),".na")</f>
        <v>.na</v>
      </c>
      <c r="H241" s="1"/>
      <c r="I241" s="1"/>
      <c r="J241" s="1" t="str">
        <f ca="1">IFERROR(__xludf.DUMMYFUNCTION("""COMPUTED_VALUE"""),"Estimated response to coniferous at 500 m radius buffer scale calculated from generalized linear mixed model")</f>
        <v>Estimated response to coniferous at 500 m radius buffer scale calculated from generalized linear mixed model</v>
      </c>
      <c r="K241" s="1"/>
      <c r="L241" s="8" t="str">
        <f ca="1">IFERROR(__xludf.DUMMYFUNCTION("""COMPUTED_VALUE"""),"https://doi.org/10.1038/s41597-023-02157-4")</f>
        <v>https://doi.org/10.1038/s41597-023-02157-4</v>
      </c>
      <c r="M241" s="1" t="str">
        <f ca="1">IFERROR(__xludf.DUMMYFUNCTION("""COMPUTED_VALUE"""),"Froidevaux_2023")</f>
        <v>Froidevaux_2023</v>
      </c>
    </row>
    <row r="242" spans="1:13" ht="13.2">
      <c r="A242" s="1" t="str">
        <f ca="1">IFERROR(__xludf.DUMMYFUNCTION("""COMPUTED_VALUE"""),"DenseUrbanAreaAffinityMediumScale")</f>
        <v>DenseUrbanAreaAffinityMediumScale</v>
      </c>
      <c r="B242" s="1"/>
      <c r="C242" s="1"/>
      <c r="D242" s="1"/>
      <c r="E242" s="1" t="str">
        <f ca="1">IFERROR(__xludf.DUMMYFUNCTION("""COMPUTED_VALUE"""),"numeric")</f>
        <v>numeric</v>
      </c>
      <c r="F242" s="1" t="str">
        <f ca="1">IFERROR(__xludf.DUMMYFUNCTION("""COMPUTED_VALUE"""),".na")</f>
        <v>.na</v>
      </c>
      <c r="G242" s="1" t="str">
        <f ca="1">IFERROR(__xludf.DUMMYFUNCTION("""COMPUTED_VALUE"""),".na")</f>
        <v>.na</v>
      </c>
      <c r="H242" s="1"/>
      <c r="I242" s="1"/>
      <c r="J242" s="1" t="str">
        <f ca="1">IFERROR(__xludf.DUMMYFUNCTION("""COMPUTED_VALUE"""),"Estimated response to dense urban area at 500 m radius buffer scale calculated from generalized linear mixed model")</f>
        <v>Estimated response to dense urban area at 500 m radius buffer scale calculated from generalized linear mixed model</v>
      </c>
      <c r="K242" s="1"/>
      <c r="L242" s="8" t="str">
        <f ca="1">IFERROR(__xludf.DUMMYFUNCTION("""COMPUTED_VALUE"""),"https://doi.org/10.1038/s41597-023-02157-4")</f>
        <v>https://doi.org/10.1038/s41597-023-02157-4</v>
      </c>
      <c r="M242" s="1" t="str">
        <f ca="1">IFERROR(__xludf.DUMMYFUNCTION("""COMPUTED_VALUE"""),"Froidevaux_2023")</f>
        <v>Froidevaux_2023</v>
      </c>
    </row>
    <row r="243" spans="1:13" ht="13.2">
      <c r="A243" s="1" t="str">
        <f ca="1">IFERROR(__xludf.DUMMYFUNCTION("""COMPUTED_VALUE"""),"FreshwaterAffinityMediumScale")</f>
        <v>FreshwaterAffinityMediumScale</v>
      </c>
      <c r="B243" s="1"/>
      <c r="C243" s="1"/>
      <c r="D243" s="1"/>
      <c r="E243" s="1" t="str">
        <f ca="1">IFERROR(__xludf.DUMMYFUNCTION("""COMPUTED_VALUE"""),"numeric")</f>
        <v>numeric</v>
      </c>
      <c r="F243" s="1" t="str">
        <f ca="1">IFERROR(__xludf.DUMMYFUNCTION("""COMPUTED_VALUE"""),".na")</f>
        <v>.na</v>
      </c>
      <c r="G243" s="1" t="str">
        <f ca="1">IFERROR(__xludf.DUMMYFUNCTION("""COMPUTED_VALUE"""),".na")</f>
        <v>.na</v>
      </c>
      <c r="H243" s="1"/>
      <c r="I243" s="1"/>
      <c r="J243" s="1" t="str">
        <f ca="1">IFERROR(__xludf.DUMMYFUNCTION("""COMPUTED_VALUE"""),"Estimated response to freshwater at 500 m radius buffer scale calculated from generalized linear mixed model")</f>
        <v>Estimated response to freshwater at 500 m radius buffer scale calculated from generalized linear mixed model</v>
      </c>
      <c r="K243" s="1"/>
      <c r="L243" s="8" t="str">
        <f ca="1">IFERROR(__xludf.DUMMYFUNCTION("""COMPUTED_VALUE"""),"https://doi.org/10.1038/s41597-023-02157-4")</f>
        <v>https://doi.org/10.1038/s41597-023-02157-4</v>
      </c>
      <c r="M243" s="1" t="str">
        <f ca="1">IFERROR(__xludf.DUMMYFUNCTION("""COMPUTED_VALUE"""),"Froidevaux_2023")</f>
        <v>Froidevaux_2023</v>
      </c>
    </row>
    <row r="244" spans="1:13" ht="13.2">
      <c r="A244" s="1" t="str">
        <f ca="1">IFERROR(__xludf.DUMMYFUNCTION("""COMPUTED_VALUE"""),"CroplandAffinityMediumScale")</f>
        <v>CroplandAffinityMediumScale</v>
      </c>
      <c r="B244" s="1"/>
      <c r="C244" s="1"/>
      <c r="D244" s="1"/>
      <c r="E244" s="1" t="str">
        <f ca="1">IFERROR(__xludf.DUMMYFUNCTION("""COMPUTED_VALUE"""),"numeric")</f>
        <v>numeric</v>
      </c>
      <c r="F244" s="1" t="str">
        <f ca="1">IFERROR(__xludf.DUMMYFUNCTION("""COMPUTED_VALUE"""),".na")</f>
        <v>.na</v>
      </c>
      <c r="G244" s="1" t="str">
        <f ca="1">IFERROR(__xludf.DUMMYFUNCTION("""COMPUTED_VALUE"""),".na")</f>
        <v>.na</v>
      </c>
      <c r="H244" s="1"/>
      <c r="I244" s="1"/>
      <c r="J244" s="1" t="str">
        <f ca="1">IFERROR(__xludf.DUMMYFUNCTION("""COMPUTED_VALUE"""),"Estimated response to cropland at 500 m radius buffer scale calculated from generalized linear mixed model")</f>
        <v>Estimated response to cropland at 500 m radius buffer scale calculated from generalized linear mixed model</v>
      </c>
      <c r="K244" s="1"/>
      <c r="L244" s="8" t="str">
        <f ca="1">IFERROR(__xludf.DUMMYFUNCTION("""COMPUTED_VALUE"""),"https://doi.org/10.1038/s41597-023-02157-4")</f>
        <v>https://doi.org/10.1038/s41597-023-02157-4</v>
      </c>
      <c r="M244" s="1" t="str">
        <f ca="1">IFERROR(__xludf.DUMMYFUNCTION("""COMPUTED_VALUE"""),"Froidevaux_2023")</f>
        <v>Froidevaux_2023</v>
      </c>
    </row>
    <row r="245" spans="1:13" ht="13.2">
      <c r="A245" s="1" t="str">
        <f ca="1">IFERROR(__xludf.DUMMYFUNCTION("""COMPUTED_VALUE"""),"GrasslandAffinityMediumScale")</f>
        <v>GrasslandAffinityMediumScale</v>
      </c>
      <c r="B245" s="1"/>
      <c r="C245" s="1"/>
      <c r="D245" s="1"/>
      <c r="E245" s="1" t="str">
        <f ca="1">IFERROR(__xludf.DUMMYFUNCTION("""COMPUTED_VALUE"""),"numeric")</f>
        <v>numeric</v>
      </c>
      <c r="F245" s="1" t="str">
        <f ca="1">IFERROR(__xludf.DUMMYFUNCTION("""COMPUTED_VALUE"""),".na")</f>
        <v>.na</v>
      </c>
      <c r="G245" s="1" t="str">
        <f ca="1">IFERROR(__xludf.DUMMYFUNCTION("""COMPUTED_VALUE"""),".na")</f>
        <v>.na</v>
      </c>
      <c r="H245" s="1"/>
      <c r="I245" s="1"/>
      <c r="J245" s="1" t="str">
        <f ca="1">IFERROR(__xludf.DUMMYFUNCTION("""COMPUTED_VALUE"""),"Estimated response to grassland at 500 m radius buffer scale calculated from generalized linear mixed model")</f>
        <v>Estimated response to grassland at 500 m radius buffer scale calculated from generalized linear mixed model</v>
      </c>
      <c r="K245" s="1"/>
      <c r="L245" s="8" t="str">
        <f ca="1">IFERROR(__xludf.DUMMYFUNCTION("""COMPUTED_VALUE"""),"https://doi.org/10.1038/s41597-023-02157-4")</f>
        <v>https://doi.org/10.1038/s41597-023-02157-4</v>
      </c>
      <c r="M245" s="1" t="str">
        <f ca="1">IFERROR(__xludf.DUMMYFUNCTION("""COMPUTED_VALUE"""),"Froidevaux_2023")</f>
        <v>Froidevaux_2023</v>
      </c>
    </row>
    <row r="246" spans="1:13" ht="13.2">
      <c r="A246" s="1" t="str">
        <f ca="1">IFERROR(__xludf.DUMMYFUNCTION("""COMPUTED_VALUE"""),"DeciduousForestAffinityLargeScale")</f>
        <v>DeciduousForestAffinityLargeScale</v>
      </c>
      <c r="B246" s="1"/>
      <c r="C246" s="1"/>
      <c r="D246" s="1"/>
      <c r="E246" s="1" t="str">
        <f ca="1">IFERROR(__xludf.DUMMYFUNCTION("""COMPUTED_VALUE"""),"numeric")</f>
        <v>numeric</v>
      </c>
      <c r="F246" s="1" t="str">
        <f ca="1">IFERROR(__xludf.DUMMYFUNCTION("""COMPUTED_VALUE"""),".na")</f>
        <v>.na</v>
      </c>
      <c r="G246" s="1" t="str">
        <f ca="1">IFERROR(__xludf.DUMMYFUNCTION("""COMPUTED_VALUE"""),".na")</f>
        <v>.na</v>
      </c>
      <c r="H246" s="1"/>
      <c r="I246" s="1"/>
      <c r="J246" s="1" t="str">
        <f ca="1">IFERROR(__xludf.DUMMYFUNCTION("""COMPUTED_VALUE"""),"Estimated response to cropland at 5000 m radius buffer scale calculated from generalized linear mixed model")</f>
        <v>Estimated response to cropland at 5000 m radius buffer scale calculated from generalized linear mixed model</v>
      </c>
      <c r="K246" s="1"/>
      <c r="L246" s="8" t="str">
        <f ca="1">IFERROR(__xludf.DUMMYFUNCTION("""COMPUTED_VALUE"""),"https://doi.org/10.1038/s41597-023-02157-4")</f>
        <v>https://doi.org/10.1038/s41597-023-02157-4</v>
      </c>
      <c r="M246" s="1" t="str">
        <f ca="1">IFERROR(__xludf.DUMMYFUNCTION("""COMPUTED_VALUE"""),"Froidevaux_2023")</f>
        <v>Froidevaux_2023</v>
      </c>
    </row>
    <row r="247" spans="1:13" ht="13.2">
      <c r="A247" s="1" t="str">
        <f ca="1">IFERROR(__xludf.DUMMYFUNCTION("""COMPUTED_VALUE"""),"ConiferousForestAffinityLargeScale")</f>
        <v>ConiferousForestAffinityLargeScale</v>
      </c>
      <c r="B247" s="1"/>
      <c r="C247" s="1"/>
      <c r="D247" s="1"/>
      <c r="E247" s="1" t="str">
        <f ca="1">IFERROR(__xludf.DUMMYFUNCTION("""COMPUTED_VALUE"""),"numeric")</f>
        <v>numeric</v>
      </c>
      <c r="F247" s="1" t="str">
        <f ca="1">IFERROR(__xludf.DUMMYFUNCTION("""COMPUTED_VALUE"""),".na")</f>
        <v>.na</v>
      </c>
      <c r="G247" s="1" t="str">
        <f ca="1">IFERROR(__xludf.DUMMYFUNCTION("""COMPUTED_VALUE"""),".na")</f>
        <v>.na</v>
      </c>
      <c r="H247" s="1"/>
      <c r="I247" s="1"/>
      <c r="J247" s="1" t="str">
        <f ca="1">IFERROR(__xludf.DUMMYFUNCTION("""COMPUTED_VALUE"""),"Estimated response to grassland at 5000 m radius buffer scale calculated from generalized linear mixed model")</f>
        <v>Estimated response to grassland at 5000 m radius buffer scale calculated from generalized linear mixed model</v>
      </c>
      <c r="K247" s="1"/>
      <c r="L247" s="8" t="str">
        <f ca="1">IFERROR(__xludf.DUMMYFUNCTION("""COMPUTED_VALUE"""),"https://doi.org/10.1038/s41597-023-02157-4")</f>
        <v>https://doi.org/10.1038/s41597-023-02157-4</v>
      </c>
      <c r="M247" s="1" t="str">
        <f ca="1">IFERROR(__xludf.DUMMYFUNCTION("""COMPUTED_VALUE"""),"Froidevaux_2023")</f>
        <v>Froidevaux_2023</v>
      </c>
    </row>
    <row r="248" spans="1:13" ht="13.2">
      <c r="A248" s="1" t="str">
        <f ca="1">IFERROR(__xludf.DUMMYFUNCTION("""COMPUTED_VALUE"""),"DenseUrbanAreaAffinityLargeScale")</f>
        <v>DenseUrbanAreaAffinityLargeScale</v>
      </c>
      <c r="B248" s="1"/>
      <c r="C248" s="1"/>
      <c r="D248" s="1"/>
      <c r="E248" s="1" t="str">
        <f ca="1">IFERROR(__xludf.DUMMYFUNCTION("""COMPUTED_VALUE"""),"numeric")</f>
        <v>numeric</v>
      </c>
      <c r="F248" s="1" t="str">
        <f ca="1">IFERROR(__xludf.DUMMYFUNCTION("""COMPUTED_VALUE"""),".na")</f>
        <v>.na</v>
      </c>
      <c r="G248" s="1" t="str">
        <f ca="1">IFERROR(__xludf.DUMMYFUNCTION("""COMPUTED_VALUE"""),".na")</f>
        <v>.na</v>
      </c>
      <c r="H248" s="1"/>
      <c r="I248" s="1"/>
      <c r="J248" s="1" t="str">
        <f ca="1">IFERROR(__xludf.DUMMYFUNCTION("""COMPUTED_VALUE"""),"Estimated response to dense urban area at 5000 m radius buffer scale calculated from generalized linear mixed model")</f>
        <v>Estimated response to dense urban area at 5000 m radius buffer scale calculated from generalized linear mixed model</v>
      </c>
      <c r="K248" s="1"/>
      <c r="L248" s="8" t="str">
        <f ca="1">IFERROR(__xludf.DUMMYFUNCTION("""COMPUTED_VALUE"""),"https://doi.org/10.1038/s41597-023-02157-4")</f>
        <v>https://doi.org/10.1038/s41597-023-02157-4</v>
      </c>
      <c r="M248" s="1" t="str">
        <f ca="1">IFERROR(__xludf.DUMMYFUNCTION("""COMPUTED_VALUE"""),"Froidevaux_2023")</f>
        <v>Froidevaux_2023</v>
      </c>
    </row>
    <row r="249" spans="1:13" ht="13.2">
      <c r="A249" s="1" t="str">
        <f ca="1">IFERROR(__xludf.DUMMYFUNCTION("""COMPUTED_VALUE"""),"FreshwaterAffinityLargeScale")</f>
        <v>FreshwaterAffinityLargeScale</v>
      </c>
      <c r="B249" s="1"/>
      <c r="C249" s="1"/>
      <c r="D249" s="1"/>
      <c r="E249" s="1" t="str">
        <f ca="1">IFERROR(__xludf.DUMMYFUNCTION("""COMPUTED_VALUE"""),"numeric")</f>
        <v>numeric</v>
      </c>
      <c r="F249" s="1" t="str">
        <f ca="1">IFERROR(__xludf.DUMMYFUNCTION("""COMPUTED_VALUE"""),".na")</f>
        <v>.na</v>
      </c>
      <c r="G249" s="1" t="str">
        <f ca="1">IFERROR(__xludf.DUMMYFUNCTION("""COMPUTED_VALUE"""),".na")</f>
        <v>.na</v>
      </c>
      <c r="H249" s="1"/>
      <c r="I249" s="1"/>
      <c r="J249" s="1" t="str">
        <f ca="1">IFERROR(__xludf.DUMMYFUNCTION("""COMPUTED_VALUE"""),"Estimated response to freshwater at 5000 m radius buffer scale calculated from generalized linear mixed model")</f>
        <v>Estimated response to freshwater at 5000 m radius buffer scale calculated from generalized linear mixed model</v>
      </c>
      <c r="K249" s="1"/>
      <c r="L249" s="8" t="str">
        <f ca="1">IFERROR(__xludf.DUMMYFUNCTION("""COMPUTED_VALUE"""),"https://doi.org/10.1038/s41597-023-02157-4")</f>
        <v>https://doi.org/10.1038/s41597-023-02157-4</v>
      </c>
      <c r="M249" s="1" t="str">
        <f ca="1">IFERROR(__xludf.DUMMYFUNCTION("""COMPUTED_VALUE"""),"Froidevaux_2023")</f>
        <v>Froidevaux_2023</v>
      </c>
    </row>
    <row r="250" spans="1:13" ht="13.2">
      <c r="A250" s="1" t="str">
        <f ca="1">IFERROR(__xludf.DUMMYFUNCTION("""COMPUTED_VALUE"""),"CroplandAffinityLargeScale")</f>
        <v>CroplandAffinityLargeScale</v>
      </c>
      <c r="B250" s="1"/>
      <c r="C250" s="1"/>
      <c r="D250" s="1"/>
      <c r="E250" s="1" t="str">
        <f ca="1">IFERROR(__xludf.DUMMYFUNCTION("""COMPUTED_VALUE"""),"numeric")</f>
        <v>numeric</v>
      </c>
      <c r="F250" s="1" t="str">
        <f ca="1">IFERROR(__xludf.DUMMYFUNCTION("""COMPUTED_VALUE"""),".na")</f>
        <v>.na</v>
      </c>
      <c r="G250" s="1" t="str">
        <f ca="1">IFERROR(__xludf.DUMMYFUNCTION("""COMPUTED_VALUE"""),".na")</f>
        <v>.na</v>
      </c>
      <c r="H250" s="1"/>
      <c r="I250" s="1"/>
      <c r="J250" s="1" t="str">
        <f ca="1">IFERROR(__xludf.DUMMYFUNCTION("""COMPUTED_VALUE"""),"Estimated response to cropland at 5000 m radius buffer scale calculated from generalized linear mixed model")</f>
        <v>Estimated response to cropland at 5000 m radius buffer scale calculated from generalized linear mixed model</v>
      </c>
      <c r="K250" s="1"/>
      <c r="L250" s="8" t="str">
        <f ca="1">IFERROR(__xludf.DUMMYFUNCTION("""COMPUTED_VALUE"""),"https://doi.org/10.1038/s41597-023-02157-4")</f>
        <v>https://doi.org/10.1038/s41597-023-02157-4</v>
      </c>
      <c r="M250" s="1" t="str">
        <f ca="1">IFERROR(__xludf.DUMMYFUNCTION("""COMPUTED_VALUE"""),"Froidevaux_2023")</f>
        <v>Froidevaux_2023</v>
      </c>
    </row>
    <row r="251" spans="1:13" ht="13.2">
      <c r="A251" s="1" t="str">
        <f ca="1">IFERROR(__xludf.DUMMYFUNCTION("""COMPUTED_VALUE"""),"GrasslandAffinityLargeScale")</f>
        <v>GrasslandAffinityLargeScale</v>
      </c>
      <c r="B251" s="1"/>
      <c r="C251" s="1"/>
      <c r="D251" s="1"/>
      <c r="E251" s="1" t="str">
        <f ca="1">IFERROR(__xludf.DUMMYFUNCTION("""COMPUTED_VALUE"""),"numeric")</f>
        <v>numeric</v>
      </c>
      <c r="F251" s="1" t="str">
        <f ca="1">IFERROR(__xludf.DUMMYFUNCTION("""COMPUTED_VALUE"""),".na")</f>
        <v>.na</v>
      </c>
      <c r="G251" s="1" t="str">
        <f ca="1">IFERROR(__xludf.DUMMYFUNCTION("""COMPUTED_VALUE"""),".na")</f>
        <v>.na</v>
      </c>
      <c r="H251" s="1"/>
      <c r="I251" s="1"/>
      <c r="J251" s="1" t="str">
        <f ca="1">IFERROR(__xludf.DUMMYFUNCTION("""COMPUTED_VALUE"""),"Estimated response to grassland at 5000 m radius buffer scale calculated from generalized linear mixed model")</f>
        <v>Estimated response to grassland at 5000 m radius buffer scale calculated from generalized linear mixed model</v>
      </c>
      <c r="K251" s="1"/>
      <c r="L251" s="8" t="str">
        <f ca="1">IFERROR(__xludf.DUMMYFUNCTION("""COMPUTED_VALUE"""),"https://doi.org/10.1038/s41597-023-02157-4")</f>
        <v>https://doi.org/10.1038/s41597-023-02157-4</v>
      </c>
      <c r="M251" s="1" t="str">
        <f ca="1">IFERROR(__xludf.DUMMYFUNCTION("""COMPUTED_VALUE"""),"Froidevaux_2023")</f>
        <v>Froidevaux_2023</v>
      </c>
    </row>
    <row r="252" spans="1:13" ht="13.2">
      <c r="A252" s="1" t="str">
        <f ca="1">IFERROR(__xludf.DUMMYFUNCTION("""COMPUTED_VALUE"""),"CriticalFeedingAreasForest")</f>
        <v>CriticalFeedingAreasForest</v>
      </c>
      <c r="B252" s="1"/>
      <c r="C252" s="1"/>
      <c r="D252" s="1"/>
      <c r="E252" s="1" t="str">
        <f ca="1">IFERROR(__xludf.DUMMYFUNCTION("""COMPUTED_VALUE"""),"categorical")</f>
        <v>categorical</v>
      </c>
      <c r="F252" s="1" t="str">
        <f ca="1">IFERROR(__xludf.DUMMYFUNCTION("""COMPUTED_VALUE"""),".na")</f>
        <v>.na</v>
      </c>
      <c r="G252" s="1" t="str">
        <f ca="1">IFERROR(__xludf.DUMMYFUNCTION("""COMPUTED_VALUE"""),"yes, no")</f>
        <v>yes, no</v>
      </c>
      <c r="H252" s="1" t="str">
        <f ca="1">IFERROR(__xludf.DUMMYFUNCTION("""COMPUTED_VALUE"""),".na")</f>
        <v>.na</v>
      </c>
      <c r="I252" s="1" t="str">
        <f ca="1">IFERROR(__xludf.DUMMYFUNCTION("""COMPUTED_VALUE"""),".na")</f>
        <v>.na</v>
      </c>
      <c r="J252" s="1" t="str">
        <f ca="1">IFERROR(__xludf.DUMMYFUNCTION("""COMPUTED_VALUE"""),"Forest as critical feeding areas: yes, no")</f>
        <v>Forest as critical feeding areas: yes, no</v>
      </c>
      <c r="K252" s="1"/>
      <c r="L252" s="8" t="str">
        <f ca="1">IFERROR(__xludf.DUMMYFUNCTION("""COMPUTED_VALUE"""),"https://doi.org/10.1038/s41597-023-02157-4")</f>
        <v>https://doi.org/10.1038/s41597-023-02157-4</v>
      </c>
      <c r="M252" s="1" t="str">
        <f ca="1">IFERROR(__xludf.DUMMYFUNCTION("""COMPUTED_VALUE"""),"Froidevaux_2023")</f>
        <v>Froidevaux_2023</v>
      </c>
    </row>
    <row r="253" spans="1:13" ht="13.2">
      <c r="A253" s="1" t="str">
        <f ca="1">IFERROR(__xludf.DUMMYFUNCTION("""COMPUTED_VALUE"""),"CriticalFeedingAreasWoodedRiparianHabitat")</f>
        <v>CriticalFeedingAreasWoodedRiparianHabitat</v>
      </c>
      <c r="B253" s="1"/>
      <c r="C253" s="1"/>
      <c r="D253" s="1"/>
      <c r="E253" s="1" t="str">
        <f ca="1">IFERROR(__xludf.DUMMYFUNCTION("""COMPUTED_VALUE"""),"categorical")</f>
        <v>categorical</v>
      </c>
      <c r="F253" s="1" t="str">
        <f ca="1">IFERROR(__xludf.DUMMYFUNCTION("""COMPUTED_VALUE"""),".na")</f>
        <v>.na</v>
      </c>
      <c r="G253" s="1" t="str">
        <f ca="1">IFERROR(__xludf.DUMMYFUNCTION("""COMPUTED_VALUE"""),"yes, no")</f>
        <v>yes, no</v>
      </c>
      <c r="H253" s="1" t="str">
        <f ca="1">IFERROR(__xludf.DUMMYFUNCTION("""COMPUTED_VALUE"""),".na")</f>
        <v>.na</v>
      </c>
      <c r="I253" s="1" t="str">
        <f ca="1">IFERROR(__xludf.DUMMYFUNCTION("""COMPUTED_VALUE"""),".na")</f>
        <v>.na</v>
      </c>
      <c r="J253" s="1" t="str">
        <f ca="1">IFERROR(__xludf.DUMMYFUNCTION("""COMPUTED_VALUE"""),"Wooded riparian habitat as critical feeding areas: yes, no")</f>
        <v>Wooded riparian habitat as critical feeding areas: yes, no</v>
      </c>
      <c r="K253" s="1"/>
      <c r="L253" s="8" t="str">
        <f ca="1">IFERROR(__xludf.DUMMYFUNCTION("""COMPUTED_VALUE"""),"https://doi.org/10.1038/s41597-023-02157-4")</f>
        <v>https://doi.org/10.1038/s41597-023-02157-4</v>
      </c>
      <c r="M253" s="1" t="str">
        <f ca="1">IFERROR(__xludf.DUMMYFUNCTION("""COMPUTED_VALUE"""),"Froidevaux_2023")</f>
        <v>Froidevaux_2023</v>
      </c>
    </row>
    <row r="254" spans="1:13" ht="13.2">
      <c r="A254" s="1" t="str">
        <f ca="1">IFERROR(__xludf.DUMMYFUNCTION("""COMPUTED_VALUE"""),"CriticalFeedingAreasWetland")</f>
        <v>CriticalFeedingAreasWetland</v>
      </c>
      <c r="B254" s="1"/>
      <c r="C254" s="1"/>
      <c r="D254" s="1"/>
      <c r="E254" s="1" t="str">
        <f ca="1">IFERROR(__xludf.DUMMYFUNCTION("""COMPUTED_VALUE"""),"categorical")</f>
        <v>categorical</v>
      </c>
      <c r="F254" s="1" t="str">
        <f ca="1">IFERROR(__xludf.DUMMYFUNCTION("""COMPUTED_VALUE"""),".na")</f>
        <v>.na</v>
      </c>
      <c r="G254" s="1" t="str">
        <f ca="1">IFERROR(__xludf.DUMMYFUNCTION("""COMPUTED_VALUE"""),"yes, no")</f>
        <v>yes, no</v>
      </c>
      <c r="H254" s="1" t="str">
        <f ca="1">IFERROR(__xludf.DUMMYFUNCTION("""COMPUTED_VALUE"""),".na")</f>
        <v>.na</v>
      </c>
      <c r="I254" s="1" t="str">
        <f ca="1">IFERROR(__xludf.DUMMYFUNCTION("""COMPUTED_VALUE"""),".na")</f>
        <v>.na</v>
      </c>
      <c r="J254" s="1" t="str">
        <f ca="1">IFERROR(__xludf.DUMMYFUNCTION("""COMPUTED_VALUE"""),"Wetland as critical feeding areas: yes, no")</f>
        <v>Wetland as critical feeding areas: yes, no</v>
      </c>
      <c r="K254" s="1"/>
      <c r="L254" s="8" t="str">
        <f ca="1">IFERROR(__xludf.DUMMYFUNCTION("""COMPUTED_VALUE"""),"https://doi.org/10.1038/s41597-023-02157-4")</f>
        <v>https://doi.org/10.1038/s41597-023-02157-4</v>
      </c>
      <c r="M254" s="1" t="str">
        <f ca="1">IFERROR(__xludf.DUMMYFUNCTION("""COMPUTED_VALUE"""),"Froidevaux_2023")</f>
        <v>Froidevaux_2023</v>
      </c>
    </row>
    <row r="255" spans="1:13" ht="13.2">
      <c r="A255" s="1" t="str">
        <f ca="1">IFERROR(__xludf.DUMMYFUNCTION("""COMPUTED_VALUE"""),"CriticalFeedingAreasWaterBodies")</f>
        <v>CriticalFeedingAreasWaterBodies</v>
      </c>
      <c r="B255" s="1"/>
      <c r="C255" s="1"/>
      <c r="D255" s="1"/>
      <c r="E255" s="1" t="str">
        <f ca="1">IFERROR(__xludf.DUMMYFUNCTION("""COMPUTED_VALUE"""),"categorical")</f>
        <v>categorical</v>
      </c>
      <c r="F255" s="1" t="str">
        <f ca="1">IFERROR(__xludf.DUMMYFUNCTION("""COMPUTED_VALUE"""),".na")</f>
        <v>.na</v>
      </c>
      <c r="G255" s="1" t="str">
        <f ca="1">IFERROR(__xludf.DUMMYFUNCTION("""COMPUTED_VALUE"""),"yes, no")</f>
        <v>yes, no</v>
      </c>
      <c r="H255" s="1" t="str">
        <f ca="1">IFERROR(__xludf.DUMMYFUNCTION("""COMPUTED_VALUE"""),".na")</f>
        <v>.na</v>
      </c>
      <c r="I255" s="1" t="str">
        <f ca="1">IFERROR(__xludf.DUMMYFUNCTION("""COMPUTED_VALUE"""),".na")</f>
        <v>.na</v>
      </c>
      <c r="J255" s="1" t="str">
        <f ca="1">IFERROR(__xludf.DUMMYFUNCTION("""COMPUTED_VALUE"""),"Water bodies as critical feeding areas: yes, no")</f>
        <v>Water bodies as critical feeding areas: yes, no</v>
      </c>
      <c r="K255" s="1"/>
      <c r="L255" s="8" t="str">
        <f ca="1">IFERROR(__xludf.DUMMYFUNCTION("""COMPUTED_VALUE"""),"https://doi.org/10.1038/s41597-023-02157-4")</f>
        <v>https://doi.org/10.1038/s41597-023-02157-4</v>
      </c>
      <c r="M255" s="1" t="str">
        <f ca="1">IFERROR(__xludf.DUMMYFUNCTION("""COMPUTED_VALUE"""),"Froidevaux_2023")</f>
        <v>Froidevaux_2023</v>
      </c>
    </row>
    <row r="256" spans="1:13" ht="13.2">
      <c r="A256" s="1" t="str">
        <f ca="1">IFERROR(__xludf.DUMMYFUNCTION("""COMPUTED_VALUE"""),"CriticalFeedingAreasGrassland")</f>
        <v>CriticalFeedingAreasGrassland</v>
      </c>
      <c r="B256" s="1"/>
      <c r="C256" s="1"/>
      <c r="D256" s="1"/>
      <c r="E256" s="1" t="str">
        <f ca="1">IFERROR(__xludf.DUMMYFUNCTION("""COMPUTED_VALUE"""),"categorical")</f>
        <v>categorical</v>
      </c>
      <c r="F256" s="1" t="str">
        <f ca="1">IFERROR(__xludf.DUMMYFUNCTION("""COMPUTED_VALUE"""),".na")</f>
        <v>.na</v>
      </c>
      <c r="G256" s="1" t="str">
        <f ca="1">IFERROR(__xludf.DUMMYFUNCTION("""COMPUTED_VALUE"""),"yes, no")</f>
        <v>yes, no</v>
      </c>
      <c r="H256" s="1" t="str">
        <f ca="1">IFERROR(__xludf.DUMMYFUNCTION("""COMPUTED_VALUE"""),".na")</f>
        <v>.na</v>
      </c>
      <c r="I256" s="1" t="str">
        <f ca="1">IFERROR(__xludf.DUMMYFUNCTION("""COMPUTED_VALUE"""),".na")</f>
        <v>.na</v>
      </c>
      <c r="J256" s="1" t="str">
        <f ca="1">IFERROR(__xludf.DUMMYFUNCTION("""COMPUTED_VALUE"""),"Grassland as critical feeding areas: yes, no")</f>
        <v>Grassland as critical feeding areas: yes, no</v>
      </c>
      <c r="K256" s="1"/>
      <c r="L256" s="8" t="str">
        <f ca="1">IFERROR(__xludf.DUMMYFUNCTION("""COMPUTED_VALUE"""),"https://doi.org/10.1038/s41597-023-02157-4")</f>
        <v>https://doi.org/10.1038/s41597-023-02157-4</v>
      </c>
      <c r="M256" s="1" t="str">
        <f ca="1">IFERROR(__xludf.DUMMYFUNCTION("""COMPUTED_VALUE"""),"Froidevaux_2023")</f>
        <v>Froidevaux_2023</v>
      </c>
    </row>
    <row r="257" spans="1:13" ht="13.2">
      <c r="A257" s="1" t="str">
        <f ca="1">IFERROR(__xludf.DUMMYFUNCTION("""COMPUTED_VALUE"""),"CriticalFeedingAreasHedgerows")</f>
        <v>CriticalFeedingAreasHedgerows</v>
      </c>
      <c r="B257" s="1"/>
      <c r="C257" s="1"/>
      <c r="D257" s="1"/>
      <c r="E257" s="1" t="str">
        <f ca="1">IFERROR(__xludf.DUMMYFUNCTION("""COMPUTED_VALUE"""),"categorical")</f>
        <v>categorical</v>
      </c>
      <c r="F257" s="1" t="str">
        <f ca="1">IFERROR(__xludf.DUMMYFUNCTION("""COMPUTED_VALUE"""),".na")</f>
        <v>.na</v>
      </c>
      <c r="G257" s="1" t="str">
        <f ca="1">IFERROR(__xludf.DUMMYFUNCTION("""COMPUTED_VALUE"""),"yes, no")</f>
        <v>yes, no</v>
      </c>
      <c r="H257" s="1" t="str">
        <f ca="1">IFERROR(__xludf.DUMMYFUNCTION("""COMPUTED_VALUE"""),".na")</f>
        <v>.na</v>
      </c>
      <c r="I257" s="1" t="str">
        <f ca="1">IFERROR(__xludf.DUMMYFUNCTION("""COMPUTED_VALUE"""),".na")</f>
        <v>.na</v>
      </c>
      <c r="J257" s="1" t="str">
        <f ca="1">IFERROR(__xludf.DUMMYFUNCTION("""COMPUTED_VALUE"""),"Hedgerows as critical feeding areas: yes, no")</f>
        <v>Hedgerows as critical feeding areas: yes, no</v>
      </c>
      <c r="K257" s="1"/>
      <c r="L257" s="8" t="str">
        <f ca="1">IFERROR(__xludf.DUMMYFUNCTION("""COMPUTED_VALUE"""),"https://doi.org/10.1038/s41597-023-02157-4")</f>
        <v>https://doi.org/10.1038/s41597-023-02157-4</v>
      </c>
      <c r="M257" s="1" t="str">
        <f ca="1">IFERROR(__xludf.DUMMYFUNCTION("""COMPUTED_VALUE"""),"Froidevaux_2023")</f>
        <v>Froidevaux_2023</v>
      </c>
    </row>
    <row r="258" spans="1:13" ht="13.2">
      <c r="A258" s="1" t="str">
        <f ca="1">IFERROR(__xludf.DUMMYFUNCTION("""COMPUTED_VALUE"""),"CriticalFeedingAreasOrchard")</f>
        <v>CriticalFeedingAreasOrchard</v>
      </c>
      <c r="B258" s="1"/>
      <c r="C258" s="1"/>
      <c r="D258" s="1"/>
      <c r="E258" s="1" t="str">
        <f ca="1">IFERROR(__xludf.DUMMYFUNCTION("""COMPUTED_VALUE"""),"categorical")</f>
        <v>categorical</v>
      </c>
      <c r="F258" s="1" t="str">
        <f ca="1">IFERROR(__xludf.DUMMYFUNCTION("""COMPUTED_VALUE"""),".na")</f>
        <v>.na</v>
      </c>
      <c r="G258" s="1" t="str">
        <f ca="1">IFERROR(__xludf.DUMMYFUNCTION("""COMPUTED_VALUE"""),"yes, no")</f>
        <v>yes, no</v>
      </c>
      <c r="H258" s="1" t="str">
        <f ca="1">IFERROR(__xludf.DUMMYFUNCTION("""COMPUTED_VALUE"""),".na")</f>
        <v>.na</v>
      </c>
      <c r="I258" s="1" t="str">
        <f ca="1">IFERROR(__xludf.DUMMYFUNCTION("""COMPUTED_VALUE"""),".na")</f>
        <v>.na</v>
      </c>
      <c r="J258" s="1" t="str">
        <f ca="1">IFERROR(__xludf.DUMMYFUNCTION("""COMPUTED_VALUE"""),"Orchard as critical feeding areas: yes, no")</f>
        <v>Orchard as critical feeding areas: yes, no</v>
      </c>
      <c r="K258" s="1"/>
      <c r="L258" s="8" t="str">
        <f ca="1">IFERROR(__xludf.DUMMYFUNCTION("""COMPUTED_VALUE"""),"https://doi.org/10.1038/s41597-023-02157-4")</f>
        <v>https://doi.org/10.1038/s41597-023-02157-4</v>
      </c>
      <c r="M258" s="1" t="str">
        <f ca="1">IFERROR(__xludf.DUMMYFUNCTION("""COMPUTED_VALUE"""),"Froidevaux_2023")</f>
        <v>Froidevaux_2023</v>
      </c>
    </row>
    <row r="259" spans="1:13" ht="13.2">
      <c r="A259" s="1" t="str">
        <f ca="1">IFERROR(__xludf.DUMMYFUNCTION("""COMPUTED_VALUE"""),"CriticalFeedingAreasShrubland")</f>
        <v>CriticalFeedingAreasShrubland</v>
      </c>
      <c r="B259" s="1"/>
      <c r="C259" s="1"/>
      <c r="D259" s="1"/>
      <c r="E259" s="1" t="str">
        <f ca="1">IFERROR(__xludf.DUMMYFUNCTION("""COMPUTED_VALUE"""),"categorical")</f>
        <v>categorical</v>
      </c>
      <c r="F259" s="1" t="str">
        <f ca="1">IFERROR(__xludf.DUMMYFUNCTION("""COMPUTED_VALUE"""),".na")</f>
        <v>.na</v>
      </c>
      <c r="G259" s="1" t="str">
        <f ca="1">IFERROR(__xludf.DUMMYFUNCTION("""COMPUTED_VALUE"""),"yes, no")</f>
        <v>yes, no</v>
      </c>
      <c r="H259" s="1" t="str">
        <f ca="1">IFERROR(__xludf.DUMMYFUNCTION("""COMPUTED_VALUE"""),".na")</f>
        <v>.na</v>
      </c>
      <c r="I259" s="1" t="str">
        <f ca="1">IFERROR(__xludf.DUMMYFUNCTION("""COMPUTED_VALUE"""),".na")</f>
        <v>.na</v>
      </c>
      <c r="J259" s="1" t="str">
        <f ca="1">IFERROR(__xludf.DUMMYFUNCTION("""COMPUTED_VALUE"""),"Shrubland as critical feeding areas: yes, no")</f>
        <v>Shrubland as critical feeding areas: yes, no</v>
      </c>
      <c r="K259" s="1"/>
      <c r="L259" s="8" t="str">
        <f ca="1">IFERROR(__xludf.DUMMYFUNCTION("""COMPUTED_VALUE"""),"https://doi.org/10.1038/s41597-023-02157-4")</f>
        <v>https://doi.org/10.1038/s41597-023-02157-4</v>
      </c>
      <c r="M259" s="1" t="str">
        <f ca="1">IFERROR(__xludf.DUMMYFUNCTION("""COMPUTED_VALUE"""),"Froidevaux_2023")</f>
        <v>Froidevaux_2023</v>
      </c>
    </row>
    <row r="260" spans="1:13" ht="13.2">
      <c r="A260" s="1" t="str">
        <f ca="1">IFERROR(__xludf.DUMMYFUNCTION("""COMPUTED_VALUE"""),"CriticalFeedingAreasOpenHabitat")</f>
        <v>CriticalFeedingAreasOpenHabitat</v>
      </c>
      <c r="B260" s="1"/>
      <c r="C260" s="1"/>
      <c r="D260" s="1"/>
      <c r="E260" s="1" t="str">
        <f ca="1">IFERROR(__xludf.DUMMYFUNCTION("""COMPUTED_VALUE"""),"categorical")</f>
        <v>categorical</v>
      </c>
      <c r="F260" s="1" t="str">
        <f ca="1">IFERROR(__xludf.DUMMYFUNCTION("""COMPUTED_VALUE"""),".na")</f>
        <v>.na</v>
      </c>
      <c r="G260" s="1" t="str">
        <f ca="1">IFERROR(__xludf.DUMMYFUNCTION("""COMPUTED_VALUE"""),"yes, no")</f>
        <v>yes, no</v>
      </c>
      <c r="H260" s="1" t="str">
        <f ca="1">IFERROR(__xludf.DUMMYFUNCTION("""COMPUTED_VALUE"""),".na")</f>
        <v>.na</v>
      </c>
      <c r="I260" s="1" t="str">
        <f ca="1">IFERROR(__xludf.DUMMYFUNCTION("""COMPUTED_VALUE"""),".na")</f>
        <v>.na</v>
      </c>
      <c r="J260" s="1" t="str">
        <f ca="1">IFERROR(__xludf.DUMMYFUNCTION("""COMPUTED_VALUE"""),"Open habitat as critical feeding areas: yes, no")</f>
        <v>Open habitat as critical feeding areas: yes, no</v>
      </c>
      <c r="K260" s="1"/>
      <c r="L260" s="8" t="str">
        <f ca="1">IFERROR(__xludf.DUMMYFUNCTION("""COMPUTED_VALUE"""),"https://doi.org/10.1038/s41597-023-02157-4")</f>
        <v>https://doi.org/10.1038/s41597-023-02157-4</v>
      </c>
      <c r="M260" s="1" t="str">
        <f ca="1">IFERROR(__xludf.DUMMYFUNCTION("""COMPUTED_VALUE"""),"Froidevaux_2023")</f>
        <v>Froidevaux_2023</v>
      </c>
    </row>
    <row r="261" spans="1:13" ht="13.2">
      <c r="A261" s="1" t="str">
        <f ca="1">IFERROR(__xludf.DUMMYFUNCTION("""COMPUTED_VALUE"""),"CriticalFeedingAreasUrbanParKGarden")</f>
        <v>CriticalFeedingAreasUrbanParKGarden</v>
      </c>
      <c r="B261" s="1"/>
      <c r="C261" s="1"/>
      <c r="D261" s="1"/>
      <c r="E261" s="1" t="str">
        <f ca="1">IFERROR(__xludf.DUMMYFUNCTION("""COMPUTED_VALUE"""),"categorical")</f>
        <v>categorical</v>
      </c>
      <c r="F261" s="1" t="str">
        <f ca="1">IFERROR(__xludf.DUMMYFUNCTION("""COMPUTED_VALUE"""),".na")</f>
        <v>.na</v>
      </c>
      <c r="G261" s="1" t="str">
        <f ca="1">IFERROR(__xludf.DUMMYFUNCTION("""COMPUTED_VALUE"""),"yes, no")</f>
        <v>yes, no</v>
      </c>
      <c r="H261" s="1" t="str">
        <f ca="1">IFERROR(__xludf.DUMMYFUNCTION("""COMPUTED_VALUE"""),".na")</f>
        <v>.na</v>
      </c>
      <c r="I261" s="1" t="str">
        <f ca="1">IFERROR(__xludf.DUMMYFUNCTION("""COMPUTED_VALUE"""),".na")</f>
        <v>.na</v>
      </c>
      <c r="J261" s="1" t="str">
        <f ca="1">IFERROR(__xludf.DUMMYFUNCTION("""COMPUTED_VALUE"""),"Urban park/garden as critical feeding areas: yes, no")</f>
        <v>Urban park/garden as critical feeding areas: yes, no</v>
      </c>
      <c r="K261" s="1"/>
      <c r="L261" s="8" t="str">
        <f ca="1">IFERROR(__xludf.DUMMYFUNCTION("""COMPUTED_VALUE"""),"https://doi.org/10.1038/s41597-023-02157-4")</f>
        <v>https://doi.org/10.1038/s41597-023-02157-4</v>
      </c>
      <c r="M261" s="1" t="str">
        <f ca="1">IFERROR(__xludf.DUMMYFUNCTION("""COMPUTED_VALUE"""),"Froidevaux_2023")</f>
        <v>Froidevaux_2023</v>
      </c>
    </row>
    <row r="262" spans="1:13" ht="13.2">
      <c r="A262" s="1" t="str">
        <f ca="1">IFERROR(__xludf.DUMMYFUNCTION("""COMPUTED_VALUE"""),"AllelicRichness")</f>
        <v>AllelicRichness</v>
      </c>
      <c r="B262" s="1"/>
      <c r="C262" s="1"/>
      <c r="D262" s="1"/>
      <c r="E262" s="1" t="str">
        <f ca="1">IFERROR(__xludf.DUMMYFUNCTION("""COMPUTED_VALUE"""),"numeric")</f>
        <v>numeric</v>
      </c>
      <c r="F262" s="1" t="str">
        <f ca="1">IFERROR(__xludf.DUMMYFUNCTION("""COMPUTED_VALUE"""),"Number of alleles")</f>
        <v>Number of alleles</v>
      </c>
      <c r="G262" s="1" t="str">
        <f ca="1">IFERROR(__xludf.DUMMYFUNCTION("""COMPUTED_VALUE"""),".na")</f>
        <v>.na</v>
      </c>
      <c r="H262" s="1"/>
      <c r="I262" s="1"/>
      <c r="J262" s="1" t="str">
        <f ca="1">IFERROR(__xludf.DUMMYFUNCTION("""COMPUTED_VALUE"""),"Average number of alleles (genetic variants) per microsatellite locus")</f>
        <v>Average number of alleles (genetic variants) per microsatellite locus</v>
      </c>
      <c r="K262" s="1"/>
      <c r="L262" s="8" t="str">
        <f ca="1">IFERROR(__xludf.DUMMYFUNCTION("""COMPUTED_VALUE"""),"https://doi.org/10.1038/s41597-023-02157-4")</f>
        <v>https://doi.org/10.1038/s41597-023-02157-4</v>
      </c>
      <c r="M262" s="1" t="str">
        <f ca="1">IFERROR(__xludf.DUMMYFUNCTION("""COMPUTED_VALUE"""),"Froidevaux_2023")</f>
        <v>Froidevaux_2023</v>
      </c>
    </row>
    <row r="263" spans="1:13" ht="13.2">
      <c r="A263" s="1" t="str">
        <f ca="1">IFERROR(__xludf.DUMMYFUNCTION("""COMPUTED_VALUE"""),"CompleteMitochondrialGenome(bp)")</f>
        <v>CompleteMitochondrialGenome(bp)</v>
      </c>
      <c r="B263" s="1"/>
      <c r="C263" s="1"/>
      <c r="D263" s="1"/>
      <c r="E263" s="1" t="str">
        <f ca="1">IFERROR(__xludf.DUMMYFUNCTION("""COMPUTED_VALUE"""),"numeric")</f>
        <v>numeric</v>
      </c>
      <c r="F263" s="1" t="str">
        <f ca="1">IFERROR(__xludf.DUMMYFUNCTION("""COMPUTED_VALUE"""),"base pairs")</f>
        <v>base pairs</v>
      </c>
      <c r="G263" s="1" t="str">
        <f ca="1">IFERROR(__xludf.DUMMYFUNCTION("""COMPUTED_VALUE"""),".na")</f>
        <v>.na</v>
      </c>
      <c r="H263" s="1"/>
      <c r="I263" s="1"/>
      <c r="J263" s="1" t="str">
        <f ca="1">IFERROR(__xludf.DUMMYFUNCTION("""COMPUTED_VALUE"""),"Number of base pairs in complete mtDNA genome")</f>
        <v>Number of base pairs in complete mtDNA genome</v>
      </c>
      <c r="K263" s="1"/>
      <c r="L263" s="8" t="str">
        <f ca="1">IFERROR(__xludf.DUMMYFUNCTION("""COMPUTED_VALUE"""),"https://doi.org/10.1038/s41597-023-02157-4")</f>
        <v>https://doi.org/10.1038/s41597-023-02157-4</v>
      </c>
      <c r="M263" s="1" t="str">
        <f ca="1">IFERROR(__xludf.DUMMYFUNCTION("""COMPUTED_VALUE"""),"Froidevaux_2023")</f>
        <v>Froidevaux_2023</v>
      </c>
    </row>
    <row r="264" spans="1:13" ht="13.2">
      <c r="A264" s="1" t="str">
        <f ca="1">IFERROR(__xludf.DUMMYFUNCTION("""COMPUTED_VALUE"""),"GeneticPopulationStructure")</f>
        <v>GeneticPopulationStructure</v>
      </c>
      <c r="B264" s="1"/>
      <c r="C264" s="1"/>
      <c r="D264" s="1"/>
      <c r="E264" s="1" t="str">
        <f ca="1">IFERROR(__xludf.DUMMYFUNCTION("""COMPUTED_VALUE"""),"numeric")</f>
        <v>numeric</v>
      </c>
      <c r="F264" s="1" t="str">
        <f ca="1">IFERROR(__xludf.DUMMYFUNCTION("""COMPUTED_VALUE"""),"Number of sub-populations")</f>
        <v>Number of sub-populations</v>
      </c>
      <c r="G264" s="1" t="str">
        <f ca="1">IFERROR(__xludf.DUMMYFUNCTION("""COMPUTED_VALUE"""),".na")</f>
        <v>.na</v>
      </c>
      <c r="H264" s="1"/>
      <c r="I264" s="1"/>
      <c r="J264" s="1" t="str">
        <f ca="1">IFERROR(__xludf.DUMMYFUNCTION("""COMPUTED_VALUE"""),"Number of genetic sub-population clusters measured according to individual ancestry based on microsatellite or SNP datasets")</f>
        <v>Number of genetic sub-population clusters measured according to individual ancestry based on microsatellite or SNP datasets</v>
      </c>
      <c r="K264" s="1"/>
      <c r="L264" s="8" t="str">
        <f ca="1">IFERROR(__xludf.DUMMYFUNCTION("""COMPUTED_VALUE"""),"https://doi.org/10.1038/s41597-023-02157-4")</f>
        <v>https://doi.org/10.1038/s41597-023-02157-4</v>
      </c>
      <c r="M264" s="1" t="str">
        <f ca="1">IFERROR(__xludf.DUMMYFUNCTION("""COMPUTED_VALUE"""),"Froidevaux_2023")</f>
        <v>Froidevaux_2023</v>
      </c>
    </row>
    <row r="265" spans="1:13" ht="13.2">
      <c r="A265" s="1" t="str">
        <f ca="1">IFERROR(__xludf.DUMMYFUNCTION("""COMPUTED_VALUE"""),"GenomeSize_(Gb)")</f>
        <v>GenomeSize_(Gb)</v>
      </c>
      <c r="B265" s="1"/>
      <c r="C265" s="1"/>
      <c r="D265" s="1"/>
      <c r="E265" s="1" t="str">
        <f ca="1">IFERROR(__xludf.DUMMYFUNCTION("""COMPUTED_VALUE"""),"numeric")</f>
        <v>numeric</v>
      </c>
      <c r="F265" s="1" t="str">
        <f ca="1">IFERROR(__xludf.DUMMYFUNCTION("""COMPUTED_VALUE"""),"Giga base pairs")</f>
        <v>Giga base pairs</v>
      </c>
      <c r="G265" s="1" t="str">
        <f ca="1">IFERROR(__xludf.DUMMYFUNCTION("""COMPUTED_VALUE"""),".na")</f>
        <v>.na</v>
      </c>
      <c r="H265" s="1"/>
      <c r="I265" s="1"/>
      <c r="J265" s="1" t="str">
        <f ca="1">IFERROR(__xludf.DUMMYFUNCTION("""COMPUTED_VALUE"""),"The amount of DNA in the genome measured as number of nucleotide base pairs")</f>
        <v>The amount of DNA in the genome measured as number of nucleotide base pairs</v>
      </c>
      <c r="K265" s="1"/>
      <c r="L265" s="8" t="str">
        <f ca="1">IFERROR(__xludf.DUMMYFUNCTION("""COMPUTED_VALUE"""),"https://doi.org/10.1038/s41597-023-02157-4")</f>
        <v>https://doi.org/10.1038/s41597-023-02157-4</v>
      </c>
      <c r="M265" s="1" t="str">
        <f ca="1">IFERROR(__xludf.DUMMYFUNCTION("""COMPUTED_VALUE"""),"Froidevaux_2023")</f>
        <v>Froidevaux_2023</v>
      </c>
    </row>
    <row r="266" spans="1:13" ht="13.2">
      <c r="A266" s="1" t="str">
        <f ca="1">IFERROR(__xludf.DUMMYFUNCTION("""COMPUTED_VALUE"""),"Hybridization")</f>
        <v>Hybridization</v>
      </c>
      <c r="B266" s="1"/>
      <c r="C266" s="1"/>
      <c r="D266" s="1"/>
      <c r="E266" s="1" t="str">
        <f ca="1">IFERROR(__xludf.DUMMYFUNCTION("""COMPUTED_VALUE"""),"categorical")</f>
        <v>categorical</v>
      </c>
      <c r="F266" s="1" t="str">
        <f ca="1">IFERROR(__xludf.DUMMYFUNCTION("""COMPUTED_VALUE"""),".na")</f>
        <v>.na</v>
      </c>
      <c r="G266" s="1" t="str">
        <f ca="1">IFERROR(__xludf.DUMMYFUNCTION("""COMPUTED_VALUE"""),"yes, no, possible")</f>
        <v>yes, no, possible</v>
      </c>
      <c r="H266" s="1" t="str">
        <f ca="1">IFERROR(__xludf.DUMMYFUNCTION("""COMPUTED_VALUE"""),".na")</f>
        <v>.na</v>
      </c>
      <c r="I266" s="1" t="str">
        <f ca="1">IFERROR(__xludf.DUMMYFUNCTION("""COMPUTED_VALUE"""),".na")</f>
        <v>.na</v>
      </c>
      <c r="J266" s="1" t="str">
        <f ca="1">IFERROR(__xludf.DUMMYFUNCTION("""COMPUTED_VALUE"""),"Hybridization: yes, no, possible")</f>
        <v>Hybridization: yes, no, possible</v>
      </c>
      <c r="K266" s="1"/>
      <c r="L266" s="8" t="str">
        <f ca="1">IFERROR(__xludf.DUMMYFUNCTION("""COMPUTED_VALUE"""),"https://doi.org/10.1038/s41597-023-02157-4")</f>
        <v>https://doi.org/10.1038/s41597-023-02157-4</v>
      </c>
      <c r="M266" s="1" t="str">
        <f ca="1">IFERROR(__xludf.DUMMYFUNCTION("""COMPUTED_VALUE"""),"Froidevaux_2023")</f>
        <v>Froidevaux_2023</v>
      </c>
    </row>
    <row r="267" spans="1:13" ht="13.2">
      <c r="A267" s="1" t="str">
        <f ca="1">IFERROR(__xludf.DUMMYFUNCTION("""COMPUTED_VALUE"""),"Karyotype")</f>
        <v>Karyotype</v>
      </c>
      <c r="B267" s="1"/>
      <c r="C267" s="1"/>
      <c r="D267" s="1"/>
      <c r="E267" s="1" t="str">
        <f ca="1">IFERROR(__xludf.DUMMYFUNCTION("""COMPUTED_VALUE"""),"numeric")</f>
        <v>numeric</v>
      </c>
      <c r="F267" s="1" t="str">
        <f ca="1">IFERROR(__xludf.DUMMYFUNCTION("""COMPUTED_VALUE"""),"Number of chromosomes")</f>
        <v>Number of chromosomes</v>
      </c>
      <c r="G267" s="1" t="str">
        <f ca="1">IFERROR(__xludf.DUMMYFUNCTION("""COMPUTED_VALUE"""),".na")</f>
        <v>.na</v>
      </c>
      <c r="H267" s="1"/>
      <c r="I267" s="1"/>
      <c r="J267" s="1" t="str">
        <f ca="1">IFERROR(__xludf.DUMMYFUNCTION("""COMPUTED_VALUE"""),"Number of chromosomes")</f>
        <v>Number of chromosomes</v>
      </c>
      <c r="K267" s="1"/>
      <c r="L267" s="8" t="str">
        <f ca="1">IFERROR(__xludf.DUMMYFUNCTION("""COMPUTED_VALUE"""),"https://doi.org/10.1038/s41597-023-02157-4")</f>
        <v>https://doi.org/10.1038/s41597-023-02157-4</v>
      </c>
      <c r="M267" s="1" t="str">
        <f ca="1">IFERROR(__xludf.DUMMYFUNCTION("""COMPUTED_VALUE"""),"Froidevaux_2023")</f>
        <v>Froidevaux_2023</v>
      </c>
    </row>
    <row r="268" spans="1:13" ht="13.2">
      <c r="A268" s="1" t="str">
        <f ca="1">IFERROR(__xludf.DUMMYFUNCTION("""COMPUTED_VALUE"""),"Linage")</f>
        <v>Linage</v>
      </c>
      <c r="B268" s="1"/>
      <c r="C268" s="1"/>
      <c r="D268" s="1"/>
      <c r="E268" s="1" t="str">
        <f ca="1">IFERROR(__xludf.DUMMYFUNCTION("""COMPUTED_VALUE"""),"numeric")</f>
        <v>numeric</v>
      </c>
      <c r="F268" s="1" t="str">
        <f ca="1">IFERROR(__xludf.DUMMYFUNCTION("""COMPUTED_VALUE"""),"Number of genetic lineages")</f>
        <v>Number of genetic lineages</v>
      </c>
      <c r="G268" s="1" t="str">
        <f ca="1">IFERROR(__xludf.DUMMYFUNCTION("""COMPUTED_VALUE"""),".na")</f>
        <v>.na</v>
      </c>
      <c r="H268" s="1"/>
      <c r="I268" s="1"/>
      <c r="J268" s="1" t="str">
        <f ca="1">IFERROR(__xludf.DUMMYFUNCTION("""COMPUTED_VALUE"""),"Number of genetic lineages in the phylogenetic tree constructed with nuclear DNA or mitochondrial DNA sequences")</f>
        <v>Number of genetic lineages in the phylogenetic tree constructed with nuclear DNA or mitochondrial DNA sequences</v>
      </c>
      <c r="K268" s="1"/>
      <c r="L268" s="8" t="str">
        <f ca="1">IFERROR(__xludf.DUMMYFUNCTION("""COMPUTED_VALUE"""),"https://doi.org/10.1038/s41597-023-02157-4")</f>
        <v>https://doi.org/10.1038/s41597-023-02157-4</v>
      </c>
      <c r="M268" s="1" t="str">
        <f ca="1">IFERROR(__xludf.DUMMYFUNCTION("""COMPUTED_VALUE"""),"Froidevaux_2023")</f>
        <v>Froidevaux_2023</v>
      </c>
    </row>
    <row r="269" spans="1:13" ht="13.2">
      <c r="A269" s="1" t="str">
        <f ca="1">IFERROR(__xludf.DUMMYFUNCTION("""COMPUTED_VALUE"""),"NF")</f>
        <v>NF</v>
      </c>
      <c r="B269" s="1"/>
      <c r="C269" s="1"/>
      <c r="D269" s="1"/>
      <c r="E269" s="1" t="str">
        <f ca="1">IFERROR(__xludf.DUMMYFUNCTION("""COMPUTED_VALUE"""),"numeric")</f>
        <v>numeric</v>
      </c>
      <c r="F269" s="1" t="str">
        <f ca="1">IFERROR(__xludf.DUMMYFUNCTION("""COMPUTED_VALUE"""),"Number of chromosomal arms")</f>
        <v>Number of chromosomal arms</v>
      </c>
      <c r="G269" s="1" t="str">
        <f ca="1">IFERROR(__xludf.DUMMYFUNCTION("""COMPUTED_VALUE"""),".na")</f>
        <v>.na</v>
      </c>
      <c r="H269" s="1"/>
      <c r="I269" s="1"/>
      <c r="J269" s="1" t="str">
        <f ca="1">IFERROR(__xludf.DUMMYFUNCTION("""COMPUTED_VALUE"""),"Number of chromosomal arms")</f>
        <v>Number of chromosomal arms</v>
      </c>
      <c r="K269" s="1"/>
      <c r="L269" s="8" t="str">
        <f ca="1">IFERROR(__xludf.DUMMYFUNCTION("""COMPUTED_VALUE"""),"https://doi.org/10.1038/s41597-023-02157-4")</f>
        <v>https://doi.org/10.1038/s41597-023-02157-4</v>
      </c>
      <c r="M269" s="1" t="str">
        <f ca="1">IFERROR(__xludf.DUMMYFUNCTION("""COMPUTED_VALUE"""),"Froidevaux_2023")</f>
        <v>Froidevaux_2023</v>
      </c>
    </row>
    <row r="270" spans="1:13" ht="13.2">
      <c r="A270" s="1" t="str">
        <f ca="1">IFERROR(__xludf.DUMMYFUNCTION("""COMPUTED_VALUE"""),"NFa")</f>
        <v>NFa</v>
      </c>
      <c r="B270" s="1"/>
      <c r="C270" s="1"/>
      <c r="D270" s="1"/>
      <c r="E270" s="1" t="str">
        <f ca="1">IFERROR(__xludf.DUMMYFUNCTION("""COMPUTED_VALUE"""),"numeric")</f>
        <v>numeric</v>
      </c>
      <c r="F270" s="1" t="str">
        <f ca="1">IFERROR(__xludf.DUMMYFUNCTION("""COMPUTED_VALUE"""),"Number of autosomal arms")</f>
        <v>Number of autosomal arms</v>
      </c>
      <c r="G270" s="1" t="str">
        <f ca="1">IFERROR(__xludf.DUMMYFUNCTION("""COMPUTED_VALUE"""),".na")</f>
        <v>.na</v>
      </c>
      <c r="H270" s="1"/>
      <c r="I270" s="1"/>
      <c r="J270" s="1" t="str">
        <f ca="1">IFERROR(__xludf.DUMMYFUNCTION("""COMPUTED_VALUE"""),"Number of autosomal arms")</f>
        <v>Number of autosomal arms</v>
      </c>
      <c r="K270" s="1"/>
      <c r="L270" s="8" t="str">
        <f ca="1">IFERROR(__xludf.DUMMYFUNCTION("""COMPUTED_VALUE"""),"https://doi.org/10.1038/s41597-023-02157-4")</f>
        <v>https://doi.org/10.1038/s41597-023-02157-4</v>
      </c>
      <c r="M270" s="1" t="str">
        <f ca="1">IFERROR(__xludf.DUMMYFUNCTION("""COMPUTED_VALUE"""),"Froidevaux_2023")</f>
        <v>Froidevaux_2023</v>
      </c>
    </row>
    <row r="271" spans="1:13" ht="13.2">
      <c r="A271" s="1" t="str">
        <f ca="1">IFERROR(__xludf.DUMMYFUNCTION("""COMPUTED_VALUE"""),"EstExtentOccurrence")</f>
        <v>EstExtentOccurrence</v>
      </c>
      <c r="B271" s="1"/>
      <c r="C271" s="1"/>
      <c r="D271" s="1"/>
      <c r="E271" s="1" t="str">
        <f ca="1">IFERROR(__xludf.DUMMYFUNCTION("""COMPUTED_VALUE"""),"numeric")</f>
        <v>numeric</v>
      </c>
      <c r="F271" s="1" t="str">
        <f ca="1">IFERROR(__xludf.DUMMYFUNCTION("""COMPUTED_VALUE"""),"km2")</f>
        <v>km2</v>
      </c>
      <c r="G271" s="1" t="str">
        <f ca="1">IFERROR(__xludf.DUMMYFUNCTION("""COMPUTED_VALUE"""),".na")</f>
        <v>.na</v>
      </c>
      <c r="H271" s="1"/>
      <c r="I271" s="1"/>
      <c r="J271" s="1" t="str">
        <f ca="1">IFERROR(__xludf.DUMMYFUNCTION("""COMPUTED_VALUE"""),"Estimated extent of occurrence: area contained within the shortest continuous imaginary boundary which can be drawn to encompass all the known, inferred or projected sites of present occurrence of a taxon, excluding cases of vagrancy")</f>
        <v>Estimated extent of occurrence: area contained within the shortest continuous imaginary boundary which can be drawn to encompass all the known, inferred or projected sites of present occurrence of a taxon, excluding cases of vagrancy</v>
      </c>
      <c r="K271" s="1"/>
      <c r="L271" s="8" t="str">
        <f ca="1">IFERROR(__xludf.DUMMYFUNCTION("""COMPUTED_VALUE"""),"https://doi.org/10.1038/s41597-023-02157-4")</f>
        <v>https://doi.org/10.1038/s41597-023-02157-4</v>
      </c>
      <c r="M271" s="1" t="str">
        <f ca="1">IFERROR(__xludf.DUMMYFUNCTION("""COMPUTED_VALUE"""),"Froidevaux_2023")</f>
        <v>Froidevaux_2023</v>
      </c>
    </row>
    <row r="272" spans="1:13" ht="13.2">
      <c r="A272" s="1" t="str">
        <f ca="1">IFERROR(__xludf.DUMMYFUNCTION("""COMPUTED_VALUE"""),"GeographicRange")</f>
        <v>GeographicRange</v>
      </c>
      <c r="B272" s="1"/>
      <c r="C272" s="1"/>
      <c r="D272" s="1"/>
      <c r="E272" s="1" t="str">
        <f ca="1">IFERROR(__xludf.DUMMYFUNCTION("""COMPUTED_VALUE"""),"numeric")</f>
        <v>numeric</v>
      </c>
      <c r="F272" s="1" t="str">
        <f ca="1">IFERROR(__xludf.DUMMYFUNCTION("""COMPUTED_VALUE"""),"km2")</f>
        <v>km2</v>
      </c>
      <c r="G272" s="1" t="str">
        <f ca="1">IFERROR(__xludf.DUMMYFUNCTION("""COMPUTED_VALUE"""),".na")</f>
        <v>.na</v>
      </c>
      <c r="H272" s="1"/>
      <c r="I272" s="1"/>
      <c r="J272" s="1" t="str">
        <f ca="1">IFERROR(__xludf.DUMMYFUNCTION("""COMPUTED_VALUE"""),"Spatial area where a species is found")</f>
        <v>Spatial area where a species is found</v>
      </c>
      <c r="K272" s="1"/>
      <c r="L272" s="8" t="str">
        <f ca="1">IFERROR(__xludf.DUMMYFUNCTION("""COMPUTED_VALUE"""),"https://doi.org/10.1038/s41597-023-02157-4")</f>
        <v>https://doi.org/10.1038/s41597-023-02157-4</v>
      </c>
      <c r="M272" s="1" t="str">
        <f ca="1">IFERROR(__xludf.DUMMYFUNCTION("""COMPUTED_VALUE"""),"Froidevaux_2023")</f>
        <v>Froidevaux_2023</v>
      </c>
    </row>
    <row r="273" spans="1:13" ht="13.2">
      <c r="A273" s="1" t="str">
        <f ca="1">IFERROR(__xludf.DUMMYFUNCTION("""COMPUTED_VALUE"""),"UpperElevationLimit")</f>
        <v>UpperElevationLimit</v>
      </c>
      <c r="B273" s="1"/>
      <c r="C273" s="1"/>
      <c r="D273" s="1"/>
      <c r="E273" s="1" t="str">
        <f ca="1">IFERROR(__xludf.DUMMYFUNCTION("""COMPUTED_VALUE"""),"numeric")</f>
        <v>numeric</v>
      </c>
      <c r="F273" s="1" t="str">
        <f ca="1">IFERROR(__xludf.DUMMYFUNCTION("""COMPUTED_VALUE"""),"m")</f>
        <v>m</v>
      </c>
      <c r="G273" s="1" t="str">
        <f ca="1">IFERROR(__xludf.DUMMYFUNCTION("""COMPUTED_VALUE"""),".na")</f>
        <v>.na</v>
      </c>
      <c r="H273" s="1"/>
      <c r="I273" s="1"/>
      <c r="J273" s="1" t="str">
        <f ca="1">IFERROR(__xludf.DUMMYFUNCTION("""COMPUTED_VALUE"""),"Upper elevation limit")</f>
        <v>Upper elevation limit</v>
      </c>
      <c r="K273" s="1"/>
      <c r="L273" s="8" t="str">
        <f ca="1">IFERROR(__xludf.DUMMYFUNCTION("""COMPUTED_VALUE"""),"https://doi.org/10.1038/s41597-023-02157-4")</f>
        <v>https://doi.org/10.1038/s41597-023-02157-4</v>
      </c>
      <c r="M273" s="1" t="str">
        <f ca="1">IFERROR(__xludf.DUMMYFUNCTION("""COMPUTED_VALUE"""),"Froidevaux_2023")</f>
        <v>Froidevaux_2023</v>
      </c>
    </row>
    <row r="274" spans="1:13" ht="13.2">
      <c r="A274" s="1" t="str">
        <f ca="1">IFERROR(__xludf.DUMMYFUNCTION("""COMPUTED_VALUE"""),"IslandEndemic")</f>
        <v>IslandEndemic</v>
      </c>
      <c r="B274" s="1"/>
      <c r="C274" s="1"/>
      <c r="D274" s="1"/>
      <c r="E274" s="1" t="str">
        <f ca="1">IFERROR(__xludf.DUMMYFUNCTION("""COMPUTED_VALUE"""),"categorical")</f>
        <v>categorical</v>
      </c>
      <c r="F274" s="1" t="str">
        <f ca="1">IFERROR(__xludf.DUMMYFUNCTION("""COMPUTED_VALUE"""),".na")</f>
        <v>.na</v>
      </c>
      <c r="G274" s="1" t="str">
        <f ca="1">IFERROR(__xludf.DUMMYFUNCTION("""COMPUTED_VALUE"""),"yes, no")</f>
        <v>yes, no</v>
      </c>
      <c r="H274" s="1" t="str">
        <f ca="1">IFERROR(__xludf.DUMMYFUNCTION("""COMPUTED_VALUE"""),".na")</f>
        <v>.na</v>
      </c>
      <c r="I274" s="1" t="str">
        <f ca="1">IFERROR(__xludf.DUMMYFUNCTION("""COMPUTED_VALUE"""),".na")</f>
        <v>.na</v>
      </c>
      <c r="J274" s="1" t="str">
        <f ca="1">IFERROR(__xludf.DUMMYFUNCTION("""COMPUTED_VALUE"""),"Endemic to an island: yes, no")</f>
        <v>Endemic to an island: yes, no</v>
      </c>
      <c r="K274" s="1"/>
      <c r="L274" s="8" t="str">
        <f ca="1">IFERROR(__xludf.DUMMYFUNCTION("""COMPUTED_VALUE"""),"https://doi.org/10.1038/s41597-023-02157-4")</f>
        <v>https://doi.org/10.1038/s41597-023-02157-4</v>
      </c>
      <c r="M274" s="1" t="str">
        <f ca="1">IFERROR(__xludf.DUMMYFUNCTION("""COMPUTED_VALUE"""),"Froidevaux_2023")</f>
        <v>Froidevaux_2023</v>
      </c>
    </row>
    <row r="275" spans="1:13" ht="13.2">
      <c r="A275" s="1" t="str">
        <f ca="1">IFERROR(__xludf.DUMMYFUNCTION("""COMPUTED_VALUE"""),"AltitudinalMigration")</f>
        <v>AltitudinalMigration</v>
      </c>
      <c r="B275" s="1"/>
      <c r="C275" s="1"/>
      <c r="D275" s="1"/>
      <c r="E275" s="1" t="str">
        <f ca="1">IFERROR(__xludf.DUMMYFUNCTION("""COMPUTED_VALUE"""),"categorical")</f>
        <v>categorical</v>
      </c>
      <c r="F275" s="1" t="str">
        <f ca="1">IFERROR(__xludf.DUMMYFUNCTION("""COMPUTED_VALUE"""),".na")</f>
        <v>.na</v>
      </c>
      <c r="G275" s="1" t="str">
        <f ca="1">IFERROR(__xludf.DUMMYFUNCTION("""COMPUTED_VALUE"""),"yes, no, possible")</f>
        <v>yes, no, possible</v>
      </c>
      <c r="H275" s="1" t="str">
        <f ca="1">IFERROR(__xludf.DUMMYFUNCTION("""COMPUTED_VALUE"""),".na")</f>
        <v>.na</v>
      </c>
      <c r="I275" s="1" t="str">
        <f ca="1">IFERROR(__xludf.DUMMYFUNCTION("""COMPUTED_VALUE"""),".na")</f>
        <v>.na</v>
      </c>
      <c r="J275" s="1" t="str">
        <f ca="1">IFERROR(__xludf.DUMMYFUNCTION("""COMPUTED_VALUE"""),"Altitudinal migration: yes, no, possible")</f>
        <v>Altitudinal migration: yes, no, possible</v>
      </c>
      <c r="K275" s="1"/>
      <c r="L275" s="8" t="str">
        <f ca="1">IFERROR(__xludf.DUMMYFUNCTION("""COMPUTED_VALUE"""),"https://doi.org/10.1038/s41597-023-02157-4")</f>
        <v>https://doi.org/10.1038/s41597-023-02157-4</v>
      </c>
      <c r="M275" s="1" t="str">
        <f ca="1">IFERROR(__xludf.DUMMYFUNCTION("""COMPUTED_VALUE"""),"Froidevaux_2023")</f>
        <v>Froidevaux_2023</v>
      </c>
    </row>
    <row r="276" spans="1:13" ht="13.2">
      <c r="A276" s="1" t="str">
        <f ca="1">IFERROR(__xludf.DUMMYFUNCTION("""COMPUTED_VALUE"""),"BodyMass")</f>
        <v>BodyMass</v>
      </c>
      <c r="B276" s="1"/>
      <c r="C276" s="1"/>
      <c r="D276" s="1"/>
      <c r="E276" s="1" t="str">
        <f ca="1">IFERROR(__xludf.DUMMYFUNCTION("""COMPUTED_VALUE"""),"numeric")</f>
        <v>numeric</v>
      </c>
      <c r="F276" s="1" t="str">
        <f ca="1">IFERROR(__xludf.DUMMYFUNCTION("""COMPUTED_VALUE"""),"g")</f>
        <v>g</v>
      </c>
      <c r="G276" s="1" t="str">
        <f ca="1">IFERROR(__xludf.DUMMYFUNCTION("""COMPUTED_VALUE"""),".na")</f>
        <v>.na</v>
      </c>
      <c r="H276" s="1"/>
      <c r="I276" s="1"/>
      <c r="J276" s="1" t="str">
        <f ca="1">IFERROR(__xludf.DUMMYFUNCTION("""COMPUTED_VALUE"""),"Body mass")</f>
        <v>Body mass</v>
      </c>
      <c r="K276" s="1"/>
      <c r="L276" s="8" t="str">
        <f ca="1">IFERROR(__xludf.DUMMYFUNCTION("""COMPUTED_VALUE"""),"https://doi.org/10.1038/s41597-023-02157-4")</f>
        <v>https://doi.org/10.1038/s41597-023-02157-4</v>
      </c>
      <c r="M276" s="1" t="str">
        <f ca="1">IFERROR(__xludf.DUMMYFUNCTION("""COMPUTED_VALUE"""),"Froidevaux_2023")</f>
        <v>Froidevaux_2023</v>
      </c>
    </row>
    <row r="277" spans="1:13" ht="13.2">
      <c r="A277" s="1" t="str">
        <f ca="1">IFERROR(__xludf.DUMMYFUNCTION("""COMPUTED_VALUE"""),"ThirdDigitLength")</f>
        <v>ThirdDigitLength</v>
      </c>
      <c r="B277" s="1"/>
      <c r="C277" s="1"/>
      <c r="D277" s="1"/>
      <c r="E277" s="1" t="str">
        <f ca="1">IFERROR(__xludf.DUMMYFUNCTION("""COMPUTED_VALUE"""),"numeric")</f>
        <v>numeric</v>
      </c>
      <c r="F277" s="1" t="str">
        <f ca="1">IFERROR(__xludf.DUMMYFUNCTION("""COMPUTED_VALUE"""),"mm")</f>
        <v>mm</v>
      </c>
      <c r="G277" s="1" t="str">
        <f ca="1">IFERROR(__xludf.DUMMYFUNCTION("""COMPUTED_VALUE"""),".na")</f>
        <v>.na</v>
      </c>
      <c r="H277" s="1"/>
      <c r="I277" s="1"/>
      <c r="J277" s="1" t="str">
        <f ca="1">IFERROR(__xludf.DUMMYFUNCTION("""COMPUTED_VALUE"""),"Third digit length")</f>
        <v>Third digit length</v>
      </c>
      <c r="K277" s="1"/>
      <c r="L277" s="8" t="str">
        <f ca="1">IFERROR(__xludf.DUMMYFUNCTION("""COMPUTED_VALUE"""),"https://doi.org/10.1038/s41597-023-02157-4")</f>
        <v>https://doi.org/10.1038/s41597-023-02157-4</v>
      </c>
      <c r="M277" s="1" t="str">
        <f ca="1">IFERROR(__xludf.DUMMYFUNCTION("""COMPUTED_VALUE"""),"Froidevaux_2023")</f>
        <v>Froidevaux_2023</v>
      </c>
    </row>
    <row r="278" spans="1:13" ht="13.2">
      <c r="A278" s="1" t="str">
        <f ca="1">IFERROR(__xludf.DUMMYFUNCTION("""COMPUTED_VALUE"""),"FifthDigitLength")</f>
        <v>FifthDigitLength</v>
      </c>
      <c r="B278" s="1"/>
      <c r="C278" s="1"/>
      <c r="D278" s="1"/>
      <c r="E278" s="1" t="str">
        <f ca="1">IFERROR(__xludf.DUMMYFUNCTION("""COMPUTED_VALUE"""),"numeric")</f>
        <v>numeric</v>
      </c>
      <c r="F278" s="1" t="str">
        <f ca="1">IFERROR(__xludf.DUMMYFUNCTION("""COMPUTED_VALUE"""),"mm")</f>
        <v>mm</v>
      </c>
      <c r="G278" s="1" t="str">
        <f ca="1">IFERROR(__xludf.DUMMYFUNCTION("""COMPUTED_VALUE"""),".na")</f>
        <v>.na</v>
      </c>
      <c r="H278" s="1"/>
      <c r="I278" s="1"/>
      <c r="J278" s="1" t="str">
        <f ca="1">IFERROR(__xludf.DUMMYFUNCTION("""COMPUTED_VALUE"""),"Fifth digit length")</f>
        <v>Fifth digit length</v>
      </c>
      <c r="K278" s="1"/>
      <c r="L278" s="8" t="str">
        <f ca="1">IFERROR(__xludf.DUMMYFUNCTION("""COMPUTED_VALUE"""),"https://doi.org/10.1038/s41597-023-02157-4")</f>
        <v>https://doi.org/10.1038/s41597-023-02157-4</v>
      </c>
      <c r="M278" s="1" t="str">
        <f ca="1">IFERROR(__xludf.DUMMYFUNCTION("""COMPUTED_VALUE"""),"Froidevaux_2023")</f>
        <v>Froidevaux_2023</v>
      </c>
    </row>
    <row r="279" spans="1:13" ht="13.2">
      <c r="A279" s="1" t="str">
        <f ca="1">IFERROR(__xludf.DUMMYFUNCTION("""COMPUTED_VALUE"""),"ForearmLength")</f>
        <v>ForearmLength</v>
      </c>
      <c r="B279" s="1"/>
      <c r="C279" s="1"/>
      <c r="D279" s="1"/>
      <c r="E279" s="1" t="str">
        <f ca="1">IFERROR(__xludf.DUMMYFUNCTION("""COMPUTED_VALUE"""),"numeric")</f>
        <v>numeric</v>
      </c>
      <c r="F279" s="1" t="str">
        <f ca="1">IFERROR(__xludf.DUMMYFUNCTION("""COMPUTED_VALUE"""),"mm")</f>
        <v>mm</v>
      </c>
      <c r="G279" s="1" t="str">
        <f ca="1">IFERROR(__xludf.DUMMYFUNCTION("""COMPUTED_VALUE"""),".na")</f>
        <v>.na</v>
      </c>
      <c r="H279" s="1"/>
      <c r="I279" s="1"/>
      <c r="J279" s="1" t="str">
        <f ca="1">IFERROR(__xludf.DUMMYFUNCTION("""COMPUTED_VALUE"""),"Forearm length")</f>
        <v>Forearm length</v>
      </c>
      <c r="K279" s="1"/>
      <c r="L279" s="8" t="str">
        <f ca="1">IFERROR(__xludf.DUMMYFUNCTION("""COMPUTED_VALUE"""),"https://doi.org/10.1038/s41597-023-02157-4")</f>
        <v>https://doi.org/10.1038/s41597-023-02157-4</v>
      </c>
      <c r="M279" s="1" t="str">
        <f ca="1">IFERROR(__xludf.DUMMYFUNCTION("""COMPUTED_VALUE"""),"Froidevaux_2023")</f>
        <v>Froidevaux_2023</v>
      </c>
    </row>
    <row r="280" spans="1:13" ht="13.2">
      <c r="A280" s="1" t="str">
        <f ca="1">IFERROR(__xludf.DUMMYFUNCTION("""COMPUTED_VALUE"""),"LCBLCCRatio")</f>
        <v>LCBLCCRatio</v>
      </c>
      <c r="B280" s="1"/>
      <c r="C280" s="1"/>
      <c r="D280" s="1"/>
      <c r="E280" s="1" t="str">
        <f ca="1">IFERROR(__xludf.DUMMYFUNCTION("""COMPUTED_VALUE"""),"numeric")</f>
        <v>numeric</v>
      </c>
      <c r="F280" s="1" t="str">
        <f ca="1">IFERROR(__xludf.DUMMYFUNCTION("""COMPUTED_VALUE"""),".na")</f>
        <v>.na</v>
      </c>
      <c r="G280" s="1" t="str">
        <f ca="1">IFERROR(__xludf.DUMMYFUNCTION("""COMPUTED_VALUE"""),".na")</f>
        <v>.na</v>
      </c>
      <c r="H280" s="1"/>
      <c r="I280" s="1"/>
      <c r="J280" s="1" t="str">
        <f ca="1">IFERROR(__xludf.DUMMYFUNCTION("""COMPUTED_VALUE"""),"Ratio condylobasal length/condylocanine length")</f>
        <v>Ratio condylobasal length/condylocanine length</v>
      </c>
      <c r="K280" s="1"/>
      <c r="L280" s="8" t="str">
        <f ca="1">IFERROR(__xludf.DUMMYFUNCTION("""COMPUTED_VALUE"""),"https://doi.org/10.1038/s41597-023-02157-4")</f>
        <v>https://doi.org/10.1038/s41597-023-02157-4</v>
      </c>
      <c r="M280" s="1" t="str">
        <f ca="1">IFERROR(__xludf.DUMMYFUNCTION("""COMPUTED_VALUE"""),"Froidevaux_2023")</f>
        <v>Froidevaux_2023</v>
      </c>
    </row>
    <row r="281" spans="1:13" ht="13.2">
      <c r="A281" s="1" t="str">
        <f ca="1">IFERROR(__xludf.DUMMYFUNCTION("""COMPUTED_VALUE"""),"CM3")</f>
        <v>CM3</v>
      </c>
      <c r="B281" s="1"/>
      <c r="C281" s="1"/>
      <c r="D281" s="1"/>
      <c r="E281" s="1" t="str">
        <f ca="1">IFERROR(__xludf.DUMMYFUNCTION("""COMPUTED_VALUE"""),"numeric")</f>
        <v>numeric</v>
      </c>
      <c r="F281" s="1" t="str">
        <f ca="1">IFERROR(__xludf.DUMMYFUNCTION("""COMPUTED_VALUE"""),"mm")</f>
        <v>mm</v>
      </c>
      <c r="G281" s="1" t="str">
        <f ca="1">IFERROR(__xludf.DUMMYFUNCTION("""COMPUTED_VALUE"""),".na")</f>
        <v>.na</v>
      </c>
      <c r="H281" s="1"/>
      <c r="I281" s="1"/>
      <c r="J281" s="1" t="str">
        <f ca="1">IFERROR(__xludf.DUMMYFUNCTION("""COMPUTED_VALUE"""),"Length of upper tooth row")</f>
        <v>Length of upper tooth row</v>
      </c>
      <c r="K281" s="1"/>
      <c r="L281" s="8" t="str">
        <f ca="1">IFERROR(__xludf.DUMMYFUNCTION("""COMPUTED_VALUE"""),"https://doi.org/10.1038/s41597-023-02157-4")</f>
        <v>https://doi.org/10.1038/s41597-023-02157-4</v>
      </c>
      <c r="M281" s="1" t="str">
        <f ca="1">IFERROR(__xludf.DUMMYFUNCTION("""COMPUTED_VALUE"""),"Froidevaux_2023")</f>
        <v>Froidevaux_2023</v>
      </c>
    </row>
    <row r="282" spans="1:13" ht="13.2">
      <c r="A282" s="1" t="str">
        <f ca="1">IFERROR(__xludf.DUMMYFUNCTION("""COMPUTED_VALUE"""),"AspectRatioIndex")</f>
        <v>AspectRatioIndex</v>
      </c>
      <c r="B282" s="1"/>
      <c r="C282" s="1"/>
      <c r="D282" s="1"/>
      <c r="E282" s="1" t="str">
        <f ca="1">IFERROR(__xludf.DUMMYFUNCTION("""COMPUTED_VALUE"""),"numeric")</f>
        <v>numeric</v>
      </c>
      <c r="F282" s="1" t="str">
        <f ca="1">IFERROR(__xludf.DUMMYFUNCTION("""COMPUTED_VALUE"""),".na")</f>
        <v>.na</v>
      </c>
      <c r="G282" s="1" t="str">
        <f ca="1">IFERROR(__xludf.DUMMYFUNCTION("""COMPUTED_VALUE"""),".na")</f>
        <v>.na</v>
      </c>
      <c r="H282" s="1"/>
      <c r="I282" s="1"/>
      <c r="J282" s="1" t="str">
        <f ca="1">IFERROR(__xludf.DUMMYFUNCTION("""COMPUTED_VALUE"""),"Aspect ratio index")</f>
        <v>Aspect ratio index</v>
      </c>
      <c r="K282" s="1"/>
      <c r="L282" s="8" t="str">
        <f ca="1">IFERROR(__xludf.DUMMYFUNCTION("""COMPUTED_VALUE"""),"https://doi.org/10.1038/s41597-023-02157-4")</f>
        <v>https://doi.org/10.1038/s41597-023-02157-4</v>
      </c>
      <c r="M282" s="1" t="str">
        <f ca="1">IFERROR(__xludf.DUMMYFUNCTION("""COMPUTED_VALUE"""),"Froidevaux_2023")</f>
        <v>Froidevaux_2023</v>
      </c>
    </row>
    <row r="283" spans="1:13" ht="13.2">
      <c r="A283" s="1" t="str">
        <f ca="1">IFERROR(__xludf.DUMMYFUNCTION("""COMPUTED_VALUE"""),"WingLoadingIndex")</f>
        <v>WingLoadingIndex</v>
      </c>
      <c r="B283" s="1"/>
      <c r="C283" s="1"/>
      <c r="D283" s="1"/>
      <c r="E283" s="1" t="str">
        <f ca="1">IFERROR(__xludf.DUMMYFUNCTION("""COMPUTED_VALUE"""),"numeric")</f>
        <v>numeric</v>
      </c>
      <c r="F283" s="1" t="str">
        <f ca="1">IFERROR(__xludf.DUMMYFUNCTION("""COMPUTED_VALUE"""),"g/dm2")</f>
        <v>g/dm2</v>
      </c>
      <c r="G283" s="1" t="str">
        <f ca="1">IFERROR(__xludf.DUMMYFUNCTION("""COMPUTED_VALUE"""),".na")</f>
        <v>.na</v>
      </c>
      <c r="H283" s="1"/>
      <c r="I283" s="1"/>
      <c r="J283" s="1" t="str">
        <f ca="1">IFERROR(__xludf.DUMMYFUNCTION("""COMPUTED_VALUE"""),"Wing loading index")</f>
        <v>Wing loading index</v>
      </c>
      <c r="K283" s="1"/>
      <c r="L283" s="8" t="str">
        <f ca="1">IFERROR(__xludf.DUMMYFUNCTION("""COMPUTED_VALUE"""),"https://doi.org/10.1038/s41597-023-02157-4")</f>
        <v>https://doi.org/10.1038/s41597-023-02157-4</v>
      </c>
      <c r="M283" s="1" t="str">
        <f ca="1">IFERROR(__xludf.DUMMYFUNCTION("""COMPUTED_VALUE"""),"Froidevaux_2023")</f>
        <v>Froidevaux_2023</v>
      </c>
    </row>
    <row r="284" spans="1:13" ht="13.2">
      <c r="A284" s="1" t="str">
        <f ca="1">IFERROR(__xludf.DUMMYFUNCTION("""COMPUTED_VALUE"""),"Endoparasites")</f>
        <v>Endoparasites</v>
      </c>
      <c r="B284" s="1"/>
      <c r="C284" s="1"/>
      <c r="D284" s="1"/>
      <c r="E284" s="1" t="str">
        <f ca="1">IFERROR(__xludf.DUMMYFUNCTION("""COMPUTED_VALUE"""),"character")</f>
        <v>character</v>
      </c>
      <c r="F284" s="1" t="str">
        <f ca="1">IFERROR(__xludf.DUMMYFUNCTION("""COMPUTED_VALUE"""),".na")</f>
        <v>.na</v>
      </c>
      <c r="G284" s="1"/>
      <c r="H284" s="1" t="str">
        <f ca="1">IFERROR(__xludf.DUMMYFUNCTION("""COMPUTED_VALUE"""),".na")</f>
        <v>.na</v>
      </c>
      <c r="I284" s="1" t="str">
        <f ca="1">IFERROR(__xludf.DUMMYFUNCTION("""COMPUTED_VALUE"""),".na")</f>
        <v>.na</v>
      </c>
      <c r="J284" s="1" t="str">
        <f ca="1">IFERROR(__xludf.DUMMYFUNCTION("""COMPUTED_VALUE"""),"Endoparasites identified in the species")</f>
        <v>Endoparasites identified in the species</v>
      </c>
      <c r="K284" s="1"/>
      <c r="L284" s="8" t="str">
        <f ca="1">IFERROR(__xludf.DUMMYFUNCTION("""COMPUTED_VALUE"""),"https://doi.org/10.1038/s41597-023-02157-4")</f>
        <v>https://doi.org/10.1038/s41597-023-02157-4</v>
      </c>
      <c r="M284" s="1" t="str">
        <f ca="1">IFERROR(__xludf.DUMMYFUNCTION("""COMPUTED_VALUE"""),"Froidevaux_2023")</f>
        <v>Froidevaux_2023</v>
      </c>
    </row>
    <row r="285" spans="1:13" ht="13.2">
      <c r="A285" s="1" t="str">
        <f ca="1">IFERROR(__xludf.DUMMYFUNCTION("""COMPUTED_VALUE"""),"Fungi")</f>
        <v>Fungi</v>
      </c>
      <c r="B285" s="1"/>
      <c r="C285" s="1"/>
      <c r="D285" s="1"/>
      <c r="E285" s="1" t="str">
        <f ca="1">IFERROR(__xludf.DUMMYFUNCTION("""COMPUTED_VALUE"""),"character")</f>
        <v>character</v>
      </c>
      <c r="F285" s="1" t="str">
        <f ca="1">IFERROR(__xludf.DUMMYFUNCTION("""COMPUTED_VALUE"""),".na")</f>
        <v>.na</v>
      </c>
      <c r="G285" s="1"/>
      <c r="H285" s="1" t="str">
        <f ca="1">IFERROR(__xludf.DUMMYFUNCTION("""COMPUTED_VALUE"""),".na")</f>
        <v>.na</v>
      </c>
      <c r="I285" s="1" t="str">
        <f ca="1">IFERROR(__xludf.DUMMYFUNCTION("""COMPUTED_VALUE"""),".na")</f>
        <v>.na</v>
      </c>
      <c r="J285" s="1" t="str">
        <f ca="1">IFERROR(__xludf.DUMMYFUNCTION("""COMPUTED_VALUE"""),"Fungal pathogens identified in the species")</f>
        <v>Fungal pathogens identified in the species</v>
      </c>
      <c r="K285" s="1"/>
      <c r="L285" s="8" t="str">
        <f ca="1">IFERROR(__xludf.DUMMYFUNCTION("""COMPUTED_VALUE"""),"https://doi.org/10.1038/s41597-023-02157-4")</f>
        <v>https://doi.org/10.1038/s41597-023-02157-4</v>
      </c>
      <c r="M285" s="1" t="str">
        <f ca="1">IFERROR(__xludf.DUMMYFUNCTION("""COMPUTED_VALUE"""),"Froidevaux_2023")</f>
        <v>Froidevaux_2023</v>
      </c>
    </row>
    <row r="286" spans="1:13" ht="13.2">
      <c r="A286" s="1" t="str">
        <f ca="1">IFERROR(__xludf.DUMMYFUNCTION("""COMPUTED_VALUE"""),"Viruses")</f>
        <v>Viruses</v>
      </c>
      <c r="B286" s="1"/>
      <c r="C286" s="1"/>
      <c r="D286" s="1"/>
      <c r="E286" s="1" t="str">
        <f ca="1">IFERROR(__xludf.DUMMYFUNCTION("""COMPUTED_VALUE"""),"character")</f>
        <v>character</v>
      </c>
      <c r="F286" s="1" t="str">
        <f ca="1">IFERROR(__xludf.DUMMYFUNCTION("""COMPUTED_VALUE"""),".na")</f>
        <v>.na</v>
      </c>
      <c r="G286" s="1"/>
      <c r="H286" s="1" t="str">
        <f ca="1">IFERROR(__xludf.DUMMYFUNCTION("""COMPUTED_VALUE"""),".na")</f>
        <v>.na</v>
      </c>
      <c r="I286" s="1" t="str">
        <f ca="1">IFERROR(__xludf.DUMMYFUNCTION("""COMPUTED_VALUE"""),".na")</f>
        <v>.na</v>
      </c>
      <c r="J286" s="1" t="str">
        <f ca="1">IFERROR(__xludf.DUMMYFUNCTION("""COMPUTED_VALUE"""),"Viruses identified in the species")</f>
        <v>Viruses identified in the species</v>
      </c>
      <c r="K286" s="1"/>
      <c r="L286" s="8" t="str">
        <f ca="1">IFERROR(__xludf.DUMMYFUNCTION("""COMPUTED_VALUE"""),"https://doi.org/10.1038/s41597-023-02157-4")</f>
        <v>https://doi.org/10.1038/s41597-023-02157-4</v>
      </c>
      <c r="M286" s="1" t="str">
        <f ca="1">IFERROR(__xludf.DUMMYFUNCTION("""COMPUTED_VALUE"""),"Froidevaux_2023")</f>
        <v>Froidevaux_2023</v>
      </c>
    </row>
    <row r="287" spans="1:13" ht="13.2">
      <c r="A287" s="1" t="str">
        <f ca="1">IFERROR(__xludf.DUMMYFUNCTION("""COMPUTED_VALUE"""),"SeasonalActivityPatternKurtosis")</f>
        <v>SeasonalActivityPatternKurtosis</v>
      </c>
      <c r="B287" s="1"/>
      <c r="C287" s="1"/>
      <c r="D287" s="1"/>
      <c r="E287" s="1" t="str">
        <f ca="1">IFERROR(__xludf.DUMMYFUNCTION("""COMPUTED_VALUE"""),"numeric")</f>
        <v>numeric</v>
      </c>
      <c r="F287" s="1" t="str">
        <f ca="1">IFERROR(__xludf.DUMMYFUNCTION("""COMPUTED_VALUE"""),".na")</f>
        <v>.na</v>
      </c>
      <c r="G287" s="1" t="str">
        <f ca="1">IFERROR(__xludf.DUMMYFUNCTION("""COMPUTED_VALUE"""),".na")</f>
        <v>.na</v>
      </c>
      <c r="H287" s="1"/>
      <c r="I287" s="1"/>
      <c r="J287" s="1" t="str">
        <f ca="1">IFERROR(__xludf.DUMMYFUNCTION("""COMPUTED_VALUE"""),"Kurtosis index of the seasonal activity pattern: kurtosis is the measure of the sharpness of the peak of a frequency distribution, with positive values indicating heavy tails and negative values indicated light tails")</f>
        <v>Kurtosis index of the seasonal activity pattern: kurtosis is the measure of the sharpness of the peak of a frequency distribution, with positive values indicating heavy tails and negative values indicated light tails</v>
      </c>
      <c r="K287" s="1"/>
      <c r="L287" s="8" t="str">
        <f ca="1">IFERROR(__xludf.DUMMYFUNCTION("""COMPUTED_VALUE"""),"https://doi.org/10.1038/s41597-023-02157-4")</f>
        <v>https://doi.org/10.1038/s41597-023-02157-4</v>
      </c>
      <c r="M287" s="1" t="str">
        <f ca="1">IFERROR(__xludf.DUMMYFUNCTION("""COMPUTED_VALUE"""),"Froidevaux_2023")</f>
        <v>Froidevaux_2023</v>
      </c>
    </row>
    <row r="288" spans="1:13" ht="13.2">
      <c r="A288" s="1" t="str">
        <f ca="1">IFERROR(__xludf.DUMMYFUNCTION("""COMPUTED_VALUE"""),"SeasonalActivityPatternSkewness")</f>
        <v>SeasonalActivityPatternSkewness</v>
      </c>
      <c r="B288" s="1"/>
      <c r="C288" s="1"/>
      <c r="D288" s="1"/>
      <c r="E288" s="1" t="str">
        <f ca="1">IFERROR(__xludf.DUMMYFUNCTION("""COMPUTED_VALUE"""),"numeric")</f>
        <v>numeric</v>
      </c>
      <c r="F288" s="1" t="str">
        <f ca="1">IFERROR(__xludf.DUMMYFUNCTION("""COMPUTED_VALUE"""),".na")</f>
        <v>.na</v>
      </c>
      <c r="G288" s="1" t="str">
        <f ca="1">IFERROR(__xludf.DUMMYFUNCTION("""COMPUTED_VALUE"""),".na")</f>
        <v>.na</v>
      </c>
      <c r="H288" s="1"/>
      <c r="I288" s="1"/>
      <c r="J288" s="1" t="str">
        <f ca="1">IFERROR(__xludf.DUMMYFUNCTION("""COMPUTED_VALUE"""),"Skewness index of the seasonal activity pattern: if values &lt;-0.5: indication of a substantially skewed distribution towards the spring, if values &gt;0.5: indication of a substantially skewed distribution towards the autumn, if values [-0.5,5]: distribution "&amp;"fairly symmetrical with peak around mid-summer")</f>
        <v>Skewness index of the seasonal activity pattern: if values &lt;-0.5: indication of a substantially skewed distribution towards the spring, if values &gt;0.5: indication of a substantially skewed distribution towards the autumn, if values [-0.5,5]: distribution fairly symmetrical with peak around mid-summer</v>
      </c>
      <c r="K288" s="1"/>
      <c r="L288" s="8" t="str">
        <f ca="1">IFERROR(__xludf.DUMMYFUNCTION("""COMPUTED_VALUE"""),"https://doi.org/10.1038/s41597-023-02157-4")</f>
        <v>https://doi.org/10.1038/s41597-023-02157-4</v>
      </c>
      <c r="M288" s="1" t="str">
        <f ca="1">IFERROR(__xludf.DUMMYFUNCTION("""COMPUTED_VALUE"""),"Froidevaux_2023")</f>
        <v>Froidevaux_2023</v>
      </c>
    </row>
    <row r="289" spans="1:13" ht="13.2">
      <c r="A289" s="1" t="str">
        <f ca="1">IFERROR(__xludf.DUMMYFUNCTION("""COMPUTED_VALUE"""),"BasalMetabolicRate")</f>
        <v>BasalMetabolicRate</v>
      </c>
      <c r="B289" s="1"/>
      <c r="C289" s="1"/>
      <c r="D289" s="1"/>
      <c r="E289" s="1" t="str">
        <f ca="1">IFERROR(__xludf.DUMMYFUNCTION("""COMPUTED_VALUE"""),"numeric")</f>
        <v>numeric</v>
      </c>
      <c r="F289" s="1" t="str">
        <f ca="1">IFERROR(__xludf.DUMMYFUNCTION("""COMPUTED_VALUE"""),"ml O2/h")</f>
        <v>ml O2/h</v>
      </c>
      <c r="G289" s="1" t="str">
        <f ca="1">IFERROR(__xludf.DUMMYFUNCTION("""COMPUTED_VALUE"""),".na")</f>
        <v>.na</v>
      </c>
      <c r="H289" s="1"/>
      <c r="I289" s="1"/>
      <c r="J289" s="1" t="str">
        <f ca="1">IFERROR(__xludf.DUMMYFUNCTION("""COMPUTED_VALUE"""),"calculated from measurements of heat production or oxygen consumption in an organism in post-absorptive state, and thermoneutral zone")</f>
        <v>calculated from measurements of heat production or oxygen consumption in an organism in post-absorptive state, and thermoneutral zone</v>
      </c>
      <c r="K289" s="1"/>
      <c r="L289" s="8" t="str">
        <f ca="1">IFERROR(__xludf.DUMMYFUNCTION("""COMPUTED_VALUE"""),"https://doi.org/10.1038/s41597-023-02157-4")</f>
        <v>https://doi.org/10.1038/s41597-023-02157-4</v>
      </c>
      <c r="M289" s="1" t="str">
        <f ca="1">IFERROR(__xludf.DUMMYFUNCTION("""COMPUTED_VALUE"""),"Froidevaux_2023")</f>
        <v>Froidevaux_2023</v>
      </c>
    </row>
    <row r="290" spans="1:13" ht="13.2">
      <c r="A290" s="1" t="str">
        <f ca="1">IFERROR(__xludf.DUMMYFUNCTION("""COMPUTED_VALUE"""),"BasalMetabolicRatePerc")</f>
        <v>BasalMetabolicRatePerc</v>
      </c>
      <c r="B290" s="1"/>
      <c r="C290" s="1"/>
      <c r="D290" s="1"/>
      <c r="E290" s="1" t="str">
        <f ca="1">IFERROR(__xludf.DUMMYFUNCTION("""COMPUTED_VALUE"""),"numeric")</f>
        <v>numeric</v>
      </c>
      <c r="F290" s="1" t="str">
        <f ca="1">IFERROR(__xludf.DUMMYFUNCTION("""COMPUTED_VALUE"""),"%")</f>
        <v>%</v>
      </c>
      <c r="G290" s="1" t="str">
        <f ca="1">IFERROR(__xludf.DUMMYFUNCTION("""COMPUTED_VALUE"""),".na")</f>
        <v>.na</v>
      </c>
      <c r="H290" s="1"/>
      <c r="I290" s="1"/>
      <c r="J290" s="1" t="str">
        <f ca="1">IFERROR(__xludf.DUMMYFUNCTION("""COMPUTED_VALUE"""),"Basal rate of metabolism as a percentage of the value expected from the equation described in Genoud et al. (2018)")</f>
        <v>Basal rate of metabolism as a percentage of the value expected from the equation described in Genoud et al. (2018)</v>
      </c>
      <c r="K290" s="1"/>
      <c r="L290" s="8" t="str">
        <f ca="1">IFERROR(__xludf.DUMMYFUNCTION("""COMPUTED_VALUE"""),"https://doi.org/10.1038/s41597-023-02157-4")</f>
        <v>https://doi.org/10.1038/s41597-023-02157-4</v>
      </c>
      <c r="M290" s="1" t="str">
        <f ca="1">IFERROR(__xludf.DUMMYFUNCTION("""COMPUTED_VALUE"""),"Froidevaux_2023")</f>
        <v>Froidevaux_2023</v>
      </c>
    </row>
    <row r="291" spans="1:13" ht="13.2">
      <c r="A291" s="1" t="str">
        <f ca="1">IFERROR(__xludf.DUMMYFUNCTION("""COMPUTED_VALUE"""),"DigestiveEfficiency")</f>
        <v>DigestiveEfficiency</v>
      </c>
      <c r="B291" s="1"/>
      <c r="C291" s="1"/>
      <c r="D291" s="1"/>
      <c r="E291" s="1" t="str">
        <f ca="1">IFERROR(__xludf.DUMMYFUNCTION("""COMPUTED_VALUE"""),"numeric")</f>
        <v>numeric</v>
      </c>
      <c r="F291" s="1" t="str">
        <f ca="1">IFERROR(__xludf.DUMMYFUNCTION("""COMPUTED_VALUE"""),"%")</f>
        <v>%</v>
      </c>
      <c r="G291" s="1" t="str">
        <f ca="1">IFERROR(__xludf.DUMMYFUNCTION("""COMPUTED_VALUE"""),".na")</f>
        <v>.na</v>
      </c>
      <c r="H291" s="1"/>
      <c r="I291" s="1"/>
      <c r="J291" s="1" t="str">
        <f ca="1">IFERROR(__xludf.DUMMYFUNCTION("""COMPUTED_VALUE"""),"A measure of how much of a feed or nutrient appears to be digested")</f>
        <v>A measure of how much of a feed or nutrient appears to be digested</v>
      </c>
      <c r="K291" s="1"/>
      <c r="L291" s="8" t="str">
        <f ca="1">IFERROR(__xludf.DUMMYFUNCTION("""COMPUTED_VALUE"""),"https://doi.org/10.1038/s41597-023-02157-4")</f>
        <v>https://doi.org/10.1038/s41597-023-02157-4</v>
      </c>
      <c r="M291" s="1" t="str">
        <f ca="1">IFERROR(__xludf.DUMMYFUNCTION("""COMPUTED_VALUE"""),"Froidevaux_2023")</f>
        <v>Froidevaux_2023</v>
      </c>
    </row>
    <row r="292" spans="1:13" ht="13.2">
      <c r="A292" s="1" t="str">
        <f ca="1">IFERROR(__xludf.DUMMYFUNCTION("""COMPUTED_VALUE"""),"HeartRateFlight")</f>
        <v>HeartRateFlight</v>
      </c>
      <c r="B292" s="1"/>
      <c r="C292" s="1"/>
      <c r="D292" s="1"/>
      <c r="E292" s="1" t="str">
        <f ca="1">IFERROR(__xludf.DUMMYFUNCTION("""COMPUTED_VALUE"""),"numeric")</f>
        <v>numeric</v>
      </c>
      <c r="F292" s="1" t="str">
        <f ca="1">IFERROR(__xludf.DUMMYFUNCTION("""COMPUTED_VALUE"""),"bpm")</f>
        <v>bpm</v>
      </c>
      <c r="G292" s="1" t="str">
        <f ca="1">IFERROR(__xludf.DUMMYFUNCTION("""COMPUTED_VALUE"""),".na")</f>
        <v>.na</v>
      </c>
      <c r="H292" s="1"/>
      <c r="I292" s="1"/>
      <c r="J292" s="1" t="str">
        <f ca="1">IFERROR(__xludf.DUMMYFUNCTION("""COMPUTED_VALUE"""),"Heart rate during flight (beats per minutes, bpm)")</f>
        <v>Heart rate during flight (beats per minutes, bpm)</v>
      </c>
      <c r="K292" s="1"/>
      <c r="L292" s="8" t="str">
        <f ca="1">IFERROR(__xludf.DUMMYFUNCTION("""COMPUTED_VALUE"""),"https://doi.org/10.1038/s41597-023-02157-4")</f>
        <v>https://doi.org/10.1038/s41597-023-02157-4</v>
      </c>
      <c r="M292" s="1" t="str">
        <f ca="1">IFERROR(__xludf.DUMMYFUNCTION("""COMPUTED_VALUE"""),"Froidevaux_2023")</f>
        <v>Froidevaux_2023</v>
      </c>
    </row>
    <row r="293" spans="1:13" ht="13.2">
      <c r="A293" s="1" t="str">
        <f ca="1">IFERROR(__xludf.DUMMYFUNCTION("""COMPUTED_VALUE"""),"HeartRateResting")</f>
        <v>HeartRateResting</v>
      </c>
      <c r="B293" s="1"/>
      <c r="C293" s="1"/>
      <c r="D293" s="1"/>
      <c r="E293" s="1" t="str">
        <f ca="1">IFERROR(__xludf.DUMMYFUNCTION("""COMPUTED_VALUE"""),"numeric")</f>
        <v>numeric</v>
      </c>
      <c r="F293" s="1" t="str">
        <f ca="1">IFERROR(__xludf.DUMMYFUNCTION("""COMPUTED_VALUE"""),"bpm")</f>
        <v>bpm</v>
      </c>
      <c r="G293" s="1" t="str">
        <f ca="1">IFERROR(__xludf.DUMMYFUNCTION("""COMPUTED_VALUE"""),".na")</f>
        <v>.na</v>
      </c>
      <c r="H293" s="1"/>
      <c r="I293" s="1"/>
      <c r="J293" s="1" t="str">
        <f ca="1">IFERROR(__xludf.DUMMYFUNCTION("""COMPUTED_VALUE"""),"Heart rate during rest (beats per minutes, bpm)")</f>
        <v>Heart rate during rest (beats per minutes, bpm)</v>
      </c>
      <c r="K293" s="1"/>
      <c r="L293" s="8" t="str">
        <f ca="1">IFERROR(__xludf.DUMMYFUNCTION("""COMPUTED_VALUE"""),"https://doi.org/10.1038/s41597-023-02157-4")</f>
        <v>https://doi.org/10.1038/s41597-023-02157-4</v>
      </c>
      <c r="M293" s="1" t="str">
        <f ca="1">IFERROR(__xludf.DUMMYFUNCTION("""COMPUTED_VALUE"""),"Froidevaux_2023")</f>
        <v>Froidevaux_2023</v>
      </c>
    </row>
    <row r="294" spans="1:13" ht="13.2">
      <c r="A294" s="1" t="str">
        <f ca="1">IFERROR(__xludf.DUMMYFUNCTION("""COMPUTED_VALUE"""),"HeartRateTorpor")</f>
        <v>HeartRateTorpor</v>
      </c>
      <c r="B294" s="1"/>
      <c r="C294" s="1"/>
      <c r="D294" s="1"/>
      <c r="E294" s="1" t="str">
        <f ca="1">IFERROR(__xludf.DUMMYFUNCTION("""COMPUTED_VALUE"""),"numeric")</f>
        <v>numeric</v>
      </c>
      <c r="F294" s="1" t="str">
        <f ca="1">IFERROR(__xludf.DUMMYFUNCTION("""COMPUTED_VALUE"""),"bpm")</f>
        <v>bpm</v>
      </c>
      <c r="G294" s="1" t="str">
        <f ca="1">IFERROR(__xludf.DUMMYFUNCTION("""COMPUTED_VALUE"""),".na")</f>
        <v>.na</v>
      </c>
      <c r="H294" s="1"/>
      <c r="I294" s="1"/>
      <c r="J294" s="1" t="str">
        <f ca="1">IFERROR(__xludf.DUMMYFUNCTION("""COMPUTED_VALUE"""),"Heart rate during torpor (beats per minutes, bpm)")</f>
        <v>Heart rate during torpor (beats per minutes, bpm)</v>
      </c>
      <c r="K294" s="1"/>
      <c r="L294" s="8" t="str">
        <f ca="1">IFERROR(__xludf.DUMMYFUNCTION("""COMPUTED_VALUE"""),"https://doi.org/10.1038/s41597-023-02157-4")</f>
        <v>https://doi.org/10.1038/s41597-023-02157-4</v>
      </c>
      <c r="M294" s="1" t="str">
        <f ca="1">IFERROR(__xludf.DUMMYFUNCTION("""COMPUTED_VALUE"""),"Froidevaux_2023")</f>
        <v>Froidevaux_2023</v>
      </c>
    </row>
    <row r="295" spans="1:13" ht="13.2">
      <c r="A295" s="1" t="str">
        <f ca="1">IFERROR(__xludf.DUMMYFUNCTION("""COMPUTED_VALUE"""),"MaxTorporBoutDuration")</f>
        <v>MaxTorporBoutDuration</v>
      </c>
      <c r="B295" s="1"/>
      <c r="C295" s="1"/>
      <c r="D295" s="1"/>
      <c r="E295" s="1" t="str">
        <f ca="1">IFERROR(__xludf.DUMMYFUNCTION("""COMPUTED_VALUE"""),"numeric")</f>
        <v>numeric</v>
      </c>
      <c r="F295" s="1" t="str">
        <f ca="1">IFERROR(__xludf.DUMMYFUNCTION("""COMPUTED_VALUE"""),"h")</f>
        <v>h</v>
      </c>
      <c r="G295" s="1" t="str">
        <f ca="1">IFERROR(__xludf.DUMMYFUNCTION("""COMPUTED_VALUE"""),".na")</f>
        <v>.na</v>
      </c>
      <c r="H295" s="1"/>
      <c r="I295" s="1"/>
      <c r="J295" s="1" t="str">
        <f ca="1">IFERROR(__xludf.DUMMYFUNCTION("""COMPUTED_VALUE"""),"Maximum torpor bout duration")</f>
        <v>Maximum torpor bout duration</v>
      </c>
      <c r="K295" s="1"/>
      <c r="L295" s="8" t="str">
        <f ca="1">IFERROR(__xludf.DUMMYFUNCTION("""COMPUTED_VALUE"""),"https://doi.org/10.1038/s41597-023-02157-4")</f>
        <v>https://doi.org/10.1038/s41597-023-02157-4</v>
      </c>
      <c r="M295" s="1" t="str">
        <f ca="1">IFERROR(__xludf.DUMMYFUNCTION("""COMPUTED_VALUE"""),"Froidevaux_2023")</f>
        <v>Froidevaux_2023</v>
      </c>
    </row>
    <row r="296" spans="1:13" ht="13.2">
      <c r="A296" s="1" t="str">
        <f ca="1">IFERROR(__xludf.DUMMYFUNCTION("""COMPUTED_VALUE"""),"MeanTorporBoutDuration")</f>
        <v>MeanTorporBoutDuration</v>
      </c>
      <c r="B296" s="1"/>
      <c r="C296" s="1"/>
      <c r="D296" s="1"/>
      <c r="E296" s="1" t="str">
        <f ca="1">IFERROR(__xludf.DUMMYFUNCTION("""COMPUTED_VALUE"""),"numeric")</f>
        <v>numeric</v>
      </c>
      <c r="F296" s="1" t="str">
        <f ca="1">IFERROR(__xludf.DUMMYFUNCTION("""COMPUTED_VALUE"""),"h")</f>
        <v>h</v>
      </c>
      <c r="G296" s="1" t="str">
        <f ca="1">IFERROR(__xludf.DUMMYFUNCTION("""COMPUTED_VALUE"""),".na")</f>
        <v>.na</v>
      </c>
      <c r="H296" s="1"/>
      <c r="I296" s="1"/>
      <c r="J296" s="1" t="str">
        <f ca="1">IFERROR(__xludf.DUMMYFUNCTION("""COMPUTED_VALUE"""),"Mean torpor bout duration")</f>
        <v>Mean torpor bout duration</v>
      </c>
      <c r="K296" s="1"/>
      <c r="L296" s="8" t="str">
        <f ca="1">IFERROR(__xludf.DUMMYFUNCTION("""COMPUTED_VALUE"""),"https://doi.org/10.1038/s41597-023-02157-4")</f>
        <v>https://doi.org/10.1038/s41597-023-02157-4</v>
      </c>
      <c r="M296" s="1" t="str">
        <f ca="1">IFERROR(__xludf.DUMMYFUNCTION("""COMPUTED_VALUE"""),"Froidevaux_2023")</f>
        <v>Froidevaux_2023</v>
      </c>
    </row>
    <row r="297" spans="1:13" ht="13.2">
      <c r="A297" s="1" t="str">
        <f ca="1">IFERROR(__xludf.DUMMYFUNCTION("""COMPUTED_VALUE"""),"BodyTempTNZ")</f>
        <v>BodyTempTNZ</v>
      </c>
      <c r="B297" s="1"/>
      <c r="C297" s="1"/>
      <c r="D297" s="1"/>
      <c r="E297" s="1" t="str">
        <f ca="1">IFERROR(__xludf.DUMMYFUNCTION("""COMPUTED_VALUE"""),"numeric")</f>
        <v>numeric</v>
      </c>
      <c r="F297" s="1" t="str">
        <f ca="1">IFERROR(__xludf.DUMMYFUNCTION("""COMPUTED_VALUE"""),"˚C")</f>
        <v>˚C</v>
      </c>
      <c r="G297" s="1" t="str">
        <f ca="1">IFERROR(__xludf.DUMMYFUNCTION("""COMPUTED_VALUE"""),".na")</f>
        <v>.na</v>
      </c>
      <c r="H297" s="1"/>
      <c r="I297" s="1"/>
      <c r="J297" s="1" t="str">
        <f ca="1">IFERROR(__xludf.DUMMYFUNCTION("""COMPUTED_VALUE"""),"Minimum body temperature of the species while in its thermoneutral zone (not corrected). The thermoneutral zone is the range of ambient temperature at which temperature regulation is achieved only by control of sensible heat loss, i.e., without regulatory"&amp;" changes in metabolic heat production or evaporative heat loss.")</f>
        <v>Minimum body temperature of the species while in its thermoneutral zone (not corrected). The thermoneutral zone is the range of ambient temperature at which temperature regulation is achieved only by control of sensible heat loss, i.e., without regulatory changes in metabolic heat production or evaporative heat loss.</v>
      </c>
      <c r="K297" s="1"/>
      <c r="L297" s="8" t="str">
        <f ca="1">IFERROR(__xludf.DUMMYFUNCTION("""COMPUTED_VALUE"""),"https://doi.org/10.1038/s41597-023-02157-4")</f>
        <v>https://doi.org/10.1038/s41597-023-02157-4</v>
      </c>
      <c r="M297" s="1" t="str">
        <f ca="1">IFERROR(__xludf.DUMMYFUNCTION("""COMPUTED_VALUE"""),"Froidevaux_2023")</f>
        <v>Froidevaux_2023</v>
      </c>
    </row>
    <row r="298" spans="1:13" ht="13.2">
      <c r="A298" s="1" t="str">
        <f ca="1">IFERROR(__xludf.DUMMYFUNCTION("""COMPUTED_VALUE"""),"RestingMetabolicRate")</f>
        <v>RestingMetabolicRate</v>
      </c>
      <c r="B298" s="1"/>
      <c r="C298" s="1"/>
      <c r="D298" s="1"/>
      <c r="E298" s="1" t="str">
        <f ca="1">IFERROR(__xludf.DUMMYFUNCTION("""COMPUTED_VALUE"""),"numeric")</f>
        <v>numeric</v>
      </c>
      <c r="F298" s="1" t="str">
        <f ca="1">IFERROR(__xludf.DUMMYFUNCTION("""COMPUTED_VALUE"""),"W kg-1")</f>
        <v>W kg-1</v>
      </c>
      <c r="G298" s="1" t="str">
        <f ca="1">IFERROR(__xludf.DUMMYFUNCTION("""COMPUTED_VALUE"""),".na")</f>
        <v>.na</v>
      </c>
      <c r="H298" s="1"/>
      <c r="I298" s="1"/>
      <c r="J298" s="1" t="str">
        <f ca="1">IFERROR(__xludf.DUMMYFUNCTION("""COMPUTED_VALUE"""),"The metabolic rate of an animal that is resting in a thermoneutral environment but not in the postabsorptive state")</f>
        <v>The metabolic rate of an animal that is resting in a thermoneutral environment but not in the postabsorptive state</v>
      </c>
      <c r="K298" s="1"/>
      <c r="L298" s="8" t="str">
        <f ca="1">IFERROR(__xludf.DUMMYFUNCTION("""COMPUTED_VALUE"""),"https://doi.org/10.1038/s41597-023-02157-4")</f>
        <v>https://doi.org/10.1038/s41597-023-02157-4</v>
      </c>
      <c r="M298" s="1" t="str">
        <f ca="1">IFERROR(__xludf.DUMMYFUNCTION("""COMPUTED_VALUE"""),"Froidevaux_2023")</f>
        <v>Froidevaux_2023</v>
      </c>
    </row>
    <row r="299" spans="1:13" ht="13.2">
      <c r="A299" s="1" t="str">
        <f ca="1">IFERROR(__xludf.DUMMYFUNCTION("""COMPUTED_VALUE"""),"TotalEvaporativeWaterLossRate")</f>
        <v>TotalEvaporativeWaterLossRate</v>
      </c>
      <c r="B299" s="1"/>
      <c r="C299" s="1"/>
      <c r="D299" s="1"/>
      <c r="E299" s="1" t="str">
        <f ca="1">IFERROR(__xludf.DUMMYFUNCTION("""COMPUTED_VALUE"""),"numeric")</f>
        <v>numeric</v>
      </c>
      <c r="F299" s="1" t="str">
        <f ca="1">IFERROR(__xludf.DUMMYFUNCTION("""COMPUTED_VALUE"""),"ml/h")</f>
        <v>ml/h</v>
      </c>
      <c r="G299" s="1" t="str">
        <f ca="1">IFERROR(__xludf.DUMMYFUNCTION("""COMPUTED_VALUE"""),".na")</f>
        <v>.na</v>
      </c>
      <c r="H299" s="1"/>
      <c r="I299" s="1"/>
      <c r="J299" s="1" t="str">
        <f ca="1">IFERROR(__xludf.DUMMYFUNCTION("""COMPUTED_VALUE"""),"The sum of cutaneous evaporative water loss and respiratory evaporative water loss")</f>
        <v>The sum of cutaneous evaporative water loss and respiratory evaporative water loss</v>
      </c>
      <c r="K299" s="1"/>
      <c r="L299" s="8" t="str">
        <f ca="1">IFERROR(__xludf.DUMMYFUNCTION("""COMPUTED_VALUE"""),"https://doi.org/10.1038/s41597-023-02157-4")</f>
        <v>https://doi.org/10.1038/s41597-023-02157-4</v>
      </c>
      <c r="M299" s="1" t="str">
        <f ca="1">IFERROR(__xludf.DUMMYFUNCTION("""COMPUTED_VALUE"""),"Froidevaux_2023")</f>
        <v>Froidevaux_2023</v>
      </c>
    </row>
    <row r="300" spans="1:13" ht="13.2">
      <c r="A300" s="1" t="str">
        <f ca="1">IFERROR(__xludf.DUMMYFUNCTION("""COMPUTED_VALUE"""),"TorporBehavior")</f>
        <v>TorporBehavior</v>
      </c>
      <c r="B300" s="1"/>
      <c r="C300" s="1"/>
      <c r="D300" s="1"/>
      <c r="E300" s="1" t="str">
        <f ca="1">IFERROR(__xludf.DUMMYFUNCTION("""COMPUTED_VALUE"""),"categorical")</f>
        <v>categorical</v>
      </c>
      <c r="F300" s="1" t="str">
        <f ca="1">IFERROR(__xludf.DUMMYFUNCTION("""COMPUTED_VALUE"""),".na")</f>
        <v>.na</v>
      </c>
      <c r="G300" s="1" t="str">
        <f ca="1">IFERROR(__xludf.DUMMYFUNCTION("""COMPUTED_VALUE"""),"yes, no")</f>
        <v>yes, no</v>
      </c>
      <c r="H300" s="1" t="str">
        <f ca="1">IFERROR(__xludf.DUMMYFUNCTION("""COMPUTED_VALUE"""),".na")</f>
        <v>.na</v>
      </c>
      <c r="I300" s="1" t="str">
        <f ca="1">IFERROR(__xludf.DUMMYFUNCTION("""COMPUTED_VALUE"""),".na")</f>
        <v>.na</v>
      </c>
      <c r="J300" s="1" t="str">
        <f ca="1">IFERROR(__xludf.DUMMYFUNCTION("""COMPUTED_VALUE"""),"Torpor behaviour: yes, no")</f>
        <v>Torpor behaviour: yes, no</v>
      </c>
      <c r="K300" s="1"/>
      <c r="L300" s="8" t="str">
        <f ca="1">IFERROR(__xludf.DUMMYFUNCTION("""COMPUTED_VALUE"""),"https://doi.org/10.1038/s41597-023-02157-4")</f>
        <v>https://doi.org/10.1038/s41597-023-02157-4</v>
      </c>
      <c r="M300" s="1" t="str">
        <f ca="1">IFERROR(__xludf.DUMMYFUNCTION("""COMPUTED_VALUE"""),"Froidevaux_2023")</f>
        <v>Froidevaux_2023</v>
      </c>
    </row>
    <row r="301" spans="1:13" ht="13.2">
      <c r="A301" s="1" t="str">
        <f ca="1">IFERROR(__xludf.DUMMYFUNCTION("""COMPUTED_VALUE"""),"SpeciesThermalIndex")</f>
        <v>SpeciesThermalIndex</v>
      </c>
      <c r="B301" s="1"/>
      <c r="C301" s="1"/>
      <c r="D301" s="1"/>
      <c r="E301" s="1" t="str">
        <f ca="1">IFERROR(__xludf.DUMMYFUNCTION("""COMPUTED_VALUE"""),"numeric")</f>
        <v>numeric</v>
      </c>
      <c r="F301" s="1" t="str">
        <f ca="1">IFERROR(__xludf.DUMMYFUNCTION("""COMPUTED_VALUE"""),"°C")</f>
        <v>°C</v>
      </c>
      <c r="G301" s="1" t="str">
        <f ca="1">IFERROR(__xludf.DUMMYFUNCTION("""COMPUTED_VALUE"""),".na")</f>
        <v>.na</v>
      </c>
      <c r="H301" s="1"/>
      <c r="I301" s="1"/>
      <c r="J301" s="1" t="str">
        <f ca="1">IFERROR(__xludf.DUMMYFUNCTION("""COMPUTED_VALUE"""),"Species thermal index: thermal preference of a species expressed as the average temperature a species experiences across its geographic range")</f>
        <v>Species thermal index: thermal preference of a species expressed as the average temperature a species experiences across its geographic range</v>
      </c>
      <c r="K301" s="1"/>
      <c r="L301" s="8" t="str">
        <f ca="1">IFERROR(__xludf.DUMMYFUNCTION("""COMPUTED_VALUE"""),"https://doi.org/10.1038/s41597-023-02157-4")</f>
        <v>https://doi.org/10.1038/s41597-023-02157-4</v>
      </c>
      <c r="M301" s="1" t="str">
        <f ca="1">IFERROR(__xludf.DUMMYFUNCTION("""COMPUTED_VALUE"""),"Froidevaux_2023")</f>
        <v>Froidevaux_2023</v>
      </c>
    </row>
    <row r="302" spans="1:13" ht="13.2">
      <c r="A302" s="1" t="str">
        <f ca="1">IFERROR(__xludf.DUMMYFUNCTION("""COMPUTED_VALUE"""),"ResponseToNightlyTemperature")</f>
        <v>ResponseToNightlyTemperature</v>
      </c>
      <c r="B302" s="1"/>
      <c r="C302" s="1"/>
      <c r="D302" s="1"/>
      <c r="E302" s="1" t="str">
        <f ca="1">IFERROR(__xludf.DUMMYFUNCTION("""COMPUTED_VALUE"""),"numeric")</f>
        <v>numeric</v>
      </c>
      <c r="F302" s="1" t="str">
        <f ca="1">IFERROR(__xludf.DUMMYFUNCTION("""COMPUTED_VALUE"""),".na")</f>
        <v>.na</v>
      </c>
      <c r="G302" s="1" t="str">
        <f ca="1">IFERROR(__xludf.DUMMYFUNCTION("""COMPUTED_VALUE"""),".na")</f>
        <v>.na</v>
      </c>
      <c r="H302" s="1"/>
      <c r="I302" s="1"/>
      <c r="J302" s="1" t="str">
        <f ca="1">IFERROR(__xludf.DUMMYFUNCTION("""COMPUTED_VALUE"""),"Estimated response to temperature at night calculated from generalized linear mixed model")</f>
        <v>Estimated response to temperature at night calculated from generalized linear mixed model</v>
      </c>
      <c r="K302" s="1"/>
      <c r="L302" s="8" t="str">
        <f ca="1">IFERROR(__xludf.DUMMYFUNCTION("""COMPUTED_VALUE"""),"https://doi.org/10.1038/s41597-023-02157-4")</f>
        <v>https://doi.org/10.1038/s41597-023-02157-4</v>
      </c>
      <c r="M302" s="1" t="str">
        <f ca="1">IFERROR(__xludf.DUMMYFUNCTION("""COMPUTED_VALUE"""),"Froidevaux_2023")</f>
        <v>Froidevaux_2023</v>
      </c>
    </row>
    <row r="303" spans="1:13" ht="13.2">
      <c r="A303" s="1" t="str">
        <f ca="1">IFERROR(__xludf.DUMMYFUNCTION("""COMPUTED_VALUE"""),"ResponseToNightlyPrecipitation")</f>
        <v>ResponseToNightlyPrecipitation</v>
      </c>
      <c r="B303" s="1"/>
      <c r="C303" s="1"/>
      <c r="D303" s="1"/>
      <c r="E303" s="1" t="str">
        <f ca="1">IFERROR(__xludf.DUMMYFUNCTION("""COMPUTED_VALUE"""),"numeric")</f>
        <v>numeric</v>
      </c>
      <c r="F303" s="1" t="str">
        <f ca="1">IFERROR(__xludf.DUMMYFUNCTION("""COMPUTED_VALUE"""),".na")</f>
        <v>.na</v>
      </c>
      <c r="G303" s="1" t="str">
        <f ca="1">IFERROR(__xludf.DUMMYFUNCTION("""COMPUTED_VALUE"""),".na")</f>
        <v>.na</v>
      </c>
      <c r="H303" s="1"/>
      <c r="I303" s="1"/>
      <c r="J303" s="1" t="str">
        <f ca="1">IFERROR(__xludf.DUMMYFUNCTION("""COMPUTED_VALUE"""),"Estimated response to the amount of precipitations at night calculated from generalized linear mixed model")</f>
        <v>Estimated response to the amount of precipitations at night calculated from generalized linear mixed model</v>
      </c>
      <c r="K303" s="1"/>
      <c r="L303" s="8" t="str">
        <f ca="1">IFERROR(__xludf.DUMMYFUNCTION("""COMPUTED_VALUE"""),"https://doi.org/10.1038/s41597-023-02157-4")</f>
        <v>https://doi.org/10.1038/s41597-023-02157-4</v>
      </c>
      <c r="M303" s="1" t="str">
        <f ca="1">IFERROR(__xludf.DUMMYFUNCTION("""COMPUTED_VALUE"""),"Froidevaux_2023")</f>
        <v>Froidevaux_2023</v>
      </c>
    </row>
    <row r="304" spans="1:13" ht="13.2">
      <c r="A304" s="1" t="str">
        <f ca="1">IFERROR(__xludf.DUMMYFUNCTION("""COMPUTED_VALUE"""),"ResponseToNightlyWindSpeed")</f>
        <v>ResponseToNightlyWindSpeed</v>
      </c>
      <c r="B304" s="1"/>
      <c r="C304" s="1"/>
      <c r="D304" s="1"/>
      <c r="E304" s="1" t="str">
        <f ca="1">IFERROR(__xludf.DUMMYFUNCTION("""COMPUTED_VALUE"""),"numeric")</f>
        <v>numeric</v>
      </c>
      <c r="F304" s="1" t="str">
        <f ca="1">IFERROR(__xludf.DUMMYFUNCTION("""COMPUTED_VALUE"""),".na")</f>
        <v>.na</v>
      </c>
      <c r="G304" s="1" t="str">
        <f ca="1">IFERROR(__xludf.DUMMYFUNCTION("""COMPUTED_VALUE"""),".na")</f>
        <v>.na</v>
      </c>
      <c r="H304" s="1"/>
      <c r="I304" s="1"/>
      <c r="J304" s="1" t="str">
        <f ca="1">IFERROR(__xludf.DUMMYFUNCTION("""COMPUTED_VALUE"""),"Estimated response to wind speed at night calculated from generalized linear mixed model")</f>
        <v>Estimated response to wind speed at night calculated from generalized linear mixed model</v>
      </c>
      <c r="K304" s="1"/>
      <c r="L304" s="8" t="str">
        <f ca="1">IFERROR(__xludf.DUMMYFUNCTION("""COMPUTED_VALUE"""),"https://doi.org/10.1038/s41597-023-02157-4")</f>
        <v>https://doi.org/10.1038/s41597-023-02157-4</v>
      </c>
      <c r="M304" s="1" t="str">
        <f ca="1">IFERROR(__xludf.DUMMYFUNCTION("""COMPUTED_VALUE"""),"Froidevaux_2023")</f>
        <v>Froidevaux_2023</v>
      </c>
    </row>
    <row r="305" spans="1:13" ht="13.2">
      <c r="A305" s="1" t="str">
        <f ca="1">IFERROR(__xludf.DUMMYFUNCTION("""COMPUTED_VALUE"""),"GestationTime")</f>
        <v>GestationTime</v>
      </c>
      <c r="B305" s="1"/>
      <c r="C305" s="1"/>
      <c r="D305" s="1"/>
      <c r="E305" s="1" t="str">
        <f ca="1">IFERROR(__xludf.DUMMYFUNCTION("""COMPUTED_VALUE"""),"numeric")</f>
        <v>numeric</v>
      </c>
      <c r="F305" s="1" t="str">
        <f ca="1">IFERROR(__xludf.DUMMYFUNCTION("""COMPUTED_VALUE"""),"days")</f>
        <v>days</v>
      </c>
      <c r="G305" s="1" t="str">
        <f ca="1">IFERROR(__xludf.DUMMYFUNCTION("""COMPUTED_VALUE"""),".na")</f>
        <v>.na</v>
      </c>
      <c r="H305" s="1"/>
      <c r="I305" s="1"/>
      <c r="J305" s="1" t="str">
        <f ca="1">IFERROR(__xludf.DUMMYFUNCTION("""COMPUTED_VALUE"""),"Time of gestation")</f>
        <v>Time of gestation</v>
      </c>
      <c r="K305" s="1"/>
      <c r="L305" s="8" t="str">
        <f ca="1">IFERROR(__xludf.DUMMYFUNCTION("""COMPUTED_VALUE"""),"https://doi.org/10.1038/s41597-023-02157-4")</f>
        <v>https://doi.org/10.1038/s41597-023-02157-4</v>
      </c>
      <c r="M305" s="1" t="str">
        <f ca="1">IFERROR(__xludf.DUMMYFUNCTION("""COMPUTED_VALUE"""),"Froidevaux_2023")</f>
        <v>Froidevaux_2023</v>
      </c>
    </row>
    <row r="306" spans="1:13" ht="13.2">
      <c r="A306" s="1" t="str">
        <f ca="1">IFERROR(__xludf.DUMMYFUNCTION("""COMPUTED_VALUE"""),"LitterSize")</f>
        <v>LitterSize</v>
      </c>
      <c r="B306" s="1"/>
      <c r="C306" s="1"/>
      <c r="D306" s="1"/>
      <c r="E306" s="1" t="str">
        <f ca="1">IFERROR(__xludf.DUMMYFUNCTION("""COMPUTED_VALUE"""),"numeric")</f>
        <v>numeric</v>
      </c>
      <c r="F306" s="1" t="str">
        <f ca="1">IFERROR(__xludf.DUMMYFUNCTION("""COMPUTED_VALUE"""),"individuals")</f>
        <v>individuals</v>
      </c>
      <c r="G306" s="1" t="str">
        <f ca="1">IFERROR(__xludf.DUMMYFUNCTION("""COMPUTED_VALUE"""),".na")</f>
        <v>.na</v>
      </c>
      <c r="H306" s="1"/>
      <c r="I306" s="1"/>
      <c r="J306" s="1" t="str">
        <f ca="1">IFERROR(__xludf.DUMMYFUNCTION("""COMPUTED_VALUE"""),"Number of offspring per year")</f>
        <v>Number of offspring per year</v>
      </c>
      <c r="K306" s="1"/>
      <c r="L306" s="8" t="str">
        <f ca="1">IFERROR(__xludf.DUMMYFUNCTION("""COMPUTED_VALUE"""),"https://doi.org/10.1038/s41597-023-02157-4")</f>
        <v>https://doi.org/10.1038/s41597-023-02157-4</v>
      </c>
      <c r="M306" s="1" t="str">
        <f ca="1">IFERROR(__xludf.DUMMYFUNCTION("""COMPUTED_VALUE"""),"Froidevaux_2023")</f>
        <v>Froidevaux_2023</v>
      </c>
    </row>
    <row r="307" spans="1:13" ht="13.2">
      <c r="A307" s="1" t="str">
        <f ca="1">IFERROR(__xludf.DUMMYFUNCTION("""COMPUTED_VALUE"""),"SexualMaturityFemale")</f>
        <v>SexualMaturityFemale</v>
      </c>
      <c r="B307" s="1"/>
      <c r="C307" s="1"/>
      <c r="D307" s="1"/>
      <c r="E307" s="1" t="str">
        <f ca="1">IFERROR(__xludf.DUMMYFUNCTION("""COMPUTED_VALUE"""),"numeric")</f>
        <v>numeric</v>
      </c>
      <c r="F307" s="1" t="str">
        <f ca="1">IFERROR(__xludf.DUMMYFUNCTION("""COMPUTED_VALUE"""),"days")</f>
        <v>days</v>
      </c>
      <c r="G307" s="1" t="str">
        <f ca="1">IFERROR(__xludf.DUMMYFUNCTION("""COMPUTED_VALUE"""),".na")</f>
        <v>.na</v>
      </c>
      <c r="H307" s="1"/>
      <c r="I307" s="1"/>
      <c r="J307" s="1" t="str">
        <f ca="1">IFERROR(__xludf.DUMMYFUNCTION("""COMPUTED_VALUE"""),"Average age at sexual or reproductive maturity of female")</f>
        <v>Average age at sexual or reproductive maturity of female</v>
      </c>
      <c r="K307" s="1"/>
      <c r="L307" s="8" t="str">
        <f ca="1">IFERROR(__xludf.DUMMYFUNCTION("""COMPUTED_VALUE"""),"https://doi.org/10.1038/s41597-023-02157-4")</f>
        <v>https://doi.org/10.1038/s41597-023-02157-4</v>
      </c>
      <c r="M307" s="1" t="str">
        <f ca="1">IFERROR(__xludf.DUMMYFUNCTION("""COMPUTED_VALUE"""),"Froidevaux_2023")</f>
        <v>Froidevaux_2023</v>
      </c>
    </row>
    <row r="308" spans="1:13" ht="13.2">
      <c r="A308" s="1" t="str">
        <f ca="1">IFERROR(__xludf.DUMMYFUNCTION("""COMPUTED_VALUE"""),"SexualMaturityMale")</f>
        <v>SexualMaturityMale</v>
      </c>
      <c r="B308" s="1"/>
      <c r="C308" s="1"/>
      <c r="D308" s="1"/>
      <c r="E308" s="1" t="str">
        <f ca="1">IFERROR(__xludf.DUMMYFUNCTION("""COMPUTED_VALUE"""),"numeric")</f>
        <v>numeric</v>
      </c>
      <c r="F308" s="1" t="str">
        <f ca="1">IFERROR(__xludf.DUMMYFUNCTION("""COMPUTED_VALUE"""),"days")</f>
        <v>days</v>
      </c>
      <c r="G308" s="1" t="str">
        <f ca="1">IFERROR(__xludf.DUMMYFUNCTION("""COMPUTED_VALUE"""),".na")</f>
        <v>.na</v>
      </c>
      <c r="H308" s="1"/>
      <c r="I308" s="1"/>
      <c r="J308" s="1" t="str">
        <f ca="1">IFERROR(__xludf.DUMMYFUNCTION("""COMPUTED_VALUE"""),"Average age at sexual or reproductive maturity of male")</f>
        <v>Average age at sexual or reproductive maturity of male</v>
      </c>
      <c r="K308" s="1"/>
      <c r="L308" s="8" t="str">
        <f ca="1">IFERROR(__xludf.DUMMYFUNCTION("""COMPUTED_VALUE"""),"https://doi.org/10.1038/s41597-023-02157-4")</f>
        <v>https://doi.org/10.1038/s41597-023-02157-4</v>
      </c>
      <c r="M308" s="1" t="str">
        <f ca="1">IFERROR(__xludf.DUMMYFUNCTION("""COMPUTED_VALUE"""),"Froidevaux_2023")</f>
        <v>Froidevaux_2023</v>
      </c>
    </row>
    <row r="309" spans="1:13" ht="13.2">
      <c r="A309" s="1" t="str">
        <f ca="1">IFERROR(__xludf.DUMMYFUNCTION("""COMPUTED_VALUE"""),"Weaning")</f>
        <v>Weaning</v>
      </c>
      <c r="B309" s="1"/>
      <c r="C309" s="1"/>
      <c r="D309" s="1"/>
      <c r="E309" s="1" t="str">
        <f ca="1">IFERROR(__xludf.DUMMYFUNCTION("""COMPUTED_VALUE"""),"numeric")</f>
        <v>numeric</v>
      </c>
      <c r="F309" s="1" t="str">
        <f ca="1">IFERROR(__xludf.DUMMYFUNCTION("""COMPUTED_VALUE"""),"days")</f>
        <v>days</v>
      </c>
      <c r="G309" s="1" t="str">
        <f ca="1">IFERROR(__xludf.DUMMYFUNCTION("""COMPUTED_VALUE"""),".na")</f>
        <v>.na</v>
      </c>
      <c r="H309" s="1"/>
      <c r="I309" s="1"/>
      <c r="J309" s="1" t="str">
        <f ca="1">IFERROR(__xludf.DUMMYFUNCTION("""COMPUTED_VALUE"""),"Weaning time")</f>
        <v>Weaning time</v>
      </c>
      <c r="K309" s="1"/>
      <c r="L309" s="8" t="str">
        <f ca="1">IFERROR(__xludf.DUMMYFUNCTION("""COMPUTED_VALUE"""),"https://doi.org/10.1038/s41597-023-02157-4")</f>
        <v>https://doi.org/10.1038/s41597-023-02157-4</v>
      </c>
      <c r="M309" s="1" t="str">
        <f ca="1">IFERROR(__xludf.DUMMYFUNCTION("""COMPUTED_VALUE"""),"Froidevaux_2023")</f>
        <v>Froidevaux_2023</v>
      </c>
    </row>
    <row r="310" spans="1:13" ht="13.2">
      <c r="A310" s="1" t="str">
        <f ca="1">IFERROR(__xludf.DUMMYFUNCTION("""COMPUTED_VALUE"""),"FirstMainHibernationRoost")</f>
        <v>FirstMainHibernationRoost</v>
      </c>
      <c r="B310" s="1"/>
      <c r="C310" s="1"/>
      <c r="D310" s="1"/>
      <c r="E310" s="1" t="str">
        <f ca="1">IFERROR(__xludf.DUMMYFUNCTION("""COMPUTED_VALUE"""),"categorical")</f>
        <v>categorical</v>
      </c>
      <c r="F310" s="1" t="str">
        <f ca="1">IFERROR(__xludf.DUMMYFUNCTION("""COMPUTED_VALUE"""),".na")</f>
        <v>.na</v>
      </c>
      <c r="G310" s="1" t="str">
        <f ca="1">IFERROR(__xludf.DUMMYFUNCTION("""COMPUTED_VALUE"""),"Thermally stable underground roosts (e.g. caves, mines, etc.), thermally unstable underground roosts (e.g. cellar, bunker, etc.), human-made roost (e.g. buildings, barns, churches, etc.), tree roost (e.g. holes, crevices, barck pockets, etc.), rock crevic"&amp;"es")</f>
        <v>Thermally stable underground roosts (e.g. caves, mines, etc.), thermally unstable underground roosts (e.g. cellar, bunker, etc.), human-made roost (e.g. buildings, barns, churches, etc.), tree roost (e.g. holes, crevices, barck pockets, etc.), rock crevices</v>
      </c>
      <c r="H310" s="1" t="str">
        <f ca="1">IFERROR(__xludf.DUMMYFUNCTION("""COMPUTED_VALUE"""),".na")</f>
        <v>.na</v>
      </c>
      <c r="I310" s="1" t="str">
        <f ca="1">IFERROR(__xludf.DUMMYFUNCTION("""COMPUTED_VALUE"""),".na")</f>
        <v>.na</v>
      </c>
      <c r="J310" s="1" t="str">
        <f ca="1">IFERROR(__xludf.DUMMYFUNCTION("""COMPUTED_VALUE"""),"Main hibernation roost: thermally stable underground roosts (e.g. caves, mines, etc.), thermally unstable underground roosts (e.g. cellar, bunker, etc.), human-made roost (e.g. buildings, barns, churches, etc.), tree roost (e.g. holes, crevices, barck poc"&amp;"kets, etc.), rock crevices")</f>
        <v>Main hibernation roost: thermally stable underground roosts (e.g. caves, mines, etc.), thermally unstable underground roosts (e.g. cellar, bunker, etc.), human-made roost (e.g. buildings, barns, churches, etc.), tree roost (e.g. holes, crevices, barck pockets, etc.), rock crevices</v>
      </c>
      <c r="K310" s="1"/>
      <c r="L310" s="8" t="str">
        <f ca="1">IFERROR(__xludf.DUMMYFUNCTION("""COMPUTED_VALUE"""),"https://doi.org/10.1038/s41597-023-02157-4")</f>
        <v>https://doi.org/10.1038/s41597-023-02157-4</v>
      </c>
      <c r="M310" s="1" t="str">
        <f ca="1">IFERROR(__xludf.DUMMYFUNCTION("""COMPUTED_VALUE"""),"Froidevaux_2023")</f>
        <v>Froidevaux_2023</v>
      </c>
    </row>
    <row r="311" spans="1:13" ht="13.2">
      <c r="A311" s="1" t="str">
        <f ca="1">IFERROR(__xludf.DUMMYFUNCTION("""COMPUTED_VALUE"""),"FirstMainMaternityRoost")</f>
        <v>FirstMainMaternityRoost</v>
      </c>
      <c r="B311" s="1"/>
      <c r="C311" s="1"/>
      <c r="D311" s="1"/>
      <c r="E311" s="1" t="str">
        <f ca="1">IFERROR(__xludf.DUMMYFUNCTION("""COMPUTED_VALUE"""),"categorical")</f>
        <v>categorical</v>
      </c>
      <c r="F311" s="1" t="str">
        <f ca="1">IFERROR(__xludf.DUMMYFUNCTION("""COMPUTED_VALUE"""),".na")</f>
        <v>.na</v>
      </c>
      <c r="G311" s="1" t="str">
        <f ca="1">IFERROR(__xludf.DUMMYFUNCTION("""COMPUTED_VALUE"""),"Thermally stable underground roosts (e.g. caves, mines, etc.), thermally unstable underground roosts (e.g. cellar, bunker, etc.), human-made roost (e.g. buildings, barns, churches, etc.), tree roost (e.g. holes, crevices, barck pockets, etc.), rock crevic"&amp;"es")</f>
        <v>Thermally stable underground roosts (e.g. caves, mines, etc.), thermally unstable underground roosts (e.g. cellar, bunker, etc.), human-made roost (e.g. buildings, barns, churches, etc.), tree roost (e.g. holes, crevices, barck pockets, etc.), rock crevices</v>
      </c>
      <c r="H311" s="1" t="str">
        <f ca="1">IFERROR(__xludf.DUMMYFUNCTION("""COMPUTED_VALUE"""),".na")</f>
        <v>.na</v>
      </c>
      <c r="I311" s="1" t="str">
        <f ca="1">IFERROR(__xludf.DUMMYFUNCTION("""COMPUTED_VALUE"""),".na")</f>
        <v>.na</v>
      </c>
      <c r="J311" s="1" t="str">
        <f ca="1">IFERROR(__xludf.DUMMYFUNCTION("""COMPUTED_VALUE"""),"Main maternity roost: thermally stable underground roosts (e.g. caves, mines, etc.), thermally unstable underground roosts (e.g. cellar, bunker, etc.), human-made roost (e.g. buildings, barns, churches, etc.), tree roost (e.g. holes, crevices, barck pocke"&amp;"ts, etc.), rock crevices")</f>
        <v>Main maternity roost: thermally stable underground roosts (e.g. caves, mines, etc.), thermally unstable underground roosts (e.g. cellar, bunker, etc.), human-made roost (e.g. buildings, barns, churches, etc.), tree roost (e.g. holes, crevices, barck pockets, etc.), rock crevices</v>
      </c>
      <c r="K311" s="1"/>
      <c r="L311" s="8" t="str">
        <f ca="1">IFERROR(__xludf.DUMMYFUNCTION("""COMPUTED_VALUE"""),"https://doi.org/10.1038/s41597-023-02157-4")</f>
        <v>https://doi.org/10.1038/s41597-023-02157-4</v>
      </c>
      <c r="M311" s="1" t="str">
        <f ca="1">IFERROR(__xludf.DUMMYFUNCTION("""COMPUTED_VALUE"""),"Froidevaux_2023")</f>
        <v>Froidevaux_2023</v>
      </c>
    </row>
    <row r="312" spans="1:13" ht="13.2">
      <c r="A312" s="1" t="str">
        <f ca="1">IFERROR(__xludf.DUMMYFUNCTION("""COMPUTED_VALUE"""),"SecondMainHibernationRoost")</f>
        <v>SecondMainHibernationRoost</v>
      </c>
      <c r="B312" s="1"/>
      <c r="C312" s="1"/>
      <c r="D312" s="1"/>
      <c r="E312" s="1" t="str">
        <f ca="1">IFERROR(__xludf.DUMMYFUNCTION("""COMPUTED_VALUE"""),"categorical")</f>
        <v>categorical</v>
      </c>
      <c r="F312" s="1" t="str">
        <f ca="1">IFERROR(__xludf.DUMMYFUNCTION("""COMPUTED_VALUE"""),".na")</f>
        <v>.na</v>
      </c>
      <c r="G312" s="1" t="str">
        <f ca="1">IFERROR(__xludf.DUMMYFUNCTION("""COMPUTED_VALUE"""),"Thermally stable underground roosts (e.g. caves, mines, etc.), thermally unstable underground roosts (e.g. cellar, bunker, etc.), human-made roost (e.g. buildings, barns, churches, etc.), tree roost (e.g. holes, crevices, barck pockets, etc.), rock crevic"&amp;"es")</f>
        <v>Thermally stable underground roosts (e.g. caves, mines, etc.), thermally unstable underground roosts (e.g. cellar, bunker, etc.), human-made roost (e.g. buildings, barns, churches, etc.), tree roost (e.g. holes, crevices, barck pockets, etc.), rock crevices</v>
      </c>
      <c r="H312" s="1" t="str">
        <f ca="1">IFERROR(__xludf.DUMMYFUNCTION("""COMPUTED_VALUE"""),".na")</f>
        <v>.na</v>
      </c>
      <c r="I312" s="1" t="str">
        <f ca="1">IFERROR(__xludf.DUMMYFUNCTION("""COMPUTED_VALUE"""),".na")</f>
        <v>.na</v>
      </c>
      <c r="J312" s="1" t="str">
        <f ca="1">IFERROR(__xludf.DUMMYFUNCTION("""COMPUTED_VALUE"""),"Second main hibernation roost: thermally stable underground roosts (e.g. caves, mines, etc.), thermally unstable underground roosts (e.g. cellar, bunker, etc.), human-made roost (e.g. buildings, barns, churches, etc.), tree roost (e.g. holes, crevices, ba"&amp;"rck pockets, etc.), rock crevices")</f>
        <v>Second main hibernation roost: thermally stable underground roosts (e.g. caves, mines, etc.), thermally unstable underground roosts (e.g. cellar, bunker, etc.), human-made roost (e.g. buildings, barns, churches, etc.), tree roost (e.g. holes, crevices, barck pockets, etc.), rock crevices</v>
      </c>
      <c r="K312" s="1"/>
      <c r="L312" s="8" t="str">
        <f ca="1">IFERROR(__xludf.DUMMYFUNCTION("""COMPUTED_VALUE"""),"https://doi.org/10.1038/s41597-023-02157-4")</f>
        <v>https://doi.org/10.1038/s41597-023-02157-4</v>
      </c>
      <c r="M312" s="1" t="str">
        <f ca="1">IFERROR(__xludf.DUMMYFUNCTION("""COMPUTED_VALUE"""),"Froidevaux_2023")</f>
        <v>Froidevaux_2023</v>
      </c>
    </row>
    <row r="313" spans="1:13" ht="13.2">
      <c r="A313" s="1" t="str">
        <f ca="1">IFERROR(__xludf.DUMMYFUNCTION("""COMPUTED_VALUE"""),"SecondMainMaternityRoost")</f>
        <v>SecondMainMaternityRoost</v>
      </c>
      <c r="B313" s="1"/>
      <c r="C313" s="1"/>
      <c r="D313" s="1"/>
      <c r="E313" s="1" t="str">
        <f ca="1">IFERROR(__xludf.DUMMYFUNCTION("""COMPUTED_VALUE"""),"categorical")</f>
        <v>categorical</v>
      </c>
      <c r="F313" s="1" t="str">
        <f ca="1">IFERROR(__xludf.DUMMYFUNCTION("""COMPUTED_VALUE"""),".na")</f>
        <v>.na</v>
      </c>
      <c r="G313" s="1" t="str">
        <f ca="1">IFERROR(__xludf.DUMMYFUNCTION("""COMPUTED_VALUE"""),"Thermally stable underground roosts (e.g. caves, mines, etc.), thermally unstable underground roosts (e.g. cellar, bunker, etc.), human-made roost (e.g. buildings, barns, churches, etc.), tree roost (e.g. holes, crevices, barck pockets, etc.), rock crevic"&amp;"es")</f>
        <v>Thermally stable underground roosts (e.g. caves, mines, etc.), thermally unstable underground roosts (e.g. cellar, bunker, etc.), human-made roost (e.g. buildings, barns, churches, etc.), tree roost (e.g. holes, crevices, barck pockets, etc.), rock crevices</v>
      </c>
      <c r="H313" s="1" t="str">
        <f ca="1">IFERROR(__xludf.DUMMYFUNCTION("""COMPUTED_VALUE"""),".na")</f>
        <v>.na</v>
      </c>
      <c r="I313" s="1" t="str">
        <f ca="1">IFERROR(__xludf.DUMMYFUNCTION("""COMPUTED_VALUE"""),".na")</f>
        <v>.na</v>
      </c>
      <c r="J313" s="1" t="str">
        <f ca="1">IFERROR(__xludf.DUMMYFUNCTION("""COMPUTED_VALUE"""),"Second main maternity roost: thermally stable underground roosts (e.g. caves, mines, etc.), thermally unstable underground roosts (e.g. cellar, bunker, etc.), human-made roost (e.g. buildings, barns, churches, etc.), tree roost (e.g. holes, crevices, barc"&amp;"k pockets, etc.), rock crevices")</f>
        <v>Second main maternity roost: thermally stable underground roosts (e.g. caves, mines, etc.), thermally unstable underground roosts (e.g. cellar, bunker, etc.), human-made roost (e.g. buildings, barns, churches, etc.), tree roost (e.g. holes, crevices, barck pockets, etc.), rock crevices</v>
      </c>
      <c r="K313" s="1"/>
      <c r="L313" s="8" t="str">
        <f ca="1">IFERROR(__xludf.DUMMYFUNCTION("""COMPUTED_VALUE"""),"https://doi.org/10.1038/s41597-023-02157-4")</f>
        <v>https://doi.org/10.1038/s41597-023-02157-4</v>
      </c>
      <c r="M313" s="1" t="str">
        <f ca="1">IFERROR(__xludf.DUMMYFUNCTION("""COMPUTED_VALUE"""),"Froidevaux_2023")</f>
        <v>Froidevaux_2023</v>
      </c>
    </row>
    <row r="314" spans="1:13" ht="13.2">
      <c r="A314" s="1" t="str">
        <f ca="1">IFERROR(__xludf.DUMMYFUNCTION("""COMPUTED_VALUE"""),"ThirdMainHibernationRoost")</f>
        <v>ThirdMainHibernationRoost</v>
      </c>
      <c r="B314" s="1"/>
      <c r="C314" s="1"/>
      <c r="D314" s="1"/>
      <c r="E314" s="1" t="str">
        <f ca="1">IFERROR(__xludf.DUMMYFUNCTION("""COMPUTED_VALUE"""),"categorical")</f>
        <v>categorical</v>
      </c>
      <c r="F314" s="1" t="str">
        <f ca="1">IFERROR(__xludf.DUMMYFUNCTION("""COMPUTED_VALUE"""),".na")</f>
        <v>.na</v>
      </c>
      <c r="G314" s="1" t="str">
        <f ca="1">IFERROR(__xludf.DUMMYFUNCTION("""COMPUTED_VALUE"""),"Thermally stable underground roosts (e.g. caves, mines, etc.), thermally unstable underground roosts (e.g. cellar, bunker, etc.), human-made roost (e.g. buildings, barns, churches, etc.), tree roost (e.g. holes, crevices, barck pockets, etc.), rock crevic"&amp;"es")</f>
        <v>Thermally stable underground roosts (e.g. caves, mines, etc.), thermally unstable underground roosts (e.g. cellar, bunker, etc.), human-made roost (e.g. buildings, barns, churches, etc.), tree roost (e.g. holes, crevices, barck pockets, etc.), rock crevices</v>
      </c>
      <c r="H314" s="1" t="str">
        <f ca="1">IFERROR(__xludf.DUMMYFUNCTION("""COMPUTED_VALUE"""),".na")</f>
        <v>.na</v>
      </c>
      <c r="I314" s="1" t="str">
        <f ca="1">IFERROR(__xludf.DUMMYFUNCTION("""COMPUTED_VALUE"""),".na")</f>
        <v>.na</v>
      </c>
      <c r="J314" s="1" t="str">
        <f ca="1">IFERROR(__xludf.DUMMYFUNCTION("""COMPUTED_VALUE"""),"Third main hibernation roost: thermally stable underground roosts (e.g. caves, mines, etc.), thermally unstable underground roosts (e.g. cellar, bunker, etc.), human-made roost (e.g. buildings, barns, churches, etc.), tree roost (e.g. holes, crevices, bar"&amp;"ck pockets, etc.), rock crevices")</f>
        <v>Third main hibernation roost: thermally stable underground roosts (e.g. caves, mines, etc.), thermally unstable underground roosts (e.g. cellar, bunker, etc.), human-made roost (e.g. buildings, barns, churches, etc.), tree roost (e.g. holes, crevices, barck pockets, etc.), rock crevices</v>
      </c>
      <c r="K314" s="1"/>
      <c r="L314" s="8" t="str">
        <f ca="1">IFERROR(__xludf.DUMMYFUNCTION("""COMPUTED_VALUE"""),"https://doi.org/10.1038/s41597-023-02157-4")</f>
        <v>https://doi.org/10.1038/s41597-023-02157-4</v>
      </c>
      <c r="M314" s="1" t="str">
        <f ca="1">IFERROR(__xludf.DUMMYFUNCTION("""COMPUTED_VALUE"""),"Froidevaux_2023")</f>
        <v>Froidevaux_2023</v>
      </c>
    </row>
    <row r="315" spans="1:13" ht="13.2">
      <c r="A315" s="1" t="str">
        <f ca="1">IFERROR(__xludf.DUMMYFUNCTION("""COMPUTED_VALUE"""),"ThirdMainMaternityRoost")</f>
        <v>ThirdMainMaternityRoost</v>
      </c>
      <c r="B315" s="1"/>
      <c r="C315" s="1"/>
      <c r="D315" s="1"/>
      <c r="E315" s="1" t="str">
        <f ca="1">IFERROR(__xludf.DUMMYFUNCTION("""COMPUTED_VALUE"""),"categorical")</f>
        <v>categorical</v>
      </c>
      <c r="F315" s="1" t="str">
        <f ca="1">IFERROR(__xludf.DUMMYFUNCTION("""COMPUTED_VALUE"""),".na")</f>
        <v>.na</v>
      </c>
      <c r="G315" s="1" t="str">
        <f ca="1">IFERROR(__xludf.DUMMYFUNCTION("""COMPUTED_VALUE"""),"Thermally stable underground roosts (e.g. caves, mines, etc.), thermally unstable underground roosts (e.g. cellar, bunker, etc.), human-made roost (e.g. buildings, barns, churches, etc.), tree roost (e.g. holes, crevices, barck pockets, etc.), rock crevic"&amp;"es")</f>
        <v>Thermally stable underground roosts (e.g. caves, mines, etc.), thermally unstable underground roosts (e.g. cellar, bunker, etc.), human-made roost (e.g. buildings, barns, churches, etc.), tree roost (e.g. holes, crevices, barck pockets, etc.), rock crevices</v>
      </c>
      <c r="H315" s="1" t="str">
        <f ca="1">IFERROR(__xludf.DUMMYFUNCTION("""COMPUTED_VALUE"""),".na")</f>
        <v>.na</v>
      </c>
      <c r="I315" s="1" t="str">
        <f ca="1">IFERROR(__xludf.DUMMYFUNCTION("""COMPUTED_VALUE"""),".na")</f>
        <v>.na</v>
      </c>
      <c r="J315" s="1" t="str">
        <f ca="1">IFERROR(__xludf.DUMMYFUNCTION("""COMPUTED_VALUE"""),"Third main maternity roost: thermally stable underground roosts (e.g. caves, mines, etc.), thermally unstable underground roosts (e.g. cellar, bunker, etc.), human-made roost (e.g. buildings, barns, churches, etc.), tree roost (e.g. holes, crevices, barck"&amp;" pockets, etc.), rock crevices")</f>
        <v>Third main maternity roost: thermally stable underground roosts (e.g. caves, mines, etc.), thermally unstable underground roosts (e.g. cellar, bunker, etc.), human-made roost (e.g. buildings, barns, churches, etc.), tree roost (e.g. holes, crevices, barck pockets, etc.), rock crevices</v>
      </c>
      <c r="K315" s="1"/>
      <c r="L315" s="8" t="str">
        <f ca="1">IFERROR(__xludf.DUMMYFUNCTION("""COMPUTED_VALUE"""),"https://doi.org/10.1038/s41597-023-02157-4")</f>
        <v>https://doi.org/10.1038/s41597-023-02157-4</v>
      </c>
      <c r="M315" s="1" t="str">
        <f ca="1">IFERROR(__xludf.DUMMYFUNCTION("""COMPUTED_VALUE"""),"Froidevaux_2023")</f>
        <v>Froidevaux_2023</v>
      </c>
    </row>
    <row r="316" spans="1:13" ht="13.2">
      <c r="A316" s="1" t="str">
        <f ca="1">IFERROR(__xludf.DUMMYFUNCTION("""COMPUTED_VALUE"""),"OvergroundRoostDependence-Castle
")</f>
        <v xml:space="preserve">OvergroundRoostDependence-Castle
</v>
      </c>
      <c r="B316" s="1"/>
      <c r="C316" s="1"/>
      <c r="D316" s="1"/>
      <c r="E316" s="1" t="str">
        <f ca="1">IFERROR(__xludf.DUMMYFUNCTION("""COMPUTED_VALUE"""),"categorical")</f>
        <v>categorical</v>
      </c>
      <c r="F316" s="1" t="str">
        <f ca="1">IFERROR(__xludf.DUMMYFUNCTION("""COMPUTED_VALUE"""),".na")</f>
        <v>.na</v>
      </c>
      <c r="G316" s="1" t="str">
        <f ca="1">IFERROR(__xludf.DUMMYFUNCTION("""COMPUTED_VALUE"""),"0: no dependence, 1: low dependence, 2: moderate dependence, 3: high dependence, 4: very high dependence, 5: extremely high dependence.")</f>
        <v>0: no dependence, 1: low dependence, 2: moderate dependence, 3: high dependence, 4: very high dependence, 5: extremely high dependence.</v>
      </c>
      <c r="H316" s="1" t="str">
        <f ca="1">IFERROR(__xludf.DUMMYFUNCTION("""COMPUTED_VALUE"""),".na")</f>
        <v>.na</v>
      </c>
      <c r="I316" s="1" t="str">
        <f ca="1">IFERROR(__xludf.DUMMYFUNCTION("""COMPUTED_VALUE"""),".na")</f>
        <v>.na</v>
      </c>
      <c r="J316" s="1" t="str">
        <f ca="1">IFERROR(__xludf.DUMMYFUNCTION("""COMPUTED_VALUE"""),"Degree of dependence on castle/fortification as overground roost: 0: no dependence, 1: low dependence, 2: moderate dependence, 3: high dependence, 4: very high dependence, 5: extremely high dependence.")</f>
        <v>Degree of dependence on castle/fortification as overground roost: 0: no dependence, 1: low dependence, 2: moderate dependence, 3: high dependence, 4: very high dependence, 5: extremely high dependence.</v>
      </c>
      <c r="K316" s="1"/>
      <c r="L316" s="8" t="str">
        <f ca="1">IFERROR(__xludf.DUMMYFUNCTION("""COMPUTED_VALUE"""),"https://doi.org/10.1038/s41597-023-02157-4")</f>
        <v>https://doi.org/10.1038/s41597-023-02157-4</v>
      </c>
      <c r="M316" s="1" t="str">
        <f ca="1">IFERROR(__xludf.DUMMYFUNCTION("""COMPUTED_VALUE"""),"Froidevaux_2023")</f>
        <v>Froidevaux_2023</v>
      </c>
    </row>
    <row r="317" spans="1:13" ht="13.2">
      <c r="A317" s="1" t="str">
        <f ca="1">IFERROR(__xludf.DUMMYFUNCTION("""COMPUTED_VALUE"""),"OvergroundRoostDependence-Church
")</f>
        <v xml:space="preserve">OvergroundRoostDependence-Church
</v>
      </c>
      <c r="B317" s="1"/>
      <c r="C317" s="1"/>
      <c r="D317" s="1"/>
      <c r="E317" s="1" t="str">
        <f ca="1">IFERROR(__xludf.DUMMYFUNCTION("""COMPUTED_VALUE"""),"categorical")</f>
        <v>categorical</v>
      </c>
      <c r="F317" s="1" t="str">
        <f ca="1">IFERROR(__xludf.DUMMYFUNCTION("""COMPUTED_VALUE"""),".na")</f>
        <v>.na</v>
      </c>
      <c r="G317" s="1" t="str">
        <f ca="1">IFERROR(__xludf.DUMMYFUNCTION("""COMPUTED_VALUE"""),"0: no dependence, 1: low dependence, 2: moderate dependence, 3: high dependence, 4: very high dependence, 5: extremely high dependence.")</f>
        <v>0: no dependence, 1: low dependence, 2: moderate dependence, 3: high dependence, 4: very high dependence, 5: extremely high dependence.</v>
      </c>
      <c r="H317" s="1" t="str">
        <f ca="1">IFERROR(__xludf.DUMMYFUNCTION("""COMPUTED_VALUE"""),".na")</f>
        <v>.na</v>
      </c>
      <c r="I317" s="1" t="str">
        <f ca="1">IFERROR(__xludf.DUMMYFUNCTION("""COMPUTED_VALUE"""),".na")</f>
        <v>.na</v>
      </c>
      <c r="J317" s="1" t="str">
        <f ca="1">IFERROR(__xludf.DUMMYFUNCTION("""COMPUTED_VALUE"""),"Degree of dependence on church as overground roost: 0: no dependence, 1: low dependence, 2: moderate dependence, 3: high dependence, 4: very high dependence, 5: extremely high dependence.")</f>
        <v>Degree of dependence on church as overground roost: 0: no dependence, 1: low dependence, 2: moderate dependence, 3: high dependence, 4: very high dependence, 5: extremely high dependence.</v>
      </c>
      <c r="K317" s="1"/>
      <c r="L317" s="8" t="str">
        <f ca="1">IFERROR(__xludf.DUMMYFUNCTION("""COMPUTED_VALUE"""),"https://doi.org/10.1038/s41597-023-02157-4")</f>
        <v>https://doi.org/10.1038/s41597-023-02157-4</v>
      </c>
      <c r="M317" s="1" t="str">
        <f ca="1">IFERROR(__xludf.DUMMYFUNCTION("""COMPUTED_VALUE"""),"Froidevaux_2023")</f>
        <v>Froidevaux_2023</v>
      </c>
    </row>
    <row r="318" spans="1:13" ht="13.2">
      <c r="A318" s="1" t="str">
        <f ca="1">IFERROR(__xludf.DUMMYFUNCTION("""COMPUTED_VALUE"""),"OvergroundRoostDependence-House
")</f>
        <v xml:space="preserve">OvergroundRoostDependence-House
</v>
      </c>
      <c r="B318" s="1"/>
      <c r="C318" s="1"/>
      <c r="D318" s="1"/>
      <c r="E318" s="1" t="str">
        <f ca="1">IFERROR(__xludf.DUMMYFUNCTION("""COMPUTED_VALUE"""),"categorical")</f>
        <v>categorical</v>
      </c>
      <c r="F318" s="1" t="str">
        <f ca="1">IFERROR(__xludf.DUMMYFUNCTION("""COMPUTED_VALUE"""),".na")</f>
        <v>.na</v>
      </c>
      <c r="G318" s="1" t="str">
        <f ca="1">IFERROR(__xludf.DUMMYFUNCTION("""COMPUTED_VALUE"""),"0: no dependence, 1: low dependence, 2: moderate dependence, 3: high dependence, 4: very high dependence, 5: extremely high dependence.")</f>
        <v>0: no dependence, 1: low dependence, 2: moderate dependence, 3: high dependence, 4: very high dependence, 5: extremely high dependence.</v>
      </c>
      <c r="H318" s="1" t="str">
        <f ca="1">IFERROR(__xludf.DUMMYFUNCTION("""COMPUTED_VALUE"""),".na")</f>
        <v>.na</v>
      </c>
      <c r="I318" s="1" t="str">
        <f ca="1">IFERROR(__xludf.DUMMYFUNCTION("""COMPUTED_VALUE"""),".na")</f>
        <v>.na</v>
      </c>
      <c r="J318" s="1" t="str">
        <f ca="1">IFERROR(__xludf.DUMMYFUNCTION("""COMPUTED_VALUE"""),"Degree of dependence on house/block of flats as overground roost: 0: no dependence, 1: low dependence, 2: moderate dependence, 3: high dependence, 4: very high dependence, 5: extremely high dependence.")</f>
        <v>Degree of dependence on house/block of flats as overground roost: 0: no dependence, 1: low dependence, 2: moderate dependence, 3: high dependence, 4: very high dependence, 5: extremely high dependence.</v>
      </c>
      <c r="K318" s="1"/>
      <c r="L318" s="8" t="str">
        <f ca="1">IFERROR(__xludf.DUMMYFUNCTION("""COMPUTED_VALUE"""),"https://doi.org/10.1038/s41597-023-02157-4")</f>
        <v>https://doi.org/10.1038/s41597-023-02157-4</v>
      </c>
      <c r="M318" s="1" t="str">
        <f ca="1">IFERROR(__xludf.DUMMYFUNCTION("""COMPUTED_VALUE"""),"Froidevaux_2023")</f>
        <v>Froidevaux_2023</v>
      </c>
    </row>
    <row r="319" spans="1:13" ht="13.2">
      <c r="A319" s="1" t="str">
        <f ca="1">IFERROR(__xludf.DUMMYFUNCTION("""COMPUTED_VALUE"""),"OvergroundRoostDependence-Barn
")</f>
        <v xml:space="preserve">OvergroundRoostDependence-Barn
</v>
      </c>
      <c r="B319" s="1"/>
      <c r="C319" s="1"/>
      <c r="D319" s="1"/>
      <c r="E319" s="1" t="str">
        <f ca="1">IFERROR(__xludf.DUMMYFUNCTION("""COMPUTED_VALUE"""),"categorical")</f>
        <v>categorical</v>
      </c>
      <c r="F319" s="1" t="str">
        <f ca="1">IFERROR(__xludf.DUMMYFUNCTION("""COMPUTED_VALUE"""),".na")</f>
        <v>.na</v>
      </c>
      <c r="G319" s="1" t="str">
        <f ca="1">IFERROR(__xludf.DUMMYFUNCTION("""COMPUTED_VALUE"""),"0: no dependence, 1: low dependence, 2: moderate dependence, 3: high dependence, 4: very high dependence, 5: extremely high dependence.")</f>
        <v>0: no dependence, 1: low dependence, 2: moderate dependence, 3: high dependence, 4: very high dependence, 5: extremely high dependence.</v>
      </c>
      <c r="H319" s="1" t="str">
        <f ca="1">IFERROR(__xludf.DUMMYFUNCTION("""COMPUTED_VALUE"""),".na")</f>
        <v>.na</v>
      </c>
      <c r="I319" s="1" t="str">
        <f ca="1">IFERROR(__xludf.DUMMYFUNCTION("""COMPUTED_VALUE"""),".na")</f>
        <v>.na</v>
      </c>
      <c r="J319" s="1" t="str">
        <f ca="1">IFERROR(__xludf.DUMMYFUNCTION("""COMPUTED_VALUE"""),"Degree of dependence on barn/stable as overground roost: 0: no dependence, 1: low dependence, 2: moderate dependence, 3: high dependence, 4: very high dependence, 5: extremely high dependence.")</f>
        <v>Degree of dependence on barn/stable as overground roost: 0: no dependence, 1: low dependence, 2: moderate dependence, 3: high dependence, 4: very high dependence, 5: extremely high dependence.</v>
      </c>
      <c r="K319" s="1"/>
      <c r="L319" s="8" t="str">
        <f ca="1">IFERROR(__xludf.DUMMYFUNCTION("""COMPUTED_VALUE"""),"https://doi.org/10.1038/s41597-023-02157-4")</f>
        <v>https://doi.org/10.1038/s41597-023-02157-4</v>
      </c>
      <c r="M319" s="1" t="str">
        <f ca="1">IFERROR(__xludf.DUMMYFUNCTION("""COMPUTED_VALUE"""),"Froidevaux_2023")</f>
        <v>Froidevaux_2023</v>
      </c>
    </row>
    <row r="320" spans="1:13" ht="13.2">
      <c r="A320" s="1" t="str">
        <f ca="1">IFERROR(__xludf.DUMMYFUNCTION("""COMPUTED_VALUE"""),"OvergroundRoostDependence-Bridge
")</f>
        <v xml:space="preserve">OvergroundRoostDependence-Bridge
</v>
      </c>
      <c r="B320" s="1"/>
      <c r="C320" s="1"/>
      <c r="D320" s="1"/>
      <c r="E320" s="1" t="str">
        <f ca="1">IFERROR(__xludf.DUMMYFUNCTION("""COMPUTED_VALUE"""),"categorical")</f>
        <v>categorical</v>
      </c>
      <c r="F320" s="1" t="str">
        <f ca="1">IFERROR(__xludf.DUMMYFUNCTION("""COMPUTED_VALUE"""),".na")</f>
        <v>.na</v>
      </c>
      <c r="G320" s="1" t="str">
        <f ca="1">IFERROR(__xludf.DUMMYFUNCTION("""COMPUTED_VALUE"""),"0: no dependence, 1: low dependence, 2: moderate dependence, 3: high dependence, 4: very high dependence, 5: extremely high dependence.")</f>
        <v>0: no dependence, 1: low dependence, 2: moderate dependence, 3: high dependence, 4: very high dependence, 5: extremely high dependence.</v>
      </c>
      <c r="H320" s="1" t="str">
        <f ca="1">IFERROR(__xludf.DUMMYFUNCTION("""COMPUTED_VALUE"""),".na")</f>
        <v>.na</v>
      </c>
      <c r="I320" s="1" t="str">
        <f ca="1">IFERROR(__xludf.DUMMYFUNCTION("""COMPUTED_VALUE"""),".na")</f>
        <v>.na</v>
      </c>
      <c r="J320" s="1" t="str">
        <f ca="1">IFERROR(__xludf.DUMMYFUNCTION("""COMPUTED_VALUE"""),"Degree of dependence on bridge as overground roost: 0: no dependence, 1: low dependence, 2: moderate dependence, 3: high dependence, 4: very high dependence, 5: extremely high dependence.")</f>
        <v>Degree of dependence on bridge as overground roost: 0: no dependence, 1: low dependence, 2: moderate dependence, 3: high dependence, 4: very high dependence, 5: extremely high dependence.</v>
      </c>
      <c r="K320" s="1"/>
      <c r="L320" s="8" t="str">
        <f ca="1">IFERROR(__xludf.DUMMYFUNCTION("""COMPUTED_VALUE"""),"https://doi.org/10.1038/s41597-023-02157-4")</f>
        <v>https://doi.org/10.1038/s41597-023-02157-4</v>
      </c>
      <c r="M320" s="1" t="str">
        <f ca="1">IFERROR(__xludf.DUMMYFUNCTION("""COMPUTED_VALUE"""),"Froidevaux_2023")</f>
        <v>Froidevaux_2023</v>
      </c>
    </row>
    <row r="321" spans="1:13" ht="13.2">
      <c r="A321" s="1" t="str">
        <f ca="1">IFERROR(__xludf.DUMMYFUNCTION("""COMPUTED_VALUE"""),"OvergroundRoostDependence-Tree
")</f>
        <v xml:space="preserve">OvergroundRoostDependence-Tree
</v>
      </c>
      <c r="B321" s="1"/>
      <c r="C321" s="1"/>
      <c r="D321" s="1"/>
      <c r="E321" s="1" t="str">
        <f ca="1">IFERROR(__xludf.DUMMYFUNCTION("""COMPUTED_VALUE"""),"categorical")</f>
        <v>categorical</v>
      </c>
      <c r="F321" s="1" t="str">
        <f ca="1">IFERROR(__xludf.DUMMYFUNCTION("""COMPUTED_VALUE"""),".na")</f>
        <v>.na</v>
      </c>
      <c r="G321" s="1" t="str">
        <f ca="1">IFERROR(__xludf.DUMMYFUNCTION("""COMPUTED_VALUE"""),"0: no dependence, 1: low dependence, 2: moderate dependence, 3: high dependence, 4: very high dependence, 5: extremely high dependence.")</f>
        <v>0: no dependence, 1: low dependence, 2: moderate dependence, 3: high dependence, 4: very high dependence, 5: extremely high dependence.</v>
      </c>
      <c r="H321" s="1" t="str">
        <f ca="1">IFERROR(__xludf.DUMMYFUNCTION("""COMPUTED_VALUE"""),".na")</f>
        <v>.na</v>
      </c>
      <c r="I321" s="1" t="str">
        <f ca="1">IFERROR(__xludf.DUMMYFUNCTION("""COMPUTED_VALUE"""),".na")</f>
        <v>.na</v>
      </c>
      <c r="J321" s="1" t="str">
        <f ca="1">IFERROR(__xludf.DUMMYFUNCTION("""COMPUTED_VALUE"""),"Degree of dependence on tree as overground roost: 0: no dependence, 1: low dependence, 2: moderate dependence, 3: high dependence, 4: very high dependence, 5: extremely high dependence.")</f>
        <v>Degree of dependence on tree as overground roost: 0: no dependence, 1: low dependence, 2: moderate dependence, 3: high dependence, 4: very high dependence, 5: extremely high dependence.</v>
      </c>
      <c r="K321" s="1"/>
      <c r="L321" s="8" t="str">
        <f ca="1">IFERROR(__xludf.DUMMYFUNCTION("""COMPUTED_VALUE"""),"https://doi.org/10.1038/s41597-023-02157-4")</f>
        <v>https://doi.org/10.1038/s41597-023-02157-4</v>
      </c>
      <c r="M321" s="1" t="str">
        <f ca="1">IFERROR(__xludf.DUMMYFUNCTION("""COMPUTED_VALUE"""),"Froidevaux_2023")</f>
        <v>Froidevaux_2023</v>
      </c>
    </row>
    <row r="322" spans="1:13" ht="13.2">
      <c r="A322" s="1" t="str">
        <f ca="1">IFERROR(__xludf.DUMMYFUNCTION("""COMPUTED_VALUE"""),"MeanNightlyDistance")</f>
        <v>MeanNightlyDistance</v>
      </c>
      <c r="B322" s="1"/>
      <c r="C322" s="1"/>
      <c r="D322" s="1"/>
      <c r="E322" s="1" t="str">
        <f ca="1">IFERROR(__xludf.DUMMYFUNCTION("""COMPUTED_VALUE"""),"numeric")</f>
        <v>numeric</v>
      </c>
      <c r="F322" s="1" t="str">
        <f ca="1">IFERROR(__xludf.DUMMYFUNCTION("""COMPUTED_VALUE"""),"m")</f>
        <v>m</v>
      </c>
      <c r="G322" s="1" t="str">
        <f ca="1">IFERROR(__xludf.DUMMYFUNCTION("""COMPUTED_VALUE"""),".na")</f>
        <v>.na</v>
      </c>
      <c r="H322" s="1"/>
      <c r="I322" s="1"/>
      <c r="J322" s="1" t="str">
        <f ca="1">IFERROR(__xludf.DUMMYFUNCTION("""COMPUTED_VALUE"""),"Mean average daily distance between roost and foraging habitats")</f>
        <v>Mean average daily distance between roost and foraging habitats</v>
      </c>
      <c r="K322" s="1"/>
      <c r="L322" s="8" t="str">
        <f ca="1">IFERROR(__xludf.DUMMYFUNCTION("""COMPUTED_VALUE"""),"https://doi.org/10.1038/s41597-023-02157-4")</f>
        <v>https://doi.org/10.1038/s41597-023-02157-4</v>
      </c>
      <c r="M322" s="1" t="str">
        <f ca="1">IFERROR(__xludf.DUMMYFUNCTION("""COMPUTED_VALUE"""),"Froidevaux_2023")</f>
        <v>Froidevaux_2023</v>
      </c>
    </row>
    <row r="323" spans="1:13" ht="13.2">
      <c r="A323" s="1" t="str">
        <f ca="1">IFERROR(__xludf.DUMMYFUNCTION("""COMPUTED_VALUE"""),"MaxNightlyDistance")</f>
        <v>MaxNightlyDistance</v>
      </c>
      <c r="B323" s="1"/>
      <c r="C323" s="1"/>
      <c r="D323" s="1"/>
      <c r="E323" s="1" t="str">
        <f ca="1">IFERROR(__xludf.DUMMYFUNCTION("""COMPUTED_VALUE"""),"numeric")</f>
        <v>numeric</v>
      </c>
      <c r="F323" s="1" t="str">
        <f ca="1">IFERROR(__xludf.DUMMYFUNCTION("""COMPUTED_VALUE"""),"m")</f>
        <v>m</v>
      </c>
      <c r="G323" s="1" t="str">
        <f ca="1">IFERROR(__xludf.DUMMYFUNCTION("""COMPUTED_VALUE"""),".na")</f>
        <v>.na</v>
      </c>
      <c r="H323" s="1"/>
      <c r="I323" s="1"/>
      <c r="J323" s="1" t="str">
        <f ca="1">IFERROR(__xludf.DUMMYFUNCTION("""COMPUTED_VALUE"""),"Mean maximum daily distance between roost and foraging habitats")</f>
        <v>Mean maximum daily distance between roost and foraging habitats</v>
      </c>
      <c r="K323" s="1"/>
      <c r="L323" s="8" t="str">
        <f ca="1">IFERROR(__xludf.DUMMYFUNCTION("""COMPUTED_VALUE"""),"https://doi.org/10.1038/s41597-023-02157-4")</f>
        <v>https://doi.org/10.1038/s41597-023-02157-4</v>
      </c>
      <c r="M323" s="1" t="str">
        <f ca="1">IFERROR(__xludf.DUMMYFUNCTION("""COMPUTED_VALUE"""),"Froidevaux_2023")</f>
        <v>Froidevaux_2023</v>
      </c>
    </row>
    <row r="324" spans="1:13" ht="13.2">
      <c r="A324" s="1" t="str">
        <f ca="1">IFERROR(__xludf.DUMMYFUNCTION("""COMPUTED_VALUE"""),"HomeRange")</f>
        <v>HomeRange</v>
      </c>
      <c r="B324" s="1"/>
      <c r="C324" s="1"/>
      <c r="D324" s="1"/>
      <c r="E324" s="1" t="str">
        <f ca="1">IFERROR(__xludf.DUMMYFUNCTION("""COMPUTED_VALUE"""),"numeric")</f>
        <v>numeric</v>
      </c>
      <c r="F324" s="1" t="str">
        <f ca="1">IFERROR(__xludf.DUMMYFUNCTION("""COMPUTED_VALUE"""),"ha")</f>
        <v>ha</v>
      </c>
      <c r="G324" s="1" t="str">
        <f ca="1">IFERROR(__xludf.DUMMYFUNCTION("""COMPUTED_VALUE"""),".na")</f>
        <v>.na</v>
      </c>
      <c r="H324" s="1"/>
      <c r="I324" s="1"/>
      <c r="J324" s="1" t="str">
        <f ca="1">IFERROR(__xludf.DUMMYFUNCTION("""COMPUTED_VALUE"""),"Area routinely used by an individual to satisfy its daily needs: mean, median, min, max and cumulated.")</f>
        <v>Area routinely used by an individual to satisfy its daily needs: mean, median, min, max and cumulated.</v>
      </c>
      <c r="K324" s="1"/>
      <c r="L324" s="8" t="str">
        <f ca="1">IFERROR(__xludf.DUMMYFUNCTION("""COMPUTED_VALUE"""),"https://doi.org/10.1038/s41597-023-02157-4")</f>
        <v>https://doi.org/10.1038/s41597-023-02157-4</v>
      </c>
      <c r="M324" s="1" t="str">
        <f ca="1">IFERROR(__xludf.DUMMYFUNCTION("""COMPUTED_VALUE"""),"Froidevaux_2023")</f>
        <v>Froidevaux_2023</v>
      </c>
    </row>
    <row r="325" spans="1:13" ht="13.2">
      <c r="A325" s="1" t="str">
        <f ca="1">IFERROR(__xludf.DUMMYFUNCTION("""COMPUTED_VALUE"""),"DispersalDistances")</f>
        <v>DispersalDistances</v>
      </c>
      <c r="B325" s="1"/>
      <c r="C325" s="1"/>
      <c r="D325" s="1"/>
      <c r="E325" s="1" t="str">
        <f ca="1">IFERROR(__xludf.DUMMYFUNCTION("""COMPUTED_VALUE"""),"numeric")</f>
        <v>numeric</v>
      </c>
      <c r="F325" s="1" t="str">
        <f ca="1">IFERROR(__xludf.DUMMYFUNCTION("""COMPUTED_VALUE"""),"km")</f>
        <v>km</v>
      </c>
      <c r="G325" s="1" t="str">
        <f ca="1">IFERROR(__xludf.DUMMYFUNCTION("""COMPUTED_VALUE"""),".na")</f>
        <v>.na</v>
      </c>
      <c r="H325" s="1"/>
      <c r="I325" s="1"/>
      <c r="J325" s="1" t="str">
        <f ca="1">IFERROR(__xludf.DUMMYFUNCTION("""COMPUTED_VALUE"""),"Regular dispersal distances, includes both natal dispersal of juveniles and dispersal of adults for mating / hibernation")</f>
        <v>Regular dispersal distances, includes both natal dispersal of juveniles and dispersal of adults for mating / hibernation</v>
      </c>
      <c r="K325" s="1"/>
      <c r="L325" s="8" t="str">
        <f ca="1">IFERROR(__xludf.DUMMYFUNCTION("""COMPUTED_VALUE"""),"https://doi.org/10.1038/s41597-023-02157-4")</f>
        <v>https://doi.org/10.1038/s41597-023-02157-4</v>
      </c>
      <c r="M325" s="1" t="str">
        <f ca="1">IFERROR(__xludf.DUMMYFUNCTION("""COMPUTED_VALUE"""),"Froidevaux_2023")</f>
        <v>Froidevaux_2023</v>
      </c>
    </row>
    <row r="326" spans="1:13" ht="13.2">
      <c r="A326" s="1" t="str">
        <f ca="1">IFERROR(__xludf.DUMMYFUNCTION("""COMPUTED_VALUE"""),"MaxRecordedMovement")</f>
        <v>MaxRecordedMovement</v>
      </c>
      <c r="B326" s="1"/>
      <c r="C326" s="1"/>
      <c r="D326" s="1"/>
      <c r="E326" s="1" t="str">
        <f ca="1">IFERROR(__xludf.DUMMYFUNCTION("""COMPUTED_VALUE"""),"numeric")</f>
        <v>numeric</v>
      </c>
      <c r="F326" s="1" t="str">
        <f ca="1">IFERROR(__xludf.DUMMYFUNCTION("""COMPUTED_VALUE"""),"km")</f>
        <v>km</v>
      </c>
      <c r="G326" s="1" t="str">
        <f ca="1">IFERROR(__xludf.DUMMYFUNCTION("""COMPUTED_VALUE"""),".na")</f>
        <v>.na</v>
      </c>
      <c r="H326" s="1"/>
      <c r="I326" s="1"/>
      <c r="J326" s="1" t="str">
        <f ca="1">IFERROR(__xludf.DUMMYFUNCTION("""COMPUTED_VALUE"""),"Maximum recorded seasonal movement (includes migration movement)")</f>
        <v>Maximum recorded seasonal movement (includes migration movement)</v>
      </c>
      <c r="K326" s="1"/>
      <c r="L326" s="8" t="str">
        <f ca="1">IFERROR(__xludf.DUMMYFUNCTION("""COMPUTED_VALUE"""),"https://doi.org/10.1038/s41597-023-02157-4")</f>
        <v>https://doi.org/10.1038/s41597-023-02157-4</v>
      </c>
      <c r="M326" s="1" t="str">
        <f ca="1">IFERROR(__xludf.DUMMYFUNCTION("""COMPUTED_VALUE"""),"Froidevaux_2023")</f>
        <v>Froidevaux_2023</v>
      </c>
    </row>
    <row r="327" spans="1:13" ht="13.2">
      <c r="A327" s="1" t="str">
        <f ca="1">IFERROR(__xludf.DUMMYFUNCTION("""COMPUTED_VALUE"""),"ManoeuvrabilityTurningDiameter")</f>
        <v>ManoeuvrabilityTurningDiameter</v>
      </c>
      <c r="B327" s="1"/>
      <c r="C327" s="1"/>
      <c r="D327" s="1"/>
      <c r="E327" s="1" t="str">
        <f ca="1">IFERROR(__xludf.DUMMYFUNCTION("""COMPUTED_VALUE"""),"numeric")</f>
        <v>numeric</v>
      </c>
      <c r="F327" s="1" t="str">
        <f ca="1">IFERROR(__xludf.DUMMYFUNCTION("""COMPUTED_VALUE"""),"m")</f>
        <v>m</v>
      </c>
      <c r="G327" s="1" t="str">
        <f ca="1">IFERROR(__xludf.DUMMYFUNCTION("""COMPUTED_VALUE"""),".na")</f>
        <v>.na</v>
      </c>
      <c r="H327" s="1"/>
      <c r="I327" s="1"/>
      <c r="J327" s="1" t="str">
        <f ca="1">IFERROR(__xludf.DUMMYFUNCTION("""COMPUTED_VALUE"""),"Estimated realistic turning diameter for minimum flight speed, using values for ﬂight characteristics (ﬂight speed, wing loading) and body measures (body mass, wing area)")</f>
        <v>Estimated realistic turning diameter for minimum flight speed, using values for ﬂight characteristics (ﬂight speed, wing loading) and body measures (body mass, wing area)</v>
      </c>
      <c r="K327" s="1"/>
      <c r="L327" s="8" t="str">
        <f ca="1">IFERROR(__xludf.DUMMYFUNCTION("""COMPUTED_VALUE"""),"https://doi.org/10.1038/s41597-023-02157-4")</f>
        <v>https://doi.org/10.1038/s41597-023-02157-4</v>
      </c>
      <c r="M327" s="1" t="str">
        <f ca="1">IFERROR(__xludf.DUMMYFUNCTION("""COMPUTED_VALUE"""),"Froidevaux_2023")</f>
        <v>Froidevaux_2023</v>
      </c>
    </row>
    <row r="328" spans="1:13" ht="13.2">
      <c r="A328" s="1" t="str">
        <f ca="1">IFERROR(__xludf.DUMMYFUNCTION("""COMPUTED_VALUE"""),"PropFlightAtHeight")</f>
        <v>PropFlightAtHeight</v>
      </c>
      <c r="B328" s="1"/>
      <c r="C328" s="1"/>
      <c r="D328" s="1"/>
      <c r="E328" s="1" t="str">
        <f ca="1">IFERROR(__xludf.DUMMYFUNCTION("""COMPUTED_VALUE"""),"numeric")</f>
        <v>numeric</v>
      </c>
      <c r="F328" s="1" t="str">
        <f ca="1">IFERROR(__xludf.DUMMYFUNCTION("""COMPUTED_VALUE"""),"%")</f>
        <v>%</v>
      </c>
      <c r="G328" s="1" t="str">
        <f ca="1">IFERROR(__xludf.DUMMYFUNCTION("""COMPUTED_VALUE"""),".na")</f>
        <v>.na</v>
      </c>
      <c r="H328" s="1"/>
      <c r="I328" s="1"/>
      <c r="J328" s="1" t="str">
        <f ca="1">IFERROR(__xludf.DUMMYFUNCTION("""COMPUTED_VALUE"""),"Proportion of flights at height")</f>
        <v>Proportion of flights at height</v>
      </c>
      <c r="K328" s="1"/>
      <c r="L328" s="8" t="str">
        <f ca="1">IFERROR(__xludf.DUMMYFUNCTION("""COMPUTED_VALUE"""),"https://doi.org/10.1038/s41597-023-02157-4")</f>
        <v>https://doi.org/10.1038/s41597-023-02157-4</v>
      </c>
      <c r="M328" s="1" t="str">
        <f ca="1">IFERROR(__xludf.DUMMYFUNCTION("""COMPUTED_VALUE"""),"Froidevaux_2023")</f>
        <v>Froidevaux_2023</v>
      </c>
    </row>
    <row r="329" spans="1:13" ht="13.2">
      <c r="A329" s="1" t="str">
        <f ca="1">IFERROR(__xludf.DUMMYFUNCTION("IMPORTRANGE(""https://docs.google.com/spreadsheets/d/1BCbdmKz-Qgtt7rB_ylKiWolmoC4I0weZUT_oqDACokI/edit?gid=807503380#gid=807503380"", ""Crane_2022!D3:P12"")"),"wingspan")</f>
        <v>wingspan</v>
      </c>
      <c r="B329" s="1"/>
      <c r="C329" s="1"/>
      <c r="D329" s="1"/>
      <c r="E329" s="1" t="str">
        <f ca="1">IFERROR(__xludf.DUMMYFUNCTION("""COMPUTED_VALUE"""),"numeric")</f>
        <v>numeric</v>
      </c>
      <c r="F329" s="1" t="str">
        <f ca="1">IFERROR(__xludf.DUMMYFUNCTION("""COMPUTED_VALUE"""),"cm")</f>
        <v>cm</v>
      </c>
      <c r="G329" s="1" t="str">
        <f ca="1">IFERROR(__xludf.DUMMYFUNCTION("""COMPUTED_VALUE"""),".na")</f>
        <v>.na</v>
      </c>
      <c r="H329" s="1"/>
      <c r="I329" s="1"/>
      <c r="J329" s="1" t="str">
        <f ca="1">IFERROR(__xludf.DUMMYFUNCTION("""COMPUTED_VALUE"""),"The linear distance from wing tip to wing tip, or the distance from the midline of the body to a single wing tip, doubled")</f>
        <v>The linear distance from wing tip to wing tip, or the distance from the midline of the body to a single wing tip, doubled</v>
      </c>
      <c r="K329" s="1"/>
      <c r="L329" s="8" t="str">
        <f ca="1">IFERROR(__xludf.DUMMYFUNCTION("""COMPUTED_VALUE"""),"https://doi.org/10.1111/mam.12270")</f>
        <v>https://doi.org/10.1111/mam.12270</v>
      </c>
      <c r="M329" s="1" t="str">
        <f ca="1">IFERROR(__xludf.DUMMYFUNCTION("""COMPUTED_VALUE"""),"Crane_2022")</f>
        <v>Crane_2022</v>
      </c>
    </row>
    <row r="330" spans="1:13" ht="13.2">
      <c r="A330" s="1" t="str">
        <f ca="1">IFERROR(__xludf.DUMMYFUNCTION("""COMPUTED_VALUE"""),"wing_surface_area")</f>
        <v>wing_surface_area</v>
      </c>
      <c r="B330" s="1"/>
      <c r="C330" s="1"/>
      <c r="D330" s="1"/>
      <c r="E330" s="1" t="str">
        <f ca="1">IFERROR(__xludf.DUMMYFUNCTION("""COMPUTED_VALUE"""),"numeric")</f>
        <v>numeric</v>
      </c>
      <c r="F330" s="1" t="str">
        <f ca="1">IFERROR(__xludf.DUMMYFUNCTION("""COMPUTED_VALUE"""),"cm2")</f>
        <v>cm2</v>
      </c>
      <c r="G330" s="1" t="str">
        <f ca="1">IFERROR(__xludf.DUMMYFUNCTION("""COMPUTED_VALUE"""),".na")</f>
        <v>.na</v>
      </c>
      <c r="H330" s="1"/>
      <c r="I330" s="1"/>
      <c r="J330" s="1" t="str">
        <f ca="1">IFERROR(__xludf.DUMMYFUNCTION("""COMPUTED_VALUE"""),"The full area of the patagium")</f>
        <v>The full area of the patagium</v>
      </c>
      <c r="K330" s="1"/>
      <c r="L330" s="8" t="str">
        <f ca="1">IFERROR(__xludf.DUMMYFUNCTION("""COMPUTED_VALUE"""),"https://doi.org/10.1111/mam.12270")</f>
        <v>https://doi.org/10.1111/mam.12270</v>
      </c>
      <c r="M330" s="1" t="str">
        <f ca="1">IFERROR(__xludf.DUMMYFUNCTION("""COMPUTED_VALUE"""),"Crane_2022")</f>
        <v>Crane_2022</v>
      </c>
    </row>
    <row r="331" spans="1:13" ht="13.2">
      <c r="A331" s="1" t="str">
        <f ca="1">IFERROR(__xludf.DUMMYFUNCTION("""COMPUTED_VALUE"""),"lifting_surface_area")</f>
        <v>lifting_surface_area</v>
      </c>
      <c r="B331" s="1"/>
      <c r="C331" s="1"/>
      <c r="D331" s="1"/>
      <c r="E331" s="1" t="str">
        <f ca="1">IFERROR(__xludf.DUMMYFUNCTION("""COMPUTED_VALUE"""),"numeric")</f>
        <v>numeric</v>
      </c>
      <c r="F331" s="1" t="str">
        <f ca="1">IFERROR(__xludf.DUMMYFUNCTION("""COMPUTED_VALUE"""),"cm2")</f>
        <v>cm2</v>
      </c>
      <c r="G331" s="1" t="str">
        <f ca="1">IFERROR(__xludf.DUMMYFUNCTION("""COMPUTED_VALUE"""),".na")</f>
        <v>.na</v>
      </c>
      <c r="H331" s="1"/>
      <c r="I331" s="1"/>
      <c r="J331" s="1" t="str">
        <f ca="1">IFERROR(__xludf.DUMMYFUNCTION("""COMPUTED_VALUE"""),"The total area of the patagium, uropatagium (if present), and body excluding the head")</f>
        <v>The total area of the patagium, uropatagium (if present), and body excluding the head</v>
      </c>
      <c r="K331" s="1"/>
      <c r="L331" s="8" t="str">
        <f ca="1">IFERROR(__xludf.DUMMYFUNCTION("""COMPUTED_VALUE"""),"https://doi.org/10.1111/mam.12270")</f>
        <v>https://doi.org/10.1111/mam.12270</v>
      </c>
      <c r="M331" s="1" t="str">
        <f ca="1">IFERROR(__xludf.DUMMYFUNCTION("""COMPUTED_VALUE"""),"Crane_2022")</f>
        <v>Crane_2022</v>
      </c>
    </row>
    <row r="332" spans="1:13" ht="13.2">
      <c r="A332" s="1" t="str">
        <f ca="1">IFERROR(__xludf.DUMMYFUNCTION("""COMPUTED_VALUE"""),"wing_area_rec")</f>
        <v>wing_area_rec</v>
      </c>
      <c r="B332" s="1"/>
      <c r="C332" s="1"/>
      <c r="D332" s="1"/>
      <c r="E332" s="1" t="str">
        <f ca="1">IFERROR(__xludf.DUMMYFUNCTION("""COMPUTED_VALUE"""),"numeric")</f>
        <v>numeric</v>
      </c>
      <c r="F332" s="1" t="str">
        <f ca="1">IFERROR(__xludf.DUMMYFUNCTION("""COMPUTED_VALUE"""),"cm2")</f>
        <v>cm2</v>
      </c>
      <c r="G332" s="1" t="str">
        <f ca="1">IFERROR(__xludf.DUMMYFUNCTION("""COMPUTED_VALUE"""),".na")</f>
        <v>.na</v>
      </c>
      <c r="H332" s="1"/>
      <c r="I332" s="1"/>
      <c r="J332" s="1" t="str">
        <f ca="1">IFERROR(__xludf.DUMMYFUNCTION("""COMPUTED_VALUE"""),"The rectangular approximation of the patagium based on the wing length (measured from the edge of the body to the wing tip) multiplied by the wing width (measured from the end of the fifth digit to the tip of the fifth digit)")</f>
        <v>The rectangular approximation of the patagium based on the wing length (measured from the edge of the body to the wing tip) multiplied by the wing width (measured from the end of the fifth digit to the tip of the fifth digit)</v>
      </c>
      <c r="K332" s="1"/>
      <c r="L332" s="8" t="str">
        <f ca="1">IFERROR(__xludf.DUMMYFUNCTION("""COMPUTED_VALUE"""),"https://doi.org/10.1111/mam.12270")</f>
        <v>https://doi.org/10.1111/mam.12270</v>
      </c>
      <c r="M332" s="1" t="str">
        <f ca="1">IFERROR(__xludf.DUMMYFUNCTION("""COMPUTED_VALUE"""),"Crane_2022")</f>
        <v>Crane_2022</v>
      </c>
    </row>
    <row r="333" spans="1:13" ht="13.2">
      <c r="A333" s="1" t="str">
        <f ca="1">IFERROR(__xludf.DUMMYFUNCTION("""COMPUTED_VALUE"""),"partial_aspect_ratio")</f>
        <v>partial_aspect_ratio</v>
      </c>
      <c r="B333" s="1"/>
      <c r="C333" s="1"/>
      <c r="D333" s="1"/>
      <c r="E333" s="1" t="str">
        <f ca="1">IFERROR(__xludf.DUMMYFUNCTION("""COMPUTED_VALUE"""),"numeric")</f>
        <v>numeric</v>
      </c>
      <c r="F333" s="1" t="str">
        <f ca="1">IFERROR(__xludf.DUMMYFUNCTION("""COMPUTED_VALUE"""),".na")</f>
        <v>.na</v>
      </c>
      <c r="G333" s="1" t="str">
        <f ca="1">IFERROR(__xludf.DUMMYFUNCTION("""COMPUTED_VALUE"""),".na")</f>
        <v>.na</v>
      </c>
      <c r="H333" s="1"/>
      <c r="I333" s="1"/>
      <c r="J333" s="1" t="str">
        <f ca="1">IFERROR(__xludf.DUMMYFUNCTION("""COMPUTED_VALUE"""),"The wingspan squared, divided by wing_area")</f>
        <v>The wingspan squared, divided by wing_area</v>
      </c>
      <c r="K333" s="1"/>
      <c r="L333" s="8" t="str">
        <f ca="1">IFERROR(__xludf.DUMMYFUNCTION("""COMPUTED_VALUE"""),"https://doi.org/10.1111/mam.12270")</f>
        <v>https://doi.org/10.1111/mam.12270</v>
      </c>
      <c r="M333" s="1" t="str">
        <f ca="1">IFERROR(__xludf.DUMMYFUNCTION("""COMPUTED_VALUE"""),"Crane_2022")</f>
        <v>Crane_2022</v>
      </c>
    </row>
    <row r="334" spans="1:13" ht="13.2">
      <c r="A334" s="1" t="str">
        <f ca="1">IFERROR(__xludf.DUMMYFUNCTION("""COMPUTED_VALUE"""),"total_aspect_ratio")</f>
        <v>total_aspect_ratio</v>
      </c>
      <c r="B334" s="1"/>
      <c r="C334" s="1"/>
      <c r="D334" s="1"/>
      <c r="E334" s="1" t="str">
        <f ca="1">IFERROR(__xludf.DUMMYFUNCTION("""COMPUTED_VALUE"""),"numeric")</f>
        <v>numeric</v>
      </c>
      <c r="F334" s="1" t="str">
        <f ca="1">IFERROR(__xludf.DUMMYFUNCTION("""COMPUTED_VALUE"""),".na")</f>
        <v>.na</v>
      </c>
      <c r="G334" s="1" t="str">
        <f ca="1">IFERROR(__xludf.DUMMYFUNCTION("""COMPUTED_VALUE"""),".na")</f>
        <v>.na</v>
      </c>
      <c r="H334" s="1"/>
      <c r="I334" s="1"/>
      <c r="J334" s="1" t="str">
        <f ca="1">IFERROR(__xludf.DUMMYFUNCTION("""COMPUTED_VALUE"""),"The wingspan squared, divided by lifting_surface_area")</f>
        <v>The wingspan squared, divided by lifting_surface_area</v>
      </c>
      <c r="K334" s="1"/>
      <c r="L334" s="8" t="str">
        <f ca="1">IFERROR(__xludf.DUMMYFUNCTION("""COMPUTED_VALUE"""),"https://doi.org/10.1111/mam.12270")</f>
        <v>https://doi.org/10.1111/mam.12270</v>
      </c>
      <c r="M334" s="1" t="str">
        <f ca="1">IFERROR(__xludf.DUMMYFUNCTION("""COMPUTED_VALUE"""),"Crane_2022")</f>
        <v>Crane_2022</v>
      </c>
    </row>
    <row r="335" spans="1:13" ht="13.2">
      <c r="A335" s="1" t="str">
        <f ca="1">IFERROR(__xludf.DUMMYFUNCTION("""COMPUTED_VALUE"""),"partial_wing_loading")</f>
        <v>partial_wing_loading</v>
      </c>
      <c r="B335" s="1"/>
      <c r="C335" s="1"/>
      <c r="D335" s="1"/>
      <c r="E335" s="1" t="str">
        <f ca="1">IFERROR(__xludf.DUMMYFUNCTION("""COMPUTED_VALUE"""),"numeric")</f>
        <v>numeric</v>
      </c>
      <c r="F335" s="1" t="str">
        <f ca="1">IFERROR(__xludf.DUMMYFUNCTION("""COMPUTED_VALUE"""),"Nm−2")</f>
        <v>Nm−2</v>
      </c>
      <c r="G335" s="1" t="str">
        <f ca="1">IFERROR(__xludf.DUMMYFUNCTION("""COMPUTED_VALUE"""),".na")</f>
        <v>.na</v>
      </c>
      <c r="H335" s="1"/>
      <c r="I335" s="1"/>
      <c r="J335" s="1" t="str">
        <f ca="1">IFERROR(__xludf.DUMMYFUNCTION("""COMPUTED_VALUE"""),"Body weight divided by wing_surface_area")</f>
        <v>Body weight divided by wing_surface_area</v>
      </c>
      <c r="K335" s="1"/>
      <c r="L335" s="8" t="str">
        <f ca="1">IFERROR(__xludf.DUMMYFUNCTION("""COMPUTED_VALUE"""),"https://doi.org/10.1111/mam.12270")</f>
        <v>https://doi.org/10.1111/mam.12270</v>
      </c>
      <c r="M335" s="1" t="str">
        <f ca="1">IFERROR(__xludf.DUMMYFUNCTION("""COMPUTED_VALUE"""),"Crane_2022")</f>
        <v>Crane_2022</v>
      </c>
    </row>
    <row r="336" spans="1:13" ht="13.2">
      <c r="A336" s="1" t="str">
        <f ca="1">IFERROR(__xludf.DUMMYFUNCTION("""COMPUTED_VALUE"""),"total_wing_loading")</f>
        <v>total_wing_loading</v>
      </c>
      <c r="B336" s="1"/>
      <c r="C336" s="1"/>
      <c r="D336" s="1"/>
      <c r="E336" s="1" t="str">
        <f ca="1">IFERROR(__xludf.DUMMYFUNCTION("""COMPUTED_VALUE"""),"numeric")</f>
        <v>numeric</v>
      </c>
      <c r="F336" s="1" t="str">
        <f ca="1">IFERROR(__xludf.DUMMYFUNCTION("""COMPUTED_VALUE"""),"Nm−2")</f>
        <v>Nm−2</v>
      </c>
      <c r="G336" s="1" t="str">
        <f ca="1">IFERROR(__xludf.DUMMYFUNCTION("""COMPUTED_VALUE"""),".na")</f>
        <v>.na</v>
      </c>
      <c r="H336" s="1"/>
      <c r="I336" s="1"/>
      <c r="J336" s="1" t="str">
        <f ca="1">IFERROR(__xludf.DUMMYFUNCTION("""COMPUTED_VALUE"""),"Body weight divided by lifting_surface_area")</f>
        <v>Body weight divided by lifting_surface_area</v>
      </c>
      <c r="K336" s="1"/>
      <c r="L336" s="8" t="str">
        <f ca="1">IFERROR(__xludf.DUMMYFUNCTION("""COMPUTED_VALUE"""),"https://doi.org/10.1111/mam.12270")</f>
        <v>https://doi.org/10.1111/mam.12270</v>
      </c>
      <c r="M336" s="1" t="str">
        <f ca="1">IFERROR(__xludf.DUMMYFUNCTION("""COMPUTED_VALUE"""),"Crane_2022")</f>
        <v>Crane_2022</v>
      </c>
    </row>
    <row r="337" spans="1:13" ht="13.2">
      <c r="A337" s="1" t="str">
        <f ca="1">IFERROR(__xludf.DUMMYFUNCTION("""COMPUTED_VALUE"""),"relative_partial_loading")</f>
        <v>relative_partial_loading</v>
      </c>
      <c r="B337" s="1"/>
      <c r="C337" s="1"/>
      <c r="D337" s="1"/>
      <c r="E337" s="1" t="str">
        <f ca="1">IFERROR(__xludf.DUMMYFUNCTION("""COMPUTED_VALUE"""),"numeric")</f>
        <v>numeric</v>
      </c>
      <c r="F337" s="1" t="str">
        <f ca="1">IFERROR(__xludf.DUMMYFUNCTION("""COMPUTED_VALUE"""),".na")</f>
        <v>.na</v>
      </c>
      <c r="G337" s="1" t="str">
        <f ca="1">IFERROR(__xludf.DUMMYFUNCTION("""COMPUTED_VALUE"""),".na")</f>
        <v>.na</v>
      </c>
      <c r="H337" s="1"/>
      <c r="I337" s="1"/>
      <c r="J337" s="1" t="str">
        <f ca="1">IFERROR(__xludf.DUMMYFUNCTION("""COMPUTED_VALUE"""),"partial_wing_loading divided by body mass raised to the 1/3 power. Body mass, not weight should be used")</f>
        <v>partial_wing_loading divided by body mass raised to the 1/3 power. Body mass, not weight should be used</v>
      </c>
      <c r="K337" s="1"/>
      <c r="L337" s="8" t="str">
        <f ca="1">IFERROR(__xludf.DUMMYFUNCTION("""COMPUTED_VALUE"""),"https://doi.org/10.1111/mam.12270")</f>
        <v>https://doi.org/10.1111/mam.12270</v>
      </c>
      <c r="M337" s="1" t="str">
        <f ca="1">IFERROR(__xludf.DUMMYFUNCTION("""COMPUTED_VALUE"""),"Crane_2022")</f>
        <v>Crane_2022</v>
      </c>
    </row>
    <row r="338" spans="1:13" ht="13.2">
      <c r="A338" s="1" t="str">
        <f ca="1">IFERROR(__xludf.DUMMYFUNCTION("""COMPUTED_VALUE"""),"relative_total_loading")</f>
        <v>relative_total_loading</v>
      </c>
      <c r="B338" s="1"/>
      <c r="C338" s="1"/>
      <c r="D338" s="1"/>
      <c r="E338" s="1" t="str">
        <f ca="1">IFERROR(__xludf.DUMMYFUNCTION("""COMPUTED_VALUE"""),"numeric")</f>
        <v>numeric</v>
      </c>
      <c r="F338" s="1" t="str">
        <f ca="1">IFERROR(__xludf.DUMMYFUNCTION("""COMPUTED_VALUE"""),".na")</f>
        <v>.na</v>
      </c>
      <c r="G338" s="1" t="str">
        <f ca="1">IFERROR(__xludf.DUMMYFUNCTION("""COMPUTED_VALUE"""),".na")</f>
        <v>.na</v>
      </c>
      <c r="H338" s="1"/>
      <c r="I338" s="1"/>
      <c r="J338" s="1" t="str">
        <f ca="1">IFERROR(__xludf.DUMMYFUNCTION("""COMPUTED_VALUE"""),"total_wing_loading divided by body mass raised to 1/3. Body mass, not weight should be used")</f>
        <v>total_wing_loading divided by body mass raised to 1/3. Body mass, not weight should be used</v>
      </c>
      <c r="K338" s="1"/>
      <c r="L338" s="8" t="str">
        <f ca="1">IFERROR(__xludf.DUMMYFUNCTION("""COMPUTED_VALUE"""),"https://doi.org/10.1111/mam.12270")</f>
        <v>https://doi.org/10.1111/mam.12270</v>
      </c>
      <c r="M338" s="1" t="str">
        <f ca="1">IFERROR(__xludf.DUMMYFUNCTION("""COMPUTED_VALUE"""),"Crane_2022")</f>
        <v>Crane_2022</v>
      </c>
    </row>
    <row r="339" spans="1:13" ht="13.2">
      <c r="A339" s="1" t="str">
        <f ca="1">IFERROR(__xludf.DUMMYFUNCTION("IMPORTRANGE(""https://docs.google.com/spreadsheets/d/1BCbdmKz-Qgtt7rB_ylKiWolmoC4I0weZUT_oqDACokI/edit?gid=404025602#gid=404025602"", ""Myhrvold_2015!D3:P31"")"),"female_maturity_d")</f>
        <v>female_maturity_d</v>
      </c>
      <c r="B339" s="1"/>
      <c r="C339" s="1"/>
      <c r="D339" s="1"/>
      <c r="E339" s="1" t="str">
        <f ca="1">IFERROR(__xludf.DUMMYFUNCTION("""COMPUTED_VALUE"""),"numeric")</f>
        <v>numeric</v>
      </c>
      <c r="F339" s="1" t="str">
        <f ca="1">IFERROR(__xludf.DUMMYFUNCTION("""COMPUTED_VALUE"""),"Days")</f>
        <v>Days</v>
      </c>
      <c r="G339" s="1" t="str">
        <f ca="1">IFERROR(__xludf.DUMMYFUNCTION("""COMPUTED_VALUE"""),".na")</f>
        <v>.na</v>
      </c>
      <c r="H339" s="1"/>
      <c r="I339" s="1"/>
      <c r="J339" s="1" t="str">
        <f ca="1">IFERROR(__xludf.DUMMYFUNCTION("""COMPUTED_VALUE"""),"Age at first conception.")</f>
        <v>Age at first conception.</v>
      </c>
      <c r="K339" s="1" t="str">
        <f ca="1">IFERROR(__xludf.DUMMYFUNCTION("""COMPUTED_VALUE"""),"B,R,M")</f>
        <v>B,R,M</v>
      </c>
      <c r="L339" s="8" t="str">
        <f ca="1">IFERROR(__xludf.DUMMYFUNCTION("""COMPUTED_VALUE"""),"https://doi.org/10.1890/15-0846R.1")</f>
        <v>https://doi.org/10.1890/15-0846R.1</v>
      </c>
      <c r="M339" s="1" t="str">
        <f ca="1">IFERROR(__xludf.DUMMYFUNCTION("""COMPUTED_VALUE"""),"Myhrvold_2015")</f>
        <v>Myhrvold_2015</v>
      </c>
    </row>
    <row r="340" spans="1:13" ht="13.2">
      <c r="A340" s="1" t="str">
        <f ca="1">IFERROR(__xludf.DUMMYFUNCTION("""COMPUTED_VALUE"""),"litter_or_clutch_size_n")</f>
        <v>litter_or_clutch_size_n</v>
      </c>
      <c r="B340" s="1"/>
      <c r="C340" s="1"/>
      <c r="D340" s="1"/>
      <c r="E340" s="1" t="str">
        <f ca="1">IFERROR(__xludf.DUMMYFUNCTION("""COMPUTED_VALUE"""),"numeric")</f>
        <v>numeric</v>
      </c>
      <c r="F340" s="1" t="str">
        <f ca="1">IFERROR(__xludf.DUMMYFUNCTION("""COMPUTED_VALUE"""),"Number")</f>
        <v>Number</v>
      </c>
      <c r="G340" s="1" t="str">
        <f ca="1">IFERROR(__xludf.DUMMYFUNCTION("""COMPUTED_VALUE"""),".na")</f>
        <v>.na</v>
      </c>
      <c r="H340" s="1"/>
      <c r="I340" s="1"/>
      <c r="J340" s="1" t="str">
        <f ca="1">IFERROR(__xludf.DUMMYFUNCTION("""COMPUTED_VALUE"""),"Number of offspring per litter or number of eggs per clutch.")</f>
        <v>Number of offspring per litter or number of eggs per clutch.</v>
      </c>
      <c r="K340" s="1" t="str">
        <f ca="1">IFERROR(__xludf.DUMMYFUNCTION("""COMPUTED_VALUE"""),"B,R,M")</f>
        <v>B,R,M</v>
      </c>
      <c r="L340" s="8" t="str">
        <f ca="1">IFERROR(__xludf.DUMMYFUNCTION("""COMPUTED_VALUE"""),"https://doi.org/10.1890/15-0846R.1")</f>
        <v>https://doi.org/10.1890/15-0846R.1</v>
      </c>
      <c r="M340" s="1" t="str">
        <f ca="1">IFERROR(__xludf.DUMMYFUNCTION("""COMPUTED_VALUE"""),"Myhrvold_2015")</f>
        <v>Myhrvold_2015</v>
      </c>
    </row>
    <row r="341" spans="1:13" ht="13.2">
      <c r="A341" s="1" t="str">
        <f ca="1">IFERROR(__xludf.DUMMYFUNCTION("""COMPUTED_VALUE"""),"litters_or_clutches_per_y")</f>
        <v>litters_or_clutches_per_y</v>
      </c>
      <c r="B341" s="1"/>
      <c r="C341" s="1"/>
      <c r="D341" s="1"/>
      <c r="E341" s="1" t="str">
        <f ca="1">IFERROR(__xludf.DUMMYFUNCTION("""COMPUTED_VALUE"""),"numeric")</f>
        <v>numeric</v>
      </c>
      <c r="F341" s="1" t="str">
        <f ca="1">IFERROR(__xludf.DUMMYFUNCTION("""COMPUTED_VALUE"""),"Number per year")</f>
        <v>Number per year</v>
      </c>
      <c r="G341" s="1" t="str">
        <f ca="1">IFERROR(__xludf.DUMMYFUNCTION("""COMPUTED_VALUE"""),".na")</f>
        <v>.na</v>
      </c>
      <c r="H341" s="1"/>
      <c r="I341" s="1"/>
      <c r="J341" s="1" t="str">
        <f ca="1">IFERROR(__xludf.DUMMYFUNCTION("""COMPUTED_VALUE"""),"Number of litters or clutches produced per year.")</f>
        <v>Number of litters or clutches produced per year.</v>
      </c>
      <c r="K341" s="1" t="str">
        <f ca="1">IFERROR(__xludf.DUMMYFUNCTION("""COMPUTED_VALUE"""),"B,R,M")</f>
        <v>B,R,M</v>
      </c>
      <c r="L341" s="8" t="str">
        <f ca="1">IFERROR(__xludf.DUMMYFUNCTION("""COMPUTED_VALUE"""),"https://doi.org/10.1890/15-0846R.1")</f>
        <v>https://doi.org/10.1890/15-0846R.1</v>
      </c>
      <c r="M341" s="1" t="str">
        <f ca="1">IFERROR(__xludf.DUMMYFUNCTION("""COMPUTED_VALUE"""),"Myhrvold_2015")</f>
        <v>Myhrvold_2015</v>
      </c>
    </row>
    <row r="342" spans="1:13" ht="13.2">
      <c r="A342" s="1" t="str">
        <f ca="1">IFERROR(__xludf.DUMMYFUNCTION("""COMPUTED_VALUE"""),"adult_body_mass_g")</f>
        <v>adult_body_mass_g</v>
      </c>
      <c r="B342" s="1"/>
      <c r="C342" s="1"/>
      <c r="D342" s="1"/>
      <c r="E342" s="1" t="str">
        <f ca="1">IFERROR(__xludf.DUMMYFUNCTION("""COMPUTED_VALUE"""),"numeric")</f>
        <v>numeric</v>
      </c>
      <c r="F342" s="1" t="str">
        <f ca="1">IFERROR(__xludf.DUMMYFUNCTION("""COMPUTED_VALUE"""),"Grams")</f>
        <v>Grams</v>
      </c>
      <c r="G342" s="1" t="str">
        <f ca="1">IFERROR(__xludf.DUMMYFUNCTION("""COMPUTED_VALUE"""),".na")</f>
        <v>.na</v>
      </c>
      <c r="H342" s="1"/>
      <c r="I342" s="1"/>
      <c r="J342" s="1" t="str">
        <f ca="1">IFERROR(__xludf.DUMMYFUNCTION("""COMPUTED_VALUE"""),"Body mass using data from males, females, and/or unspecified adults.")</f>
        <v>Body mass using data from males, females, and/or unspecified adults.</v>
      </c>
      <c r="K342" s="1" t="str">
        <f ca="1">IFERROR(__xludf.DUMMYFUNCTION("""COMPUTED_VALUE"""),"B,R,M")</f>
        <v>B,R,M</v>
      </c>
      <c r="L342" s="8" t="str">
        <f ca="1">IFERROR(__xludf.DUMMYFUNCTION("""COMPUTED_VALUE"""),"https://doi.org/10.1890/15-0846R.1")</f>
        <v>https://doi.org/10.1890/15-0846R.1</v>
      </c>
      <c r="M342" s="1" t="str">
        <f ca="1">IFERROR(__xludf.DUMMYFUNCTION("""COMPUTED_VALUE"""),"Myhrvold_2015")</f>
        <v>Myhrvold_2015</v>
      </c>
    </row>
    <row r="343" spans="1:13" ht="13.2">
      <c r="A343" s="1" t="str">
        <f ca="1">IFERROR(__xludf.DUMMYFUNCTION("""COMPUTED_VALUE"""),"maximum_longevity_y")</f>
        <v>maximum_longevity_y</v>
      </c>
      <c r="B343" s="1"/>
      <c r="C343" s="1"/>
      <c r="D343" s="1"/>
      <c r="E343" s="1" t="str">
        <f ca="1">IFERROR(__xludf.DUMMYFUNCTION("""COMPUTED_VALUE"""),"numeric")</f>
        <v>numeric</v>
      </c>
      <c r="F343" s="1" t="str">
        <f ca="1">IFERROR(__xludf.DUMMYFUNCTION("""COMPUTED_VALUE"""),"Years")</f>
        <v>Years</v>
      </c>
      <c r="G343" s="1" t="str">
        <f ca="1">IFERROR(__xludf.DUMMYFUNCTION("""COMPUTED_VALUE"""),".na")</f>
        <v>.na</v>
      </c>
      <c r="H343" s="1"/>
      <c r="I343" s="1"/>
      <c r="J343" s="1" t="str">
        <f ca="1">IFERROR(__xludf.DUMMYFUNCTION("""COMPUTED_VALUE"""),"Maximum recorded longevity for species.")</f>
        <v>Maximum recorded longevity for species.</v>
      </c>
      <c r="K343" s="1" t="str">
        <f ca="1">IFERROR(__xludf.DUMMYFUNCTION("""COMPUTED_VALUE"""),"B,R,M")</f>
        <v>B,R,M</v>
      </c>
      <c r="L343" s="8" t="str">
        <f ca="1">IFERROR(__xludf.DUMMYFUNCTION("""COMPUTED_VALUE"""),"https://doi.org/10.1890/15-0846R.1")</f>
        <v>https://doi.org/10.1890/15-0846R.1</v>
      </c>
      <c r="M343" s="1" t="str">
        <f ca="1">IFERROR(__xludf.DUMMYFUNCTION("""COMPUTED_VALUE"""),"Myhrvold_2015")</f>
        <v>Myhrvold_2015</v>
      </c>
    </row>
    <row r="344" spans="1:13" ht="13.2">
      <c r="A344" s="1" t="str">
        <f ca="1">IFERROR(__xludf.DUMMYFUNCTION("""COMPUTED_VALUE"""),"gestation_d")</f>
        <v>gestation_d</v>
      </c>
      <c r="B344" s="1"/>
      <c r="C344" s="1"/>
      <c r="D344" s="1"/>
      <c r="E344" s="1" t="str">
        <f ca="1">IFERROR(__xludf.DUMMYFUNCTION("""COMPUTED_VALUE"""),"numeric")</f>
        <v>numeric</v>
      </c>
      <c r="F344" s="1" t="str">
        <f ca="1">IFERROR(__xludf.DUMMYFUNCTION("""COMPUTED_VALUE"""),"Days")</f>
        <v>Days</v>
      </c>
      <c r="G344" s="1" t="str">
        <f ca="1">IFERROR(__xludf.DUMMYFUNCTION("""COMPUTED_VALUE"""),".na")</f>
        <v>.na</v>
      </c>
      <c r="H344" s="1"/>
      <c r="I344" s="1"/>
      <c r="J344" s="1" t="str">
        <f ca="1">IFERROR(__xludf.DUMMYFUNCTION("""COMPUTED_VALUE"""),"Length of time from conception or fertilization to birth.")</f>
        <v>Length of time from conception or fertilization to birth.</v>
      </c>
      <c r="K344" s="1" t="str">
        <f ca="1">IFERROR(__xludf.DUMMYFUNCTION("""COMPUTED_VALUE"""),"M")</f>
        <v>M</v>
      </c>
      <c r="L344" s="8" t="str">
        <f ca="1">IFERROR(__xludf.DUMMYFUNCTION("""COMPUTED_VALUE"""),"https://doi.org/10.1890/15-0846R.1")</f>
        <v>https://doi.org/10.1890/15-0846R.1</v>
      </c>
      <c r="M344" s="1" t="str">
        <f ca="1">IFERROR(__xludf.DUMMYFUNCTION("""COMPUTED_VALUE"""),"Myhrvold_2015")</f>
        <v>Myhrvold_2015</v>
      </c>
    </row>
    <row r="345" spans="1:13" ht="13.2">
      <c r="A345" s="1" t="str">
        <f ca="1">IFERROR(__xludf.DUMMYFUNCTION("""COMPUTED_VALUE"""),"weaning_d")</f>
        <v>weaning_d</v>
      </c>
      <c r="B345" s="1"/>
      <c r="C345" s="1"/>
      <c r="D345" s="1"/>
      <c r="E345" s="1" t="str">
        <f ca="1">IFERROR(__xludf.DUMMYFUNCTION("""COMPUTED_VALUE"""),"numeric")</f>
        <v>numeric</v>
      </c>
      <c r="F345" s="1" t="str">
        <f ca="1">IFERROR(__xludf.DUMMYFUNCTION("""COMPUTED_VALUE"""),"Days")</f>
        <v>Days</v>
      </c>
      <c r="G345" s="1" t="str">
        <f ca="1">IFERROR(__xludf.DUMMYFUNCTION("""COMPUTED_VALUE"""),".na")</f>
        <v>.na</v>
      </c>
      <c r="H345" s="1"/>
      <c r="I345" s="1"/>
      <c r="J345" s="1" t="str">
        <f ca="1">IFERROR(__xludf.DUMMYFUNCTION("""COMPUTED_VALUE"""),"Age at which the species becomes dependent on food other than its mother's milk.")</f>
        <v>Age at which the species becomes dependent on food other than its mother's milk.</v>
      </c>
      <c r="K345" s="1" t="str">
        <f ca="1">IFERROR(__xludf.DUMMYFUNCTION("""COMPUTED_VALUE"""),"M")</f>
        <v>M</v>
      </c>
      <c r="L345" s="8" t="str">
        <f ca="1">IFERROR(__xludf.DUMMYFUNCTION("""COMPUTED_VALUE"""),"https://doi.org/10.1890/15-0846R.1")</f>
        <v>https://doi.org/10.1890/15-0846R.1</v>
      </c>
      <c r="M345" s="1" t="str">
        <f ca="1">IFERROR(__xludf.DUMMYFUNCTION("""COMPUTED_VALUE"""),"Myhrvold_2015")</f>
        <v>Myhrvold_2015</v>
      </c>
    </row>
    <row r="346" spans="1:13" ht="13.2">
      <c r="A346" s="1" t="str">
        <f ca="1">IFERROR(__xludf.DUMMYFUNCTION("""COMPUTED_VALUE"""),"birth_or_hatching_weight_g")</f>
        <v>birth_or_hatching_weight_g</v>
      </c>
      <c r="B346" s="1"/>
      <c r="C346" s="1"/>
      <c r="D346" s="1"/>
      <c r="E346" s="1" t="str">
        <f ca="1">IFERROR(__xludf.DUMMYFUNCTION("""COMPUTED_VALUE"""),"numeric")</f>
        <v>numeric</v>
      </c>
      <c r="F346" s="1" t="str">
        <f ca="1">IFERROR(__xludf.DUMMYFUNCTION("""COMPUTED_VALUE"""),"Grams")</f>
        <v>Grams</v>
      </c>
      <c r="G346" s="1" t="str">
        <f ca="1">IFERROR(__xludf.DUMMYFUNCTION("""COMPUTED_VALUE"""),".na")</f>
        <v>.na</v>
      </c>
      <c r="H346" s="1"/>
      <c r="I346" s="1"/>
      <c r="J346" s="1" t="str">
        <f ca="1">IFERROR(__xludf.DUMMYFUNCTION("""COMPUTED_VALUE"""),"Weight at birth or at hatching.")</f>
        <v>Weight at birth or at hatching.</v>
      </c>
      <c r="K346" s="1" t="str">
        <f ca="1">IFERROR(__xludf.DUMMYFUNCTION("""COMPUTED_VALUE"""),"B,R,M")</f>
        <v>B,R,M</v>
      </c>
      <c r="L346" s="8" t="str">
        <f ca="1">IFERROR(__xludf.DUMMYFUNCTION("""COMPUTED_VALUE"""),"https://doi.org/10.1890/15-0846R.1")</f>
        <v>https://doi.org/10.1890/15-0846R.1</v>
      </c>
      <c r="M346" s="1" t="str">
        <f ca="1">IFERROR(__xludf.DUMMYFUNCTION("""COMPUTED_VALUE"""),"Myhrvold_2015")</f>
        <v>Myhrvold_2015</v>
      </c>
    </row>
    <row r="347" spans="1:13" ht="13.2">
      <c r="A347" s="1" t="str">
        <f ca="1">IFERROR(__xludf.DUMMYFUNCTION("""COMPUTED_VALUE"""),"weaning_weight_g")</f>
        <v>weaning_weight_g</v>
      </c>
      <c r="B347" s="1"/>
      <c r="C347" s="1"/>
      <c r="D347" s="1"/>
      <c r="E347" s="1" t="str">
        <f ca="1">IFERROR(__xludf.DUMMYFUNCTION("""COMPUTED_VALUE"""),"numeric")</f>
        <v>numeric</v>
      </c>
      <c r="F347" s="1" t="str">
        <f ca="1">IFERROR(__xludf.DUMMYFUNCTION("""COMPUTED_VALUE"""),"Grams")</f>
        <v>Grams</v>
      </c>
      <c r="G347" s="1" t="str">
        <f ca="1">IFERROR(__xludf.DUMMYFUNCTION("""COMPUTED_VALUE"""),".na")</f>
        <v>.na</v>
      </c>
      <c r="H347" s="1"/>
      <c r="I347" s="1"/>
      <c r="J347" s="1" t="str">
        <f ca="1">IFERROR(__xludf.DUMMYFUNCTION("""COMPUTED_VALUE"""),"Weight at weaning.")</f>
        <v>Weight at weaning.</v>
      </c>
      <c r="K347" s="1" t="str">
        <f ca="1">IFERROR(__xludf.DUMMYFUNCTION("""COMPUTED_VALUE"""),"M")</f>
        <v>M</v>
      </c>
      <c r="L347" s="8" t="str">
        <f ca="1">IFERROR(__xludf.DUMMYFUNCTION("""COMPUTED_VALUE"""),"https://doi.org/10.1890/15-0846R.1")</f>
        <v>https://doi.org/10.1890/15-0846R.1</v>
      </c>
      <c r="M347" s="1" t="str">
        <f ca="1">IFERROR(__xludf.DUMMYFUNCTION("""COMPUTED_VALUE"""),"Myhrvold_2015")</f>
        <v>Myhrvold_2015</v>
      </c>
    </row>
    <row r="348" spans="1:13" ht="13.2">
      <c r="A348" s="1" t="str">
        <f ca="1">IFERROR(__xludf.DUMMYFUNCTION("""COMPUTED_VALUE"""),"egg_mass_g")</f>
        <v>egg_mass_g</v>
      </c>
      <c r="B348" s="1"/>
      <c r="C348" s="1"/>
      <c r="D348" s="1"/>
      <c r="E348" s="1"/>
      <c r="F348" s="1" t="str">
        <f ca="1">IFERROR(__xludf.DUMMYFUNCTION("""COMPUTED_VALUE"""),"Grams")</f>
        <v>Grams</v>
      </c>
      <c r="G348" s="1"/>
      <c r="H348" s="1"/>
      <c r="I348" s="1"/>
      <c r="J348" s="1" t="str">
        <f ca="1">IFERROR(__xludf.DUMMYFUNCTION("""COMPUTED_VALUE"""),"Egg mass.")</f>
        <v>Egg mass.</v>
      </c>
      <c r="K348" s="1" t="str">
        <f ca="1">IFERROR(__xludf.DUMMYFUNCTION("""COMPUTED_VALUE"""),"B,R")</f>
        <v>B,R</v>
      </c>
      <c r="L348" s="8" t="str">
        <f ca="1">IFERROR(__xludf.DUMMYFUNCTION("""COMPUTED_VALUE"""),"https://doi.org/10.1890/15-0846R.1")</f>
        <v>https://doi.org/10.1890/15-0846R.1</v>
      </c>
      <c r="M348" s="1" t="str">
        <f ca="1">IFERROR(__xludf.DUMMYFUNCTION("""COMPUTED_VALUE"""),"Myhrvold_2015")</f>
        <v>Myhrvold_2015</v>
      </c>
    </row>
    <row r="349" spans="1:13" ht="13.2">
      <c r="A349" s="1" t="str">
        <f ca="1">IFERROR(__xludf.DUMMYFUNCTION("""COMPUTED_VALUE"""),"incubation_d")</f>
        <v>incubation_d</v>
      </c>
      <c r="B349" s="1"/>
      <c r="C349" s="1"/>
      <c r="D349" s="1"/>
      <c r="E349" s="1"/>
      <c r="F349" s="1" t="str">
        <f ca="1">IFERROR(__xludf.DUMMYFUNCTION("""COMPUTED_VALUE"""),"Days")</f>
        <v>Days</v>
      </c>
      <c r="G349" s="1"/>
      <c r="H349" s="1"/>
      <c r="I349" s="1"/>
      <c r="J349" s="1" t="str">
        <f ca="1">IFERROR(__xludf.DUMMYFUNCTION("""COMPUTED_VALUE"""),"Length of time between egg oviposition and hatching.")</f>
        <v>Length of time between egg oviposition and hatching.</v>
      </c>
      <c r="K349" s="1" t="str">
        <f ca="1">IFERROR(__xludf.DUMMYFUNCTION("""COMPUTED_VALUE"""),"B,R")</f>
        <v>B,R</v>
      </c>
      <c r="L349" s="8" t="str">
        <f ca="1">IFERROR(__xludf.DUMMYFUNCTION("""COMPUTED_VALUE"""),"https://doi.org/10.1890/15-0846R.1")</f>
        <v>https://doi.org/10.1890/15-0846R.1</v>
      </c>
      <c r="M349" s="1" t="str">
        <f ca="1">IFERROR(__xludf.DUMMYFUNCTION("""COMPUTED_VALUE"""),"Myhrvold_2015")</f>
        <v>Myhrvold_2015</v>
      </c>
    </row>
    <row r="350" spans="1:13" ht="13.2">
      <c r="A350" s="1" t="str">
        <f ca="1">IFERROR(__xludf.DUMMYFUNCTION("""COMPUTED_VALUE"""),"fledging_age_d")</f>
        <v>fledging_age_d</v>
      </c>
      <c r="B350" s="1"/>
      <c r="C350" s="1"/>
      <c r="D350" s="1"/>
      <c r="E350" s="1"/>
      <c r="F350" s="1" t="str">
        <f ca="1">IFERROR(__xludf.DUMMYFUNCTION("""COMPUTED_VALUE"""),"Days")</f>
        <v>Days</v>
      </c>
      <c r="G350" s="1"/>
      <c r="H350" s="1"/>
      <c r="I350" s="1"/>
      <c r="J350" s="1" t="str">
        <f ca="1">IFERROR(__xludf.DUMMYFUNCTION("""COMPUTED_VALUE"""),"Age of the bird when it is capable of flight.")</f>
        <v>Age of the bird when it is capable of flight.</v>
      </c>
      <c r="K350" s="1" t="str">
        <f ca="1">IFERROR(__xludf.DUMMYFUNCTION("""COMPUTED_VALUE"""),"B")</f>
        <v>B</v>
      </c>
      <c r="L350" s="8" t="str">
        <f ca="1">IFERROR(__xludf.DUMMYFUNCTION("""COMPUTED_VALUE"""),"https://doi.org/10.1890/15-0846R.1")</f>
        <v>https://doi.org/10.1890/15-0846R.1</v>
      </c>
      <c r="M350" s="1" t="str">
        <f ca="1">IFERROR(__xludf.DUMMYFUNCTION("""COMPUTED_VALUE"""),"Myhrvold_2015")</f>
        <v>Myhrvold_2015</v>
      </c>
    </row>
    <row r="351" spans="1:13" ht="13.2">
      <c r="A351" s="1" t="str">
        <f ca="1">IFERROR(__xludf.DUMMYFUNCTION("""COMPUTED_VALUE"""),"longevity_y")</f>
        <v>longevity_y</v>
      </c>
      <c r="B351" s="1"/>
      <c r="C351" s="1"/>
      <c r="D351" s="1"/>
      <c r="E351" s="1" t="str">
        <f ca="1">IFERROR(__xludf.DUMMYFUNCTION("""COMPUTED_VALUE"""),"numeric")</f>
        <v>numeric</v>
      </c>
      <c r="F351" s="1" t="str">
        <f ca="1">IFERROR(__xludf.DUMMYFUNCTION("""COMPUTED_VALUE"""),"Years")</f>
        <v>Years</v>
      </c>
      <c r="G351" s="1" t="str">
        <f ca="1">IFERROR(__xludf.DUMMYFUNCTION("""COMPUTED_VALUE"""),".na")</f>
        <v>.na</v>
      </c>
      <c r="H351" s="1"/>
      <c r="I351" s="1"/>
      <c r="J351" s="1" t="str">
        <f ca="1">IFERROR(__xludf.DUMMYFUNCTION("""COMPUTED_VALUE"""),"Age at death.")</f>
        <v>Age at death.</v>
      </c>
      <c r="K351" s="1" t="str">
        <f ca="1">IFERROR(__xludf.DUMMYFUNCTION("""COMPUTED_VALUE"""),"B,R,M")</f>
        <v>B,R,M</v>
      </c>
      <c r="L351" s="8" t="str">
        <f ca="1">IFERROR(__xludf.DUMMYFUNCTION("""COMPUTED_VALUE"""),"https://doi.org/10.1890/15-0846R.1")</f>
        <v>https://doi.org/10.1890/15-0846R.1</v>
      </c>
      <c r="M351" s="1" t="str">
        <f ca="1">IFERROR(__xludf.DUMMYFUNCTION("""COMPUTED_VALUE"""),"Myhrvold_2015")</f>
        <v>Myhrvold_2015</v>
      </c>
    </row>
    <row r="352" spans="1:13" ht="13.2">
      <c r="A352" s="1" t="str">
        <f ca="1">IFERROR(__xludf.DUMMYFUNCTION("""COMPUTED_VALUE"""),"male_maturity_d")</f>
        <v>male_maturity_d</v>
      </c>
      <c r="B352" s="1"/>
      <c r="C352" s="1"/>
      <c r="D352" s="1"/>
      <c r="E352" s="1" t="str">
        <f ca="1">IFERROR(__xludf.DUMMYFUNCTION("""COMPUTED_VALUE"""),"numeric")</f>
        <v>numeric</v>
      </c>
      <c r="F352" s="1" t="str">
        <f ca="1">IFERROR(__xludf.DUMMYFUNCTION("""COMPUTED_VALUE"""),"Days")</f>
        <v>Days</v>
      </c>
      <c r="G352" s="1" t="str">
        <f ca="1">IFERROR(__xludf.DUMMYFUNCTION("""COMPUTED_VALUE"""),".na")</f>
        <v>.na</v>
      </c>
      <c r="H352" s="1"/>
      <c r="I352" s="1"/>
      <c r="J352" s="1" t="str">
        <f ca="1">IFERROR(__xludf.DUMMYFUNCTION("""COMPUTED_VALUE"""),"Age of sexual maturity for males.")</f>
        <v>Age of sexual maturity for males.</v>
      </c>
      <c r="K352" s="1" t="str">
        <f ca="1">IFERROR(__xludf.DUMMYFUNCTION("""COMPUTED_VALUE"""),"B,R,M")</f>
        <v>B,R,M</v>
      </c>
      <c r="L352" s="8" t="str">
        <f ca="1">IFERROR(__xludf.DUMMYFUNCTION("""COMPUTED_VALUE"""),"https://doi.org/10.1890/15-0846R.1")</f>
        <v>https://doi.org/10.1890/15-0846R.1</v>
      </c>
      <c r="M352" s="1" t="str">
        <f ca="1">IFERROR(__xludf.DUMMYFUNCTION("""COMPUTED_VALUE"""),"Myhrvold_2015")</f>
        <v>Myhrvold_2015</v>
      </c>
    </row>
    <row r="353" spans="1:13" ht="13.2">
      <c r="A353" s="1" t="str">
        <f ca="1">IFERROR(__xludf.DUMMYFUNCTION("""COMPUTED_VALUE"""),"inter_litter_or_interbirth_interval_y")</f>
        <v>inter_litter_or_interbirth_interval_y</v>
      </c>
      <c r="B353" s="1"/>
      <c r="C353" s="1"/>
      <c r="D353" s="1"/>
      <c r="E353" s="1" t="str">
        <f ca="1">IFERROR(__xludf.DUMMYFUNCTION("""COMPUTED_VALUE"""),"numeric")</f>
        <v>numeric</v>
      </c>
      <c r="F353" s="1" t="str">
        <f ca="1">IFERROR(__xludf.DUMMYFUNCTION("""COMPUTED_VALUE"""),"Years")</f>
        <v>Years</v>
      </c>
      <c r="G353" s="1" t="str">
        <f ca="1">IFERROR(__xludf.DUMMYFUNCTION("""COMPUTED_VALUE"""),".na")</f>
        <v>.na</v>
      </c>
      <c r="H353" s="1"/>
      <c r="I353" s="1"/>
      <c r="J353" s="1" t="str">
        <f ca="1">IFERROR(__xludf.DUMMYFUNCTION("""COMPUTED_VALUE"""),"Interval between successive births or ovipositions.  This can differ from litter/clutch frequency due to seasonality.")</f>
        <v>Interval between successive births or ovipositions.  This can differ from litter/clutch frequency due to seasonality.</v>
      </c>
      <c r="K353" s="1" t="str">
        <f ca="1">IFERROR(__xludf.DUMMYFUNCTION("""COMPUTED_VALUE"""),"B,R,M")</f>
        <v>B,R,M</v>
      </c>
      <c r="L353" s="8" t="str">
        <f ca="1">IFERROR(__xludf.DUMMYFUNCTION("""COMPUTED_VALUE"""),"https://doi.org/10.1890/15-0846R.1")</f>
        <v>https://doi.org/10.1890/15-0846R.1</v>
      </c>
      <c r="M353" s="1" t="str">
        <f ca="1">IFERROR(__xludf.DUMMYFUNCTION("""COMPUTED_VALUE"""),"Myhrvold_2015")</f>
        <v>Myhrvold_2015</v>
      </c>
    </row>
    <row r="354" spans="1:13" ht="13.2">
      <c r="A354" s="1" t="str">
        <f ca="1">IFERROR(__xludf.DUMMYFUNCTION("""COMPUTED_VALUE"""),"female_body_mass_g")</f>
        <v>female_body_mass_g</v>
      </c>
      <c r="B354" s="1"/>
      <c r="C354" s="1"/>
      <c r="D354" s="1"/>
      <c r="E354" s="1" t="str">
        <f ca="1">IFERROR(__xludf.DUMMYFUNCTION("""COMPUTED_VALUE"""),"numeric")</f>
        <v>numeric</v>
      </c>
      <c r="F354" s="1" t="str">
        <f ca="1">IFERROR(__xludf.DUMMYFUNCTION("""COMPUTED_VALUE"""),"Grams")</f>
        <v>Grams</v>
      </c>
      <c r="G354" s="1" t="str">
        <f ca="1">IFERROR(__xludf.DUMMYFUNCTION("""COMPUTED_VALUE"""),".na")</f>
        <v>.na</v>
      </c>
      <c r="H354" s="1"/>
      <c r="I354" s="1"/>
      <c r="J354" s="1" t="str">
        <f ca="1">IFERROR(__xludf.DUMMYFUNCTION("""COMPUTED_VALUE"""),"Body mass of female adults.")</f>
        <v>Body mass of female adults.</v>
      </c>
      <c r="K354" s="1" t="str">
        <f ca="1">IFERROR(__xludf.DUMMYFUNCTION("""COMPUTED_VALUE"""),"B,R,M")</f>
        <v>B,R,M</v>
      </c>
      <c r="L354" s="8" t="str">
        <f ca="1">IFERROR(__xludf.DUMMYFUNCTION("""COMPUTED_VALUE"""),"https://doi.org/10.1890/15-0846R.1")</f>
        <v>https://doi.org/10.1890/15-0846R.1</v>
      </c>
      <c r="M354" s="1" t="str">
        <f ca="1">IFERROR(__xludf.DUMMYFUNCTION("""COMPUTED_VALUE"""),"Myhrvold_2015")</f>
        <v>Myhrvold_2015</v>
      </c>
    </row>
    <row r="355" spans="1:13" ht="13.2">
      <c r="A355" s="1" t="str">
        <f ca="1">IFERROR(__xludf.DUMMYFUNCTION("""COMPUTED_VALUE"""),"male_body_mass_g")</f>
        <v>male_body_mass_g</v>
      </c>
      <c r="B355" s="1"/>
      <c r="C355" s="1"/>
      <c r="D355" s="1"/>
      <c r="E355" s="1" t="str">
        <f ca="1">IFERROR(__xludf.DUMMYFUNCTION("""COMPUTED_VALUE"""),"numeric")</f>
        <v>numeric</v>
      </c>
      <c r="F355" s="1" t="str">
        <f ca="1">IFERROR(__xludf.DUMMYFUNCTION("""COMPUTED_VALUE"""),"Grams")</f>
        <v>Grams</v>
      </c>
      <c r="G355" s="1" t="str">
        <f ca="1">IFERROR(__xludf.DUMMYFUNCTION("""COMPUTED_VALUE"""),".na")</f>
        <v>.na</v>
      </c>
      <c r="H355" s="1"/>
      <c r="I355" s="1"/>
      <c r="J355" s="1" t="str">
        <f ca="1">IFERROR(__xludf.DUMMYFUNCTION("""COMPUTED_VALUE"""),"Body mass of male adults.")</f>
        <v>Body mass of male adults.</v>
      </c>
      <c r="K355" s="1" t="str">
        <f ca="1">IFERROR(__xludf.DUMMYFUNCTION("""COMPUTED_VALUE"""),"B,R,M")</f>
        <v>B,R,M</v>
      </c>
      <c r="L355" s="8" t="str">
        <f ca="1">IFERROR(__xludf.DUMMYFUNCTION("""COMPUTED_VALUE"""),"https://doi.org/10.1890/15-0846R.1")</f>
        <v>https://doi.org/10.1890/15-0846R.1</v>
      </c>
      <c r="M355" s="1" t="str">
        <f ca="1">IFERROR(__xludf.DUMMYFUNCTION("""COMPUTED_VALUE"""),"Myhrvold_2015")</f>
        <v>Myhrvold_2015</v>
      </c>
    </row>
    <row r="356" spans="1:13" ht="13.2">
      <c r="A356" s="1" t="str">
        <f ca="1">IFERROR(__xludf.DUMMYFUNCTION("""COMPUTED_VALUE"""),"no_sex_body_mass_g")</f>
        <v>no_sex_body_mass_g</v>
      </c>
      <c r="B356" s="1"/>
      <c r="C356" s="1"/>
      <c r="D356" s="1"/>
      <c r="E356" s="1" t="str">
        <f ca="1">IFERROR(__xludf.DUMMYFUNCTION("""COMPUTED_VALUE"""),"numeric")</f>
        <v>numeric</v>
      </c>
      <c r="F356" s="1" t="str">
        <f ca="1">IFERROR(__xludf.DUMMYFUNCTION("""COMPUTED_VALUE"""),"Grams")</f>
        <v>Grams</v>
      </c>
      <c r="G356" s="1" t="str">
        <f ca="1">IFERROR(__xludf.DUMMYFUNCTION("""COMPUTED_VALUE"""),".na")</f>
        <v>.na</v>
      </c>
      <c r="H356" s="1"/>
      <c r="I356" s="1"/>
      <c r="J356" s="1" t="str">
        <f ca="1">IFERROR(__xludf.DUMMYFUNCTION("""COMPUTED_VALUE"""),"Body mass of unspecified adults.")</f>
        <v>Body mass of unspecified adults.</v>
      </c>
      <c r="K356" s="1" t="str">
        <f ca="1">IFERROR(__xludf.DUMMYFUNCTION("""COMPUTED_VALUE"""),"B,R,M")</f>
        <v>B,R,M</v>
      </c>
      <c r="L356" s="8" t="str">
        <f ca="1">IFERROR(__xludf.DUMMYFUNCTION("""COMPUTED_VALUE"""),"https://doi.org/10.1890/15-0846R.1")</f>
        <v>https://doi.org/10.1890/15-0846R.1</v>
      </c>
      <c r="M356" s="1" t="str">
        <f ca="1">IFERROR(__xludf.DUMMYFUNCTION("""COMPUTED_VALUE"""),"Myhrvold_2015")</f>
        <v>Myhrvold_2015</v>
      </c>
    </row>
    <row r="357" spans="1:13" ht="13.2">
      <c r="A357" s="1" t="str">
        <f ca="1">IFERROR(__xludf.DUMMYFUNCTION("""COMPUTED_VALUE"""),"egg_width_mm")</f>
        <v>egg_width_mm</v>
      </c>
      <c r="B357" s="1"/>
      <c r="C357" s="1"/>
      <c r="D357" s="1"/>
      <c r="E357" s="1"/>
      <c r="F357" s="1" t="str">
        <f ca="1">IFERROR(__xludf.DUMMYFUNCTION("""COMPUTED_VALUE"""),"Millimeters")</f>
        <v>Millimeters</v>
      </c>
      <c r="G357" s="1"/>
      <c r="H357" s="1"/>
      <c r="I357" s="1"/>
      <c r="J357" s="1" t="str">
        <f ca="1">IFERROR(__xludf.DUMMYFUNCTION("""COMPUTED_VALUE"""),"Egg width.")</f>
        <v>Egg width.</v>
      </c>
      <c r="K357" s="1" t="str">
        <f ca="1">IFERROR(__xludf.DUMMYFUNCTION("""COMPUTED_VALUE"""),"B,R")</f>
        <v>B,R</v>
      </c>
      <c r="L357" s="8" t="str">
        <f ca="1">IFERROR(__xludf.DUMMYFUNCTION("""COMPUTED_VALUE"""),"https://doi.org/10.1890/15-0846R.1")</f>
        <v>https://doi.org/10.1890/15-0846R.1</v>
      </c>
      <c r="M357" s="1" t="str">
        <f ca="1">IFERROR(__xludf.DUMMYFUNCTION("""COMPUTED_VALUE"""),"Myhrvold_2015")</f>
        <v>Myhrvold_2015</v>
      </c>
    </row>
    <row r="358" spans="1:13" ht="13.2">
      <c r="A358" s="1" t="str">
        <f ca="1">IFERROR(__xludf.DUMMYFUNCTION("""COMPUTED_VALUE"""),"egg_length_mm")</f>
        <v>egg_length_mm</v>
      </c>
      <c r="B358" s="1"/>
      <c r="C358" s="1"/>
      <c r="D358" s="1"/>
      <c r="E358" s="1"/>
      <c r="F358" s="1" t="str">
        <f ca="1">IFERROR(__xludf.DUMMYFUNCTION("""COMPUTED_VALUE"""),"Millimeters")</f>
        <v>Millimeters</v>
      </c>
      <c r="G358" s="1"/>
      <c r="H358" s="1"/>
      <c r="I358" s="1"/>
      <c r="J358" s="1" t="str">
        <f ca="1">IFERROR(__xludf.DUMMYFUNCTION("""COMPUTED_VALUE"""),"Egg length.")</f>
        <v>Egg length.</v>
      </c>
      <c r="K358" s="1" t="str">
        <f ca="1">IFERROR(__xludf.DUMMYFUNCTION("""COMPUTED_VALUE"""),"B,R")</f>
        <v>B,R</v>
      </c>
      <c r="L358" s="8" t="str">
        <f ca="1">IFERROR(__xludf.DUMMYFUNCTION("""COMPUTED_VALUE"""),"https://doi.org/10.1890/15-0846R.1")</f>
        <v>https://doi.org/10.1890/15-0846R.1</v>
      </c>
      <c r="M358" s="1" t="str">
        <f ca="1">IFERROR(__xludf.DUMMYFUNCTION("""COMPUTED_VALUE"""),"Myhrvold_2015")</f>
        <v>Myhrvold_2015</v>
      </c>
    </row>
    <row r="359" spans="1:13" ht="13.2">
      <c r="A359" s="1" t="str">
        <f ca="1">IFERROR(__xludf.DUMMYFUNCTION("""COMPUTED_VALUE"""),"fledging_mass_g")</f>
        <v>fledging_mass_g</v>
      </c>
      <c r="B359" s="1"/>
      <c r="C359" s="1"/>
      <c r="D359" s="1"/>
      <c r="E359" s="1"/>
      <c r="F359" s="1" t="str">
        <f ca="1">IFERROR(__xludf.DUMMYFUNCTION("""COMPUTED_VALUE"""),"Grams")</f>
        <v>Grams</v>
      </c>
      <c r="G359" s="1"/>
      <c r="H359" s="1"/>
      <c r="I359" s="1"/>
      <c r="J359" s="1" t="str">
        <f ca="1">IFERROR(__xludf.DUMMYFUNCTION("""COMPUTED_VALUE"""),"Mass of the bird at the time it has developed the feathers necessary for flight.")</f>
        <v>Mass of the bird at the time it has developed the feathers necessary for flight.</v>
      </c>
      <c r="K359" s="1" t="str">
        <f ca="1">IFERROR(__xludf.DUMMYFUNCTION("""COMPUTED_VALUE"""),"B")</f>
        <v>B</v>
      </c>
      <c r="L359" s="8" t="str">
        <f ca="1">IFERROR(__xludf.DUMMYFUNCTION("""COMPUTED_VALUE"""),"https://doi.org/10.1890/15-0846R.1")</f>
        <v>https://doi.org/10.1890/15-0846R.1</v>
      </c>
      <c r="M359" s="1" t="str">
        <f ca="1">IFERROR(__xludf.DUMMYFUNCTION("""COMPUTED_VALUE"""),"Myhrvold_2015")</f>
        <v>Myhrvold_2015</v>
      </c>
    </row>
    <row r="360" spans="1:13" ht="13.2">
      <c r="A360" s="1" t="str">
        <f ca="1">IFERROR(__xludf.DUMMYFUNCTION("""COMPUTED_VALUE"""),"adult_svl_cm")</f>
        <v>adult_svl_cm</v>
      </c>
      <c r="B360" s="1"/>
      <c r="C360" s="1"/>
      <c r="D360" s="1"/>
      <c r="E360" s="1" t="str">
        <f ca="1">IFERROR(__xludf.DUMMYFUNCTION("""COMPUTED_VALUE"""),"numeric")</f>
        <v>numeric</v>
      </c>
      <c r="F360" s="1" t="str">
        <f ca="1">IFERROR(__xludf.DUMMYFUNCTION("""COMPUTED_VALUE"""),"Centimeters")</f>
        <v>Centimeters</v>
      </c>
      <c r="G360" s="1" t="str">
        <f ca="1">IFERROR(__xludf.DUMMYFUNCTION("""COMPUTED_VALUE"""),".na")</f>
        <v>.na</v>
      </c>
      <c r="H360" s="1"/>
      <c r="I360" s="1"/>
      <c r="J360" s="1" t="str">
        <f ca="1">IFERROR(__xludf.DUMMYFUNCTION("""COMPUTED_VALUE"""),"Measure from tip of the snout to either the opening of the cloaca (Birds &amp; Reptiles) or tail base (mammals) for male, female, and/or unspecified adults.")</f>
        <v>Measure from tip of the snout to either the opening of the cloaca (Birds &amp; Reptiles) or tail base (mammals) for male, female, and/or unspecified adults.</v>
      </c>
      <c r="K360" s="1" t="str">
        <f ca="1">IFERROR(__xludf.DUMMYFUNCTION("""COMPUTED_VALUE"""),"B,R,M")</f>
        <v>B,R,M</v>
      </c>
      <c r="L360" s="8" t="str">
        <f ca="1">IFERROR(__xludf.DUMMYFUNCTION("""COMPUTED_VALUE"""),"https://doi.org/10.1890/15-0846R.1")</f>
        <v>https://doi.org/10.1890/15-0846R.1</v>
      </c>
      <c r="M360" s="1" t="str">
        <f ca="1">IFERROR(__xludf.DUMMYFUNCTION("""COMPUTED_VALUE"""),"Myhrvold_2015")</f>
        <v>Myhrvold_2015</v>
      </c>
    </row>
    <row r="361" spans="1:13" ht="13.2">
      <c r="A361" s="1" t="str">
        <f ca="1">IFERROR(__xludf.DUMMYFUNCTION("""COMPUTED_VALUE"""),"male_svl_cm")</f>
        <v>male_svl_cm</v>
      </c>
      <c r="B361" s="1"/>
      <c r="C361" s="1"/>
      <c r="D361" s="1"/>
      <c r="E361" s="1" t="str">
        <f ca="1">IFERROR(__xludf.DUMMYFUNCTION("""COMPUTED_VALUE"""),"numeric")</f>
        <v>numeric</v>
      </c>
      <c r="F361" s="1" t="str">
        <f ca="1">IFERROR(__xludf.DUMMYFUNCTION("""COMPUTED_VALUE"""),"Centimeters")</f>
        <v>Centimeters</v>
      </c>
      <c r="G361" s="1" t="str">
        <f ca="1">IFERROR(__xludf.DUMMYFUNCTION("""COMPUTED_VALUE"""),".na")</f>
        <v>.na</v>
      </c>
      <c r="H361" s="1"/>
      <c r="I361" s="1"/>
      <c r="J361" s="1" t="str">
        <f ca="1">IFERROR(__xludf.DUMMYFUNCTION("""COMPUTED_VALUE"""),"Measure from tip of the snout to the opening of the cloaca or tail base for male adults.")</f>
        <v>Measure from tip of the snout to the opening of the cloaca or tail base for male adults.</v>
      </c>
      <c r="K361" s="1" t="str">
        <f ca="1">IFERROR(__xludf.DUMMYFUNCTION("""COMPUTED_VALUE"""),"B,R,M")</f>
        <v>B,R,M</v>
      </c>
      <c r="L361" s="8" t="str">
        <f ca="1">IFERROR(__xludf.DUMMYFUNCTION("""COMPUTED_VALUE"""),"https://doi.org/10.1890/15-0846R.1")</f>
        <v>https://doi.org/10.1890/15-0846R.1</v>
      </c>
      <c r="M361" s="1" t="str">
        <f ca="1">IFERROR(__xludf.DUMMYFUNCTION("""COMPUTED_VALUE"""),"Myhrvold_2015")</f>
        <v>Myhrvold_2015</v>
      </c>
    </row>
    <row r="362" spans="1:13" ht="13.2">
      <c r="A362" s="1" t="str">
        <f ca="1">IFERROR(__xludf.DUMMYFUNCTION("""COMPUTED_VALUE"""),"female_svl_cm")</f>
        <v>female_svl_cm</v>
      </c>
      <c r="B362" s="1"/>
      <c r="C362" s="1"/>
      <c r="D362" s="1"/>
      <c r="E362" s="1" t="str">
        <f ca="1">IFERROR(__xludf.DUMMYFUNCTION("""COMPUTED_VALUE"""),"numeric")</f>
        <v>numeric</v>
      </c>
      <c r="F362" s="1" t="str">
        <f ca="1">IFERROR(__xludf.DUMMYFUNCTION("""COMPUTED_VALUE"""),"Centimeters")</f>
        <v>Centimeters</v>
      </c>
      <c r="G362" s="1" t="str">
        <f ca="1">IFERROR(__xludf.DUMMYFUNCTION("""COMPUTED_VALUE"""),".na")</f>
        <v>.na</v>
      </c>
      <c r="H362" s="1"/>
      <c r="I362" s="1"/>
      <c r="J362" s="1" t="str">
        <f ca="1">IFERROR(__xludf.DUMMYFUNCTION("""COMPUTED_VALUE"""),"Measure from tip of the snout to the opening of the cloaca or tail base for female adults.")</f>
        <v>Measure from tip of the snout to the opening of the cloaca or tail base for female adults.</v>
      </c>
      <c r="K362" s="1" t="str">
        <f ca="1">IFERROR(__xludf.DUMMYFUNCTION("""COMPUTED_VALUE"""),"B,R,M")</f>
        <v>B,R,M</v>
      </c>
      <c r="L362" s="8" t="str">
        <f ca="1">IFERROR(__xludf.DUMMYFUNCTION("""COMPUTED_VALUE"""),"https://doi.org/10.1890/15-0846R.1")</f>
        <v>https://doi.org/10.1890/15-0846R.1</v>
      </c>
      <c r="M362" s="1" t="str">
        <f ca="1">IFERROR(__xludf.DUMMYFUNCTION("""COMPUTED_VALUE"""),"Myhrvold_2015")</f>
        <v>Myhrvold_2015</v>
      </c>
    </row>
    <row r="363" spans="1:13" ht="13.2">
      <c r="A363" s="1" t="str">
        <f ca="1">IFERROR(__xludf.DUMMYFUNCTION("""COMPUTED_VALUE"""),"birth_or_hatching_svl_cm")</f>
        <v>birth_or_hatching_svl_cm</v>
      </c>
      <c r="B363" s="1"/>
      <c r="C363" s="1"/>
      <c r="D363" s="1"/>
      <c r="E363" s="1" t="str">
        <f ca="1">IFERROR(__xludf.DUMMYFUNCTION("""COMPUTED_VALUE"""),"numeric")</f>
        <v>numeric</v>
      </c>
      <c r="F363" s="1" t="str">
        <f ca="1">IFERROR(__xludf.DUMMYFUNCTION("""COMPUTED_VALUE"""),"Centimeters")</f>
        <v>Centimeters</v>
      </c>
      <c r="G363" s="1" t="str">
        <f ca="1">IFERROR(__xludf.DUMMYFUNCTION("""COMPUTED_VALUE"""),".na")</f>
        <v>.na</v>
      </c>
      <c r="H363" s="1"/>
      <c r="I363" s="1"/>
      <c r="J363" s="1" t="str">
        <f ca="1">IFERROR(__xludf.DUMMYFUNCTION("""COMPUTED_VALUE"""),"Measure from tip of the snout to the opening of the cloaca or tail base at the time of hatching for male, female, and/or unspecified newborn animals.")</f>
        <v>Measure from tip of the snout to the opening of the cloaca or tail base at the time of hatching for male, female, and/or unspecified newborn animals.</v>
      </c>
      <c r="K363" s="1" t="str">
        <f ca="1">IFERROR(__xludf.DUMMYFUNCTION("""COMPUTED_VALUE"""),"B,R, M")</f>
        <v>B,R, M</v>
      </c>
      <c r="L363" s="8" t="str">
        <f ca="1">IFERROR(__xludf.DUMMYFUNCTION("""COMPUTED_VALUE"""),"https://doi.org/10.1890/15-0846R.1")</f>
        <v>https://doi.org/10.1890/15-0846R.1</v>
      </c>
      <c r="M363" s="1" t="str">
        <f ca="1">IFERROR(__xludf.DUMMYFUNCTION("""COMPUTED_VALUE"""),"Myhrvold_2015")</f>
        <v>Myhrvold_2015</v>
      </c>
    </row>
    <row r="364" spans="1:13" ht="13.2">
      <c r="A364" s="1" t="str">
        <f ca="1">IFERROR(__xludf.DUMMYFUNCTION("""COMPUTED_VALUE"""),"female_svl_at_maturity_cm")</f>
        <v>female_svl_at_maturity_cm</v>
      </c>
      <c r="B364" s="1"/>
      <c r="C364" s="1"/>
      <c r="D364" s="1"/>
      <c r="E364" s="1" t="str">
        <f ca="1">IFERROR(__xludf.DUMMYFUNCTION("""COMPUTED_VALUE"""),"numeric")</f>
        <v>numeric</v>
      </c>
      <c r="F364" s="1" t="str">
        <f ca="1">IFERROR(__xludf.DUMMYFUNCTION("""COMPUTED_VALUE"""),"Centimeters")</f>
        <v>Centimeters</v>
      </c>
      <c r="G364" s="1" t="str">
        <f ca="1">IFERROR(__xludf.DUMMYFUNCTION("""COMPUTED_VALUE"""),".na")</f>
        <v>.na</v>
      </c>
      <c r="H364" s="1"/>
      <c r="I364" s="1"/>
      <c r="J364" s="1" t="str">
        <f ca="1">IFERROR(__xludf.DUMMYFUNCTION("""COMPUTED_VALUE"""),"Measure from tip of the snout to the opening of the cloaca or tail base at the time of maturity for females.")</f>
        <v>Measure from tip of the snout to the opening of the cloaca or tail base at the time of maturity for females.</v>
      </c>
      <c r="K364" s="1" t="str">
        <f ca="1">IFERROR(__xludf.DUMMYFUNCTION("""COMPUTED_VALUE"""),"B,R,M")</f>
        <v>B,R,M</v>
      </c>
      <c r="L364" s="8" t="str">
        <f ca="1">IFERROR(__xludf.DUMMYFUNCTION("""COMPUTED_VALUE"""),"https://doi.org/10.1890/15-0846R.1")</f>
        <v>https://doi.org/10.1890/15-0846R.1</v>
      </c>
      <c r="M364" s="1" t="str">
        <f ca="1">IFERROR(__xludf.DUMMYFUNCTION("""COMPUTED_VALUE"""),"Myhrvold_2015")</f>
        <v>Myhrvold_2015</v>
      </c>
    </row>
    <row r="365" spans="1:13" ht="13.2">
      <c r="A365" s="1" t="str">
        <f ca="1">IFERROR(__xludf.DUMMYFUNCTION("""COMPUTED_VALUE"""),"female_body_mass_at_maturity_g")</f>
        <v>female_body_mass_at_maturity_g</v>
      </c>
      <c r="B365" s="1"/>
      <c r="C365" s="1"/>
      <c r="D365" s="1"/>
      <c r="E365" s="1" t="str">
        <f ca="1">IFERROR(__xludf.DUMMYFUNCTION("""COMPUTED_VALUE"""),"numeric")</f>
        <v>numeric</v>
      </c>
      <c r="F365" s="1" t="str">
        <f ca="1">IFERROR(__xludf.DUMMYFUNCTION("""COMPUTED_VALUE"""),"Grams")</f>
        <v>Grams</v>
      </c>
      <c r="G365" s="1" t="str">
        <f ca="1">IFERROR(__xludf.DUMMYFUNCTION("""COMPUTED_VALUE"""),".na")</f>
        <v>.na</v>
      </c>
      <c r="H365" s="1"/>
      <c r="I365" s="1"/>
      <c r="J365" s="1" t="str">
        <f ca="1">IFERROR(__xludf.DUMMYFUNCTION("""COMPUTED_VALUE"""),"Body mass at the time of maturity for females.")</f>
        <v>Body mass at the time of maturity for females.</v>
      </c>
      <c r="K365" s="1" t="str">
        <f ca="1">IFERROR(__xludf.DUMMYFUNCTION("""COMPUTED_VALUE"""),"B,R,M")</f>
        <v>B,R,M</v>
      </c>
      <c r="L365" s="8" t="str">
        <f ca="1">IFERROR(__xludf.DUMMYFUNCTION("""COMPUTED_VALUE"""),"https://doi.org/10.1890/15-0846R.1")</f>
        <v>https://doi.org/10.1890/15-0846R.1</v>
      </c>
      <c r="M365" s="1" t="str">
        <f ca="1">IFERROR(__xludf.DUMMYFUNCTION("""COMPUTED_VALUE"""),"Myhrvold_2015")</f>
        <v>Myhrvold_2015</v>
      </c>
    </row>
    <row r="366" spans="1:13" ht="13.2">
      <c r="A366" s="1" t="str">
        <f ca="1">IFERROR(__xludf.DUMMYFUNCTION("""COMPUTED_VALUE"""),"no_sex_svl_cm")</f>
        <v>no_sex_svl_cm</v>
      </c>
      <c r="B366" s="1"/>
      <c r="C366" s="1"/>
      <c r="D366" s="1"/>
      <c r="E366" s="1" t="str">
        <f ca="1">IFERROR(__xludf.DUMMYFUNCTION("""COMPUTED_VALUE"""),"numeric")</f>
        <v>numeric</v>
      </c>
      <c r="F366" s="1" t="str">
        <f ca="1">IFERROR(__xludf.DUMMYFUNCTION("""COMPUTED_VALUE"""),"Centimeters")</f>
        <v>Centimeters</v>
      </c>
      <c r="G366" s="1" t="str">
        <f ca="1">IFERROR(__xludf.DUMMYFUNCTION("""COMPUTED_VALUE"""),".na")</f>
        <v>.na</v>
      </c>
      <c r="H366" s="1"/>
      <c r="I366" s="1"/>
      <c r="J366" s="1" t="str">
        <f ca="1">IFERROR(__xludf.DUMMYFUNCTION("""COMPUTED_VALUE"""),"Measure from tip of the snout to the opening of the cloaca or tail base for unspecified adults.")</f>
        <v>Measure from tip of the snout to the opening of the cloaca or tail base for unspecified adults.</v>
      </c>
      <c r="K366" s="1" t="str">
        <f ca="1">IFERROR(__xludf.DUMMYFUNCTION("""COMPUTED_VALUE"""),"B,R,M")</f>
        <v>B,R,M</v>
      </c>
      <c r="L366" s="8" t="str">
        <f ca="1">IFERROR(__xludf.DUMMYFUNCTION("""COMPUTED_VALUE"""),"https://doi.org/10.1890/15-0846R.1")</f>
        <v>https://doi.org/10.1890/15-0846R.1</v>
      </c>
      <c r="M366" s="1" t="str">
        <f ca="1">IFERROR(__xludf.DUMMYFUNCTION("""COMPUTED_VALUE"""),"Myhrvold_2015")</f>
        <v>Myhrvold_2015</v>
      </c>
    </row>
    <row r="367" spans="1:13" ht="13.2">
      <c r="A367" s="1" t="str">
        <f ca="1">IFERROR(__xludf.DUMMYFUNCTION("""COMPUTED_VALUE"""),"no_sex_maturity_d")</f>
        <v>no_sex_maturity_d</v>
      </c>
      <c r="B367" s="1"/>
      <c r="C367" s="1"/>
      <c r="D367" s="1"/>
      <c r="E367" s="1" t="str">
        <f ca="1">IFERROR(__xludf.DUMMYFUNCTION("""COMPUTED_VALUE"""),"numeric")</f>
        <v>numeric</v>
      </c>
      <c r="F367" s="1" t="str">
        <f ca="1">IFERROR(__xludf.DUMMYFUNCTION("""COMPUTED_VALUE"""),"Days")</f>
        <v>Days</v>
      </c>
      <c r="G367" s="1" t="str">
        <f ca="1">IFERROR(__xludf.DUMMYFUNCTION("""COMPUTED_VALUE"""),".na")</f>
        <v>.na</v>
      </c>
      <c r="H367" s="1"/>
      <c r="I367" s="1"/>
      <c r="J367" s="1" t="str">
        <f ca="1">IFERROR(__xludf.DUMMYFUNCTION("""COMPUTED_VALUE"""),"Age at sexual maturity for unspecified adults.")</f>
        <v>Age at sexual maturity for unspecified adults.</v>
      </c>
      <c r="K367" s="1" t="str">
        <f ca="1">IFERROR(__xludf.DUMMYFUNCTION("""COMPUTED_VALUE"""),"B,R,M")</f>
        <v>B,R,M</v>
      </c>
      <c r="L367" s="8" t="str">
        <f ca="1">IFERROR(__xludf.DUMMYFUNCTION("""COMPUTED_VALUE"""),"https://doi.org/10.1890/15-0846R.1")</f>
        <v>https://doi.org/10.1890/15-0846R.1</v>
      </c>
      <c r="M367" s="1" t="str">
        <f ca="1">IFERROR(__xludf.DUMMYFUNCTION("""COMPUTED_VALUE"""),"Myhrvold_2015")</f>
        <v>Myhrvold_2015</v>
      </c>
    </row>
    <row r="368" spans="1:13" ht="13.2">
      <c r="A368" s="1" t="str">
        <f ca="1">IFERROR(__xludf.DUMMYFUNCTION("IMPORTRANGE(""https://docs.google.com/spreadsheets/d/1BCbdmKz-Qgtt7rB_ylKiWolmoC4I0weZUT_oqDACokI/edit?gid=768397710#gid=768397710"", ""'Gonçalvez_2018'!D3:P10"")"),"body_mass")</f>
        <v>body_mass</v>
      </c>
      <c r="B368" s="1"/>
      <c r="C368" s="1"/>
      <c r="D368" s="1"/>
      <c r="E368" s="1" t="str">
        <f ca="1">IFERROR(__xludf.DUMMYFUNCTION("""COMPUTED_VALUE"""),"numeric")</f>
        <v>numeric</v>
      </c>
      <c r="F368" s="1" t="str">
        <f ca="1">IFERROR(__xludf.DUMMYFUNCTION("""COMPUTED_VALUE"""),"g")</f>
        <v>g</v>
      </c>
      <c r="G368" s="1" t="str">
        <f ca="1">IFERROR(__xludf.DUMMYFUNCTION("""COMPUTED_VALUE"""),".na")</f>
        <v>.na</v>
      </c>
      <c r="H368" s="1"/>
      <c r="I368" s="1"/>
      <c r="J368" s="1" t="str">
        <f ca="1">IFERROR(__xludf.DUMMYFUNCTION("""COMPUTED_VALUE"""),"Value derived from the mass (weight) in grams")</f>
        <v>Value derived from the mass (weight) in grams</v>
      </c>
      <c r="K368" s="1"/>
      <c r="L368" s="8" t="str">
        <f ca="1">IFERROR(__xludf.DUMMYFUNCTION("""COMPUTED_VALUE"""),"https://doi.org/10.1002/ecy.2106")</f>
        <v>https://doi.org/10.1002/ecy.2106</v>
      </c>
      <c r="M368" s="1" t="str">
        <f ca="1">IFERROR(__xludf.DUMMYFUNCTION("""COMPUTED_VALUE"""),"Gonçalvez_2018")</f>
        <v>Gonçalvez_2018</v>
      </c>
    </row>
    <row r="369" spans="1:14" ht="13.2">
      <c r="A369" s="1" t="str">
        <f ca="1">IFERROR(__xludf.DUMMYFUNCTION("""COMPUTED_VALUE"""),"body_length")</f>
        <v>body_length</v>
      </c>
      <c r="B369" s="1"/>
      <c r="C369" s="1"/>
      <c r="D369" s="1"/>
      <c r="E369" s="1" t="str">
        <f ca="1">IFERROR(__xludf.DUMMYFUNCTION("""COMPUTED_VALUE"""),"numeric")</f>
        <v>numeric</v>
      </c>
      <c r="F369" s="1" t="str">
        <f ca="1">IFERROR(__xludf.DUMMYFUNCTION("""COMPUTED_VALUE"""),"mm")</f>
        <v>mm</v>
      </c>
      <c r="G369" s="1" t="str">
        <f ca="1">IFERROR(__xludf.DUMMYFUNCTION("""COMPUTED_VALUE"""),".na")</f>
        <v>.na</v>
      </c>
      <c r="H369" s="1"/>
      <c r="I369" s="1"/>
      <c r="J369" s="1" t="str">
        <f ca="1">IFERROR(__xludf.DUMMYFUNCTION("""COMPUTED_VALUE"""),"Extended dimension of an individual included body and head and measured in centimeters")</f>
        <v>Extended dimension of an individual included body and head and measured in centimeters</v>
      </c>
      <c r="K369" s="1"/>
      <c r="L369" s="8" t="str">
        <f ca="1">IFERROR(__xludf.DUMMYFUNCTION("""COMPUTED_VALUE"""),"https://doi.org/10.1002/ecy.2106")</f>
        <v>https://doi.org/10.1002/ecy.2106</v>
      </c>
      <c r="M369" s="1" t="str">
        <f ca="1">IFERROR(__xludf.DUMMYFUNCTION("""COMPUTED_VALUE"""),"Gonçalvez_2018")</f>
        <v>Gonçalvez_2018</v>
      </c>
    </row>
    <row r="370" spans="1:14" ht="13.2">
      <c r="A370" s="1" t="str">
        <f ca="1">IFERROR(__xludf.DUMMYFUNCTION("""COMPUTED_VALUE"""),"tail_length")</f>
        <v>tail_length</v>
      </c>
      <c r="B370" s="1"/>
      <c r="C370" s="1"/>
      <c r="D370" s="1"/>
      <c r="E370" s="1" t="str">
        <f ca="1">IFERROR(__xludf.DUMMYFUNCTION("""COMPUTED_VALUE"""),"numeric")</f>
        <v>numeric</v>
      </c>
      <c r="F370" s="1" t="str">
        <f ca="1">IFERROR(__xludf.DUMMYFUNCTION("""COMPUTED_VALUE"""),"cm")</f>
        <v>cm</v>
      </c>
      <c r="G370" s="1" t="str">
        <f ca="1">IFERROR(__xludf.DUMMYFUNCTION("""COMPUTED_VALUE"""),".na")</f>
        <v>.na</v>
      </c>
      <c r="H370" s="1"/>
      <c r="I370" s="1"/>
      <c r="J370" s="1" t="str">
        <f ca="1">IFERROR(__xludf.DUMMYFUNCTION("""COMPUTED_VALUE"""),"The dimension of tail measured in centimeters")</f>
        <v>The dimension of tail measured in centimeters</v>
      </c>
      <c r="K370" s="1"/>
      <c r="L370" s="8" t="str">
        <f ca="1">IFERROR(__xludf.DUMMYFUNCTION("""COMPUTED_VALUE"""),"https://doi.org/10.1002/ecy.2106")</f>
        <v>https://doi.org/10.1002/ecy.2106</v>
      </c>
      <c r="M370" s="1" t="str">
        <f ca="1">IFERROR(__xludf.DUMMYFUNCTION("""COMPUTED_VALUE"""),"Gonçalvez_2018")</f>
        <v>Gonçalvez_2018</v>
      </c>
    </row>
    <row r="371" spans="1:14" ht="13.2">
      <c r="A371" s="1" t="str">
        <f ca="1">IFERROR(__xludf.DUMMYFUNCTION("""COMPUTED_VALUE"""),"forearm")</f>
        <v>forearm</v>
      </c>
      <c r="B371" s="1"/>
      <c r="C371" s="1"/>
      <c r="D371" s="1"/>
      <c r="E371" s="1" t="str">
        <f ca="1">IFERROR(__xludf.DUMMYFUNCTION("""COMPUTED_VALUE"""),"numeric")</f>
        <v>numeric</v>
      </c>
      <c r="F371" s="1" t="str">
        <f ca="1">IFERROR(__xludf.DUMMYFUNCTION("""COMPUTED_VALUE"""),"mm")</f>
        <v>mm</v>
      </c>
      <c r="G371" s="1" t="str">
        <f ca="1">IFERROR(__xludf.DUMMYFUNCTION("""COMPUTED_VALUE"""),".na")</f>
        <v>.na</v>
      </c>
      <c r="H371" s="1"/>
      <c r="I371" s="1"/>
      <c r="J371" s="1" t="str">
        <f ca="1">IFERROR(__xludf.DUMMYFUNCTION("""COMPUTED_VALUE"""),"The dimension of forearm measured in millimeters")</f>
        <v>The dimension of forearm measured in millimeters</v>
      </c>
      <c r="K371" s="1"/>
      <c r="L371" s="8" t="str">
        <f ca="1">IFERROR(__xludf.DUMMYFUNCTION("""COMPUTED_VALUE"""),"https://doi.org/10.1002/ecy.2106")</f>
        <v>https://doi.org/10.1002/ecy.2106</v>
      </c>
      <c r="M371" s="1" t="str">
        <f ca="1">IFERROR(__xludf.DUMMYFUNCTION("""COMPUTED_VALUE"""),"Gonçalvez_2018")</f>
        <v>Gonçalvez_2018</v>
      </c>
    </row>
    <row r="372" spans="1:14" ht="13.2">
      <c r="A372" s="1" t="str">
        <f ca="1">IFERROR(__xludf.DUMMYFUNCTION("""COMPUTED_VALUE"""),"age")</f>
        <v>age</v>
      </c>
      <c r="B372" s="1"/>
      <c r="C372" s="1"/>
      <c r="D372" s="1"/>
      <c r="E372" s="1" t="str">
        <f ca="1">IFERROR(__xludf.DUMMYFUNCTION("""COMPUTED_VALUE"""),"categorical")</f>
        <v>categorical</v>
      </c>
      <c r="F372" s="1" t="str">
        <f ca="1">IFERROR(__xludf.DUMMYFUNCTION("""COMPUTED_VALUE"""),".na")</f>
        <v>.na</v>
      </c>
      <c r="G372" s="1" t="str">
        <f ca="1">IFERROR(__xludf.DUMMYFUNCTION("""COMPUTED_VALUE"""),"adult, juvenile")</f>
        <v>adult, juvenile</v>
      </c>
      <c r="H372" s="1" t="str">
        <f ca="1">IFERROR(__xludf.DUMMYFUNCTION("""COMPUTED_VALUE"""),".na")</f>
        <v>.na</v>
      </c>
      <c r="I372" s="1" t="str">
        <f ca="1">IFERROR(__xludf.DUMMYFUNCTION("""COMPUTED_VALUE"""),".na")</f>
        <v>.na</v>
      </c>
      <c r="J372" s="1" t="str">
        <f ca="1">IFERROR(__xludf.DUMMYFUNCTION("""COMPUTED_VALUE"""),"Age of the specimens")</f>
        <v>Age of the specimens</v>
      </c>
      <c r="K372" s="1"/>
      <c r="L372" s="8" t="str">
        <f ca="1">IFERROR(__xludf.DUMMYFUNCTION("""COMPUTED_VALUE"""),"https://doi.org/10.1002/ecy.2106")</f>
        <v>https://doi.org/10.1002/ecy.2106</v>
      </c>
      <c r="M372" s="1" t="str">
        <f ca="1">IFERROR(__xludf.DUMMYFUNCTION("""COMPUTED_VALUE"""),"Gonçalvez_2018")</f>
        <v>Gonçalvez_2018</v>
      </c>
    </row>
    <row r="373" spans="1:14" ht="13.2">
      <c r="A373" s="1" t="str">
        <f ca="1">IFERROR(__xludf.DUMMYFUNCTION("""COMPUTED_VALUE"""),"sex")</f>
        <v>sex</v>
      </c>
      <c r="B373" s="1"/>
      <c r="C373" s="1"/>
      <c r="D373" s="1"/>
      <c r="E373" s="1" t="str">
        <f ca="1">IFERROR(__xludf.DUMMYFUNCTION("""COMPUTED_VALUE"""),"categorical")</f>
        <v>categorical</v>
      </c>
      <c r="F373" s="1" t="str">
        <f ca="1">IFERROR(__xludf.DUMMYFUNCTION("""COMPUTED_VALUE"""),".na")</f>
        <v>.na</v>
      </c>
      <c r="G373" s="1" t="str">
        <f ca="1">IFERROR(__xludf.DUMMYFUNCTION("""COMPUTED_VALUE"""),"male, female")</f>
        <v>male, female</v>
      </c>
      <c r="H373" s="1" t="str">
        <f ca="1">IFERROR(__xludf.DUMMYFUNCTION("""COMPUTED_VALUE"""),".na")</f>
        <v>.na</v>
      </c>
      <c r="I373" s="1" t="str">
        <f ca="1">IFERROR(__xludf.DUMMYFUNCTION("""COMPUTED_VALUE"""),".na")</f>
        <v>.na</v>
      </c>
      <c r="J373" s="1" t="str">
        <f ca="1">IFERROR(__xludf.DUMMYFUNCTION("""COMPUTED_VALUE"""),"Sex of the specimens")</f>
        <v>Sex of the specimens</v>
      </c>
      <c r="K373" s="1"/>
      <c r="L373" s="8" t="str">
        <f ca="1">IFERROR(__xludf.DUMMYFUNCTION("""COMPUTED_VALUE"""),"https://doi.org/10.1002/ecy.2106")</f>
        <v>https://doi.org/10.1002/ecy.2106</v>
      </c>
      <c r="M373" s="1" t="str">
        <f ca="1">IFERROR(__xludf.DUMMYFUNCTION("""COMPUTED_VALUE"""),"Gonçalvez_2018")</f>
        <v>Gonçalvez_2018</v>
      </c>
    </row>
    <row r="374" spans="1:14" ht="13.2">
      <c r="A374" s="1" t="str">
        <f ca="1">IFERROR(__xludf.DUMMYFUNCTION("""COMPUTED_VALUE"""),"reproductive_stage")</f>
        <v>reproductive_stage</v>
      </c>
      <c r="B374" s="1"/>
      <c r="C374" s="1"/>
      <c r="D374" s="1"/>
      <c r="E374" s="1" t="str">
        <f ca="1">IFERROR(__xludf.DUMMYFUNCTION("""COMPUTED_VALUE"""),"categorical")</f>
        <v>categorical</v>
      </c>
      <c r="F374" s="1" t="str">
        <f ca="1">IFERROR(__xludf.DUMMYFUNCTION("""COMPUTED_VALUE"""),".na")</f>
        <v>.na</v>
      </c>
      <c r="G374" s="1" t="str">
        <f ca="1">IFERROR(__xludf.DUMMYFUNCTION("""COMPUTED_VALUE"""),"pregnant, scroted")</f>
        <v>pregnant, scroted</v>
      </c>
      <c r="H374" s="1" t="str">
        <f ca="1">IFERROR(__xludf.DUMMYFUNCTION("""COMPUTED_VALUE"""),".na")</f>
        <v>.na</v>
      </c>
      <c r="I374" s="1" t="str">
        <f ca="1">IFERROR(__xludf.DUMMYFUNCTION("""COMPUTED_VALUE"""),".na")</f>
        <v>.na</v>
      </c>
      <c r="J374" s="1" t="str">
        <f ca="1">IFERROR(__xludf.DUMMYFUNCTION("""COMPUTED_VALUE"""),"Reproductive stage of the specimens")</f>
        <v>Reproductive stage of the specimens</v>
      </c>
      <c r="K374" s="1"/>
      <c r="L374" s="8" t="str">
        <f ca="1">IFERROR(__xludf.DUMMYFUNCTION("""COMPUTED_VALUE"""),"https://doi.org/10.1002/ecy.2106")</f>
        <v>https://doi.org/10.1002/ecy.2106</v>
      </c>
      <c r="M374" s="1" t="str">
        <f ca="1">IFERROR(__xludf.DUMMYFUNCTION("""COMPUTED_VALUE"""),"Gonçalvez_2018")</f>
        <v>Gonçalvez_2018</v>
      </c>
    </row>
    <row r="375" spans="1:14" ht="13.2">
      <c r="A375" s="1" t="str">
        <f ca="1">IFERROR(__xludf.DUMMYFUNCTION("""COMPUTED_VALUE"""),"status")</f>
        <v>status</v>
      </c>
      <c r="B375" s="1"/>
      <c r="C375" s="1"/>
      <c r="D375" s="1"/>
      <c r="E375" s="1" t="str">
        <f ca="1">IFERROR(__xludf.DUMMYFUNCTION("""COMPUTED_VALUE"""),"categorical")</f>
        <v>categorical</v>
      </c>
      <c r="F375" s="1" t="str">
        <f ca="1">IFERROR(__xludf.DUMMYFUNCTION("""COMPUTED_VALUE"""),".na")</f>
        <v>.na</v>
      </c>
      <c r="G375" s="1" t="str">
        <f ca="1">IFERROR(__xludf.DUMMYFUNCTION("""COMPUTED_VALUE"""),"dead, alive")</f>
        <v>dead, alive</v>
      </c>
      <c r="H375" s="1" t="str">
        <f ca="1">IFERROR(__xludf.DUMMYFUNCTION("""COMPUTED_VALUE"""),".na")</f>
        <v>.na</v>
      </c>
      <c r="I375" s="1" t="str">
        <f ca="1">IFERROR(__xludf.DUMMYFUNCTION("""COMPUTED_VALUE"""),".na")</f>
        <v>.na</v>
      </c>
      <c r="J375" s="1" t="str">
        <f ca="1">IFERROR(__xludf.DUMMYFUNCTION("""COMPUTED_VALUE"""),"Status of individual when measured")</f>
        <v>Status of individual when measured</v>
      </c>
      <c r="K375" s="1"/>
      <c r="L375" s="8" t="str">
        <f ca="1">IFERROR(__xludf.DUMMYFUNCTION("""COMPUTED_VALUE"""),"https://doi.org/10.1002/ecy.2106")</f>
        <v>https://doi.org/10.1002/ecy.2106</v>
      </c>
      <c r="M375" s="1" t="str">
        <f ca="1">IFERROR(__xludf.DUMMYFUNCTION("""COMPUTED_VALUE"""),"Gonçalvez_2018")</f>
        <v>Gonçalvez_2018</v>
      </c>
    </row>
    <row r="376" spans="1:14" ht="13.2">
      <c r="A376" s="1" t="str">
        <f ca="1">IFERROR(__xludf.DUMMYFUNCTION("IMPORTRANGE(""https://docs.google.com/spreadsheets/d/1BCbdmKz-Qgtt7rB_ylKiWolmoC4I0weZUT_oqDACokI/edit?gid=1169672771#gid=1169672771"", ""Geiselman_2020!D3:Q4"")"),"Type")</f>
        <v>Type</v>
      </c>
      <c r="B376" s="1"/>
      <c r="C376" s="1"/>
      <c r="D376" s="1"/>
      <c r="E376" s="1" t="str">
        <f ca="1">IFERROR(__xludf.DUMMYFUNCTION("""COMPUTED_VALUE"""),"categorical")</f>
        <v>categorical</v>
      </c>
      <c r="F376" s="1" t="str">
        <f ca="1">IFERROR(__xludf.DUMMYFUNCTION("""COMPUTED_VALUE"""),".na")</f>
        <v>.na</v>
      </c>
      <c r="G376" s="1" t="str">
        <f ca="1">IFERROR(__xludf.DUMMYFUNCTION("""COMPUTED_VALUE"""),"Visitation, Seed Dispersal, Pollination, Consumption, Roost, Host, Predation, Cohabitation, Transport")</f>
        <v>Visitation, Seed Dispersal, Pollination, Consumption, Roost, Host, Predation, Cohabitation, Transport</v>
      </c>
      <c r="H376" s="1" t="str">
        <f ca="1">IFERROR(__xludf.DUMMYFUNCTION("""COMPUTED_VALUE"""),".na")</f>
        <v>.na</v>
      </c>
      <c r="I376" s="1" t="str">
        <f ca="1">IFERROR(__xludf.DUMMYFUNCTION("""COMPUTED_VALUE"""),".na")</f>
        <v>.na</v>
      </c>
      <c r="J376" s="1" t="str">
        <f ca="1">IFERROR(__xludf.DUMMYFUNCTION("""COMPUTED_VALUE"""),"This database only contains accounts of bats interacting with other organisms and not hypotheses that they might (e.g. a flower has chiropterophilious features). We report what is published and do not assume that every visit to a flower results in pollina"&amp;"tion or that every fruit eaten results in seed dispersal. We do assume that every object that is consumed is destroyed in the process.")</f>
        <v>This database only contains accounts of bats interacting with other organisms and not hypotheses that they might (e.g. a flower has chiropterophilious features). We report what is published and do not assume that every visit to a flower results in pollination or that every fruit eaten results in seed dispersal. We do assume that every object that is consumed is destroyed in the process.</v>
      </c>
      <c r="K376" s="1" t="str">
        <f ca="1">IFERROR(__xludf.DUMMYFUNCTION("""COMPUTED_VALUE"""),"Interactions are witnessed by the author(s) or recorded via photo, video, or bat detector. In order to distinguish between interaction types, additional confirmation from evidence in fecal samples, stomachs, exclusion experiments, etc., may be necessary. "&amp;"If the author(s) cite an interaction from another publication, it is tagged as “secondary”.")</f>
        <v>Interactions are witnessed by the author(s) or recorded via photo, video, or bat detector. In order to distinguish between interaction types, additional confirmation from evidence in fecal samples, stomachs, exclusion experiments, etc., may be necessary. If the author(s) cite an interaction from another publication, it is tagged as “secondary”.</v>
      </c>
      <c r="L376" s="1" t="str">
        <f ca="1">IFERROR(__xludf.DUMMYFUNCTION("""COMPUTED_VALUE"""),"Geiselman, C. K., &amp; Younger, S. (2020). Bat Eco-Interactions Database.")</f>
        <v>Geiselman, C. K., &amp; Younger, S. (2020). Bat Eco-Interactions Database.</v>
      </c>
      <c r="M376" s="1" t="str">
        <f ca="1">IFERROR(__xludf.DUMMYFUNCTION("""COMPUTED_VALUE"""),"Geiselman_2020")</f>
        <v>Geiselman_2020</v>
      </c>
      <c r="N376" s="1"/>
    </row>
    <row r="377" spans="1:14" ht="13.2">
      <c r="A377" s="1" t="str">
        <f ca="1">IFERROR(__xludf.DUMMYFUNCTION("""COMPUTED_VALUE"""),"Habitat")</f>
        <v>Habitat</v>
      </c>
      <c r="B377" s="1"/>
      <c r="C377" s="1"/>
      <c r="D377" s="1"/>
      <c r="E377" s="1" t="str">
        <f ca="1">IFERROR(__xludf.DUMMYFUNCTION("""COMPUTED_VALUE"""),"categorical")</f>
        <v>categorical</v>
      </c>
      <c r="F377" s="1" t="str">
        <f ca="1">IFERROR(__xludf.DUMMYFUNCTION("""COMPUTED_VALUE"""),".na")</f>
        <v>.na</v>
      </c>
      <c r="G377" s="1" t="str">
        <f ca="1">IFERROR(__xludf.DUMMYFUNCTION("""COMPUTED_VALUE"""),"Forest, Wetlands, Artificial Landscape, Caves and Subterranean Areas, Rocky Areas, Savanna, Desert, Shrubland, Grassland, Captivity")</f>
        <v>Forest, Wetlands, Artificial Landscape, Caves and Subterranean Areas, Rocky Areas, Savanna, Desert, Shrubland, Grassland, Captivity</v>
      </c>
      <c r="H377" s="1" t="str">
        <f ca="1">IFERROR(__xludf.DUMMYFUNCTION("""COMPUTED_VALUE"""),".na")</f>
        <v>.na</v>
      </c>
      <c r="I377" s="1" t="str">
        <f ca="1">IFERROR(__xludf.DUMMYFUNCTION("""COMPUTED_VALUE"""),".na")</f>
        <v>.na</v>
      </c>
      <c r="J377" s="1" t="str">
        <f ca="1">IFERROR(__xludf.DUMMYFUNCTION("""COMPUTED_VALUE"""),"The terrestrial habitat types used by this database are listed below and are the standard terms used in the IUCN Red List Habitats Authority File (Version 3.0). For more information please see IUCN Habitats Classification Scheme.")</f>
        <v>The terrestrial habitat types used by this database are listed below and are the standard terms used in the IUCN Red List Habitats Authority File (Version 3.0). For more information please see IUCN Habitats Classification Scheme.</v>
      </c>
      <c r="K377" s="1" t="str">
        <f ca="1">IFERROR(__xludf.DUMMYFUNCTION("""COMPUTED_VALUE"""),"It is acknowledged that the classification scheme used here may not be entirely satisfactory, but it provides a standardization of habitat types for analytical purposes. This database only report data as it is published and does not make changes or evalua"&amp;"tes accuracy of the species accounts. ")</f>
        <v xml:space="preserve">It is acknowledged that the classification scheme used here may not be entirely satisfactory, but it provides a standardization of habitat types for analytical purposes. This database only report data as it is published and does not make changes or evaluates accuracy of the species accounts. </v>
      </c>
      <c r="L377" s="1" t="str">
        <f ca="1">IFERROR(__xludf.DUMMYFUNCTION("""COMPUTED_VALUE"""),"Geiselman, C. K., &amp; Younger, S. (2020). Bat Eco-Interactions Database.")</f>
        <v>Geiselman, C. K., &amp; Younger, S. (2020). Bat Eco-Interactions Database.</v>
      </c>
      <c r="M377" s="1" t="str">
        <f ca="1">IFERROR(__xludf.DUMMYFUNCTION("""COMPUTED_VALUE"""),"Geiselman_2020")</f>
        <v>Geiselman_2020</v>
      </c>
      <c r="N377" s="1"/>
    </row>
    <row r="378" spans="1:14" ht="13.2">
      <c r="A378" s="1" t="str">
        <f ca="1">IFERROR(__xludf.DUMMYFUNCTION("IMPORTRANGE(""https://docs.google.com/spreadsheets/d/1BCbdmKz-Qgtt7rB_ylKiWolmoC4I0weZUT_oqDACokI/edit?gid=108978191#gid=108978191"", ""Tanalgo_2022!D3:P39"")"),"Forest")</f>
        <v>Forest</v>
      </c>
      <c r="B378" s="1" t="str">
        <f ca="1">IFERROR(__xludf.DUMMYFUNCTION("""COMPUTED_VALUE"""),"Habitat preference")</f>
        <v>Habitat preference</v>
      </c>
      <c r="C378" s="1"/>
      <c r="D378" s="1"/>
      <c r="E378" s="1" t="str">
        <f ca="1">IFERROR(__xludf.DUMMYFUNCTION("""COMPUTED_VALUE"""),"binomial")</f>
        <v>binomial</v>
      </c>
      <c r="F378" s="1" t="str">
        <f ca="1">IFERROR(__xludf.DUMMYFUNCTION("""COMPUTED_VALUE"""),".na")</f>
        <v>.na</v>
      </c>
      <c r="G378" s="1" t="str">
        <f ca="1">IFERROR(__xludf.DUMMYFUNCTION("""COMPUTED_VALUE"""),"Yes = 1, No = 0")</f>
        <v>Yes = 1, No = 0</v>
      </c>
      <c r="H378" s="1" t="str">
        <f ca="1">IFERROR(__xludf.DUMMYFUNCTION("""COMPUTED_VALUE"""),".na")</f>
        <v>.na</v>
      </c>
      <c r="I378" s="1" t="str">
        <f ca="1">IFERROR(__xludf.DUMMYFUNCTION("""COMPUTED_VALUE"""),".na")</f>
        <v>.na</v>
      </c>
      <c r="J378" s="1" t="str">
        <f ca="1">IFERROR(__xludf.DUMMYFUNCTION("""COMPUTED_VALUE"""),"We described species’ major habitat breadth based on IUCN Level 1 classification https://www.iucnredlist.org/resources/habitat-classification-scheme (Caves, Forests, Savanna, Desert, Urban, Artificial, and Wetlands).")</f>
        <v>We described species’ major habitat breadth based on IUCN Level 1 classification https://www.iucnredlist.org/resources/habitat-classification-scheme (Caves, Forests, Savanna, Desert, Urban, Artificial, and Wetlands).</v>
      </c>
      <c r="K378" s="1"/>
      <c r="L378" s="8" t="str">
        <f ca="1">IFERROR(__xludf.DUMMYFUNCTION("""COMPUTED_VALUE"""),"https://doi.org/10.1038/s41597-022-01234-4")</f>
        <v>https://doi.org/10.1038/s41597-022-01234-4</v>
      </c>
      <c r="M378" s="1" t="str">
        <f ca="1">IFERROR(__xludf.DUMMYFUNCTION("""COMPUTED_VALUE"""),"Tanalgo_2022")</f>
        <v>Tanalgo_2022</v>
      </c>
    </row>
    <row r="379" spans="1:14" ht="13.2">
      <c r="A379" s="1" t="str">
        <f ca="1">IFERROR(__xludf.DUMMYFUNCTION("""COMPUTED_VALUE"""),"Savanna")</f>
        <v>Savanna</v>
      </c>
      <c r="B379" s="1" t="str">
        <f ca="1">IFERROR(__xludf.DUMMYFUNCTION("""COMPUTED_VALUE"""),"Habitat preference")</f>
        <v>Habitat preference</v>
      </c>
      <c r="C379" s="1"/>
      <c r="D379" s="1"/>
      <c r="E379" s="1" t="str">
        <f ca="1">IFERROR(__xludf.DUMMYFUNCTION("""COMPUTED_VALUE"""),"binomial")</f>
        <v>binomial</v>
      </c>
      <c r="F379" s="1" t="str">
        <f ca="1">IFERROR(__xludf.DUMMYFUNCTION("""COMPUTED_VALUE"""),".na")</f>
        <v>.na</v>
      </c>
      <c r="G379" s="1" t="str">
        <f ca="1">IFERROR(__xludf.DUMMYFUNCTION("""COMPUTED_VALUE"""),"Yes = 1, No = 0")</f>
        <v>Yes = 1, No = 0</v>
      </c>
      <c r="H379" s="1" t="str">
        <f ca="1">IFERROR(__xludf.DUMMYFUNCTION("""COMPUTED_VALUE"""),".na")</f>
        <v>.na</v>
      </c>
      <c r="I379" s="1" t="str">
        <f ca="1">IFERROR(__xludf.DUMMYFUNCTION("""COMPUTED_VALUE"""),".na")</f>
        <v>.na</v>
      </c>
      <c r="J379" s="1" t="str">
        <f ca="1">IFERROR(__xludf.DUMMYFUNCTION("""COMPUTED_VALUE"""),"We described species’ major habitat breadth based on IUCN Level 1 classification https://www.iucnredlist.org/resources/habitat-classification-scheme (Caves, Forests, Savanna, Desert, Urban, Artificial, and Wetlands).")</f>
        <v>We described species’ major habitat breadth based on IUCN Level 1 classification https://www.iucnredlist.org/resources/habitat-classification-scheme (Caves, Forests, Savanna, Desert, Urban, Artificial, and Wetlands).</v>
      </c>
      <c r="K379" s="1"/>
      <c r="L379" s="8" t="str">
        <f ca="1">IFERROR(__xludf.DUMMYFUNCTION("""COMPUTED_VALUE"""),"https://doi.org/10.1038/s41597-022-01234-4")</f>
        <v>https://doi.org/10.1038/s41597-022-01234-4</v>
      </c>
      <c r="M379" s="1" t="str">
        <f ca="1">IFERROR(__xludf.DUMMYFUNCTION("""COMPUTED_VALUE"""),"Tanalgo_2022")</f>
        <v>Tanalgo_2022</v>
      </c>
    </row>
    <row r="380" spans="1:14" ht="13.2">
      <c r="A380" s="1" t="str">
        <f ca="1">IFERROR(__xludf.DUMMYFUNCTION("""COMPUTED_VALUE"""),"Desert")</f>
        <v>Desert</v>
      </c>
      <c r="B380" s="1" t="str">
        <f ca="1">IFERROR(__xludf.DUMMYFUNCTION("""COMPUTED_VALUE"""),"Habitat preference")</f>
        <v>Habitat preference</v>
      </c>
      <c r="C380" s="1"/>
      <c r="D380" s="1"/>
      <c r="E380" s="1" t="str">
        <f ca="1">IFERROR(__xludf.DUMMYFUNCTION("""COMPUTED_VALUE"""),"binomial")</f>
        <v>binomial</v>
      </c>
      <c r="F380" s="1" t="str">
        <f ca="1">IFERROR(__xludf.DUMMYFUNCTION("""COMPUTED_VALUE"""),".na")</f>
        <v>.na</v>
      </c>
      <c r="G380" s="1" t="str">
        <f ca="1">IFERROR(__xludf.DUMMYFUNCTION("""COMPUTED_VALUE"""),"Yes = 1, No = 0")</f>
        <v>Yes = 1, No = 0</v>
      </c>
      <c r="H380" s="1" t="str">
        <f ca="1">IFERROR(__xludf.DUMMYFUNCTION("""COMPUTED_VALUE"""),".na")</f>
        <v>.na</v>
      </c>
      <c r="I380" s="1" t="str">
        <f ca="1">IFERROR(__xludf.DUMMYFUNCTION("""COMPUTED_VALUE"""),".na")</f>
        <v>.na</v>
      </c>
      <c r="J380" s="1" t="str">
        <f ca="1">IFERROR(__xludf.DUMMYFUNCTION("""COMPUTED_VALUE"""),"We described species’ major habitat breadth based on IUCN Level 1 classification https://www.iucnredlist.org/resources/habitat-classification-scheme (Caves, Forests, Savanna, Desert, Urban, Artificial, and Wetlands).")</f>
        <v>We described species’ major habitat breadth based on IUCN Level 1 classification https://www.iucnredlist.org/resources/habitat-classification-scheme (Caves, Forests, Savanna, Desert, Urban, Artificial, and Wetlands).</v>
      </c>
      <c r="K380" s="1"/>
      <c r="L380" s="8" t="str">
        <f ca="1">IFERROR(__xludf.DUMMYFUNCTION("""COMPUTED_VALUE"""),"https://doi.org/10.1038/s41597-022-01234-4")</f>
        <v>https://doi.org/10.1038/s41597-022-01234-4</v>
      </c>
      <c r="M380" s="1" t="str">
        <f ca="1">IFERROR(__xludf.DUMMYFUNCTION("""COMPUTED_VALUE"""),"Tanalgo_2022")</f>
        <v>Tanalgo_2022</v>
      </c>
    </row>
    <row r="381" spans="1:14" ht="13.2">
      <c r="A381" s="1" t="str">
        <f ca="1">IFERROR(__xludf.DUMMYFUNCTION("""COMPUTED_VALUE"""),"Urban")</f>
        <v>Urban</v>
      </c>
      <c r="B381" s="1" t="str">
        <f ca="1">IFERROR(__xludf.DUMMYFUNCTION("""COMPUTED_VALUE"""),"Habitat preference")</f>
        <v>Habitat preference</v>
      </c>
      <c r="C381" s="1"/>
      <c r="D381" s="1"/>
      <c r="E381" s="1" t="str">
        <f ca="1">IFERROR(__xludf.DUMMYFUNCTION("""COMPUTED_VALUE"""),"binomial")</f>
        <v>binomial</v>
      </c>
      <c r="F381" s="1" t="str">
        <f ca="1">IFERROR(__xludf.DUMMYFUNCTION("""COMPUTED_VALUE"""),".na")</f>
        <v>.na</v>
      </c>
      <c r="G381" s="1" t="str">
        <f ca="1">IFERROR(__xludf.DUMMYFUNCTION("""COMPUTED_VALUE"""),"Yes = 1, No = 0")</f>
        <v>Yes = 1, No = 0</v>
      </c>
      <c r="H381" s="1" t="str">
        <f ca="1">IFERROR(__xludf.DUMMYFUNCTION("""COMPUTED_VALUE"""),".na")</f>
        <v>.na</v>
      </c>
      <c r="I381" s="1" t="str">
        <f ca="1">IFERROR(__xludf.DUMMYFUNCTION("""COMPUTED_VALUE"""),".na")</f>
        <v>.na</v>
      </c>
      <c r="J381" s="1" t="str">
        <f ca="1">IFERROR(__xludf.DUMMYFUNCTION("""COMPUTED_VALUE"""),"We described species’ major habitat breadth based on IUCN Level 1 classification https://www.iucnredlist.org/resources/habitat-classification-scheme (Caves, Forests, Savanna, Desert, Urban, Artificial, and Wetlands).")</f>
        <v>We described species’ major habitat breadth based on IUCN Level 1 classification https://www.iucnredlist.org/resources/habitat-classification-scheme (Caves, Forests, Savanna, Desert, Urban, Artificial, and Wetlands).</v>
      </c>
      <c r="K381" s="1"/>
      <c r="L381" s="8" t="str">
        <f ca="1">IFERROR(__xludf.DUMMYFUNCTION("""COMPUTED_VALUE"""),"https://doi.org/10.1038/s41597-022-01234-4")</f>
        <v>https://doi.org/10.1038/s41597-022-01234-4</v>
      </c>
      <c r="M381" s="1" t="str">
        <f ca="1">IFERROR(__xludf.DUMMYFUNCTION("""COMPUTED_VALUE"""),"Tanalgo_2022")</f>
        <v>Tanalgo_2022</v>
      </c>
    </row>
    <row r="382" spans="1:14" ht="13.2">
      <c r="A382" s="1" t="str">
        <f ca="1">IFERROR(__xludf.DUMMYFUNCTION("""COMPUTED_VALUE"""),"Underground")</f>
        <v>Underground</v>
      </c>
      <c r="B382" s="1" t="str">
        <f ca="1">IFERROR(__xludf.DUMMYFUNCTION("""COMPUTED_VALUE"""),"Habitat preference")</f>
        <v>Habitat preference</v>
      </c>
      <c r="C382" s="1"/>
      <c r="D382" s="1"/>
      <c r="E382" s="1" t="str">
        <f ca="1">IFERROR(__xludf.DUMMYFUNCTION("""COMPUTED_VALUE"""),"binomial")</f>
        <v>binomial</v>
      </c>
      <c r="F382" s="1" t="str">
        <f ca="1">IFERROR(__xludf.DUMMYFUNCTION("""COMPUTED_VALUE"""),".na")</f>
        <v>.na</v>
      </c>
      <c r="G382" s="1" t="str">
        <f ca="1">IFERROR(__xludf.DUMMYFUNCTION("""COMPUTED_VALUE"""),"Yes = 1, No = 0")</f>
        <v>Yes = 1, No = 0</v>
      </c>
      <c r="H382" s="1" t="str">
        <f ca="1">IFERROR(__xludf.DUMMYFUNCTION("""COMPUTED_VALUE"""),".na")</f>
        <v>.na</v>
      </c>
      <c r="I382" s="1" t="str">
        <f ca="1">IFERROR(__xludf.DUMMYFUNCTION("""COMPUTED_VALUE"""),".na")</f>
        <v>.na</v>
      </c>
      <c r="J382" s="1" t="str">
        <f ca="1">IFERROR(__xludf.DUMMYFUNCTION("""COMPUTED_VALUE"""),"We described species’ major habitat breadth based on IUCN Level 1 classification https://www.iucnredlist.org/resources/habitat-classification-scheme (Caves, Forests, Savanna, Desert, Urban, Artificial, and Wetlands).")</f>
        <v>We described species’ major habitat breadth based on IUCN Level 1 classification https://www.iucnredlist.org/resources/habitat-classification-scheme (Caves, Forests, Savanna, Desert, Urban, Artificial, and Wetlands).</v>
      </c>
      <c r="K382" s="1"/>
      <c r="L382" s="8" t="str">
        <f ca="1">IFERROR(__xludf.DUMMYFUNCTION("""COMPUTED_VALUE"""),"https://doi.org/10.1038/s41597-022-01234-4")</f>
        <v>https://doi.org/10.1038/s41597-022-01234-4</v>
      </c>
      <c r="M382" s="1" t="str">
        <f ca="1">IFERROR(__xludf.DUMMYFUNCTION("""COMPUTED_VALUE"""),"Tanalgo_2022")</f>
        <v>Tanalgo_2022</v>
      </c>
    </row>
    <row r="383" spans="1:14" ht="13.2">
      <c r="A383" s="1" t="str">
        <f ca="1">IFERROR(__xludf.DUMMYFUNCTION("""COMPUTED_VALUE"""),"Wetlands")</f>
        <v>Wetlands</v>
      </c>
      <c r="B383" s="1" t="str">
        <f ca="1">IFERROR(__xludf.DUMMYFUNCTION("""COMPUTED_VALUE"""),"Habitat preference")</f>
        <v>Habitat preference</v>
      </c>
      <c r="C383" s="1"/>
      <c r="D383" s="1"/>
      <c r="E383" s="1" t="str">
        <f ca="1">IFERROR(__xludf.DUMMYFUNCTION("""COMPUTED_VALUE"""),"binomial")</f>
        <v>binomial</v>
      </c>
      <c r="F383" s="1" t="str">
        <f ca="1">IFERROR(__xludf.DUMMYFUNCTION("""COMPUTED_VALUE"""),".na")</f>
        <v>.na</v>
      </c>
      <c r="G383" s="1" t="str">
        <f ca="1">IFERROR(__xludf.DUMMYFUNCTION("""COMPUTED_VALUE"""),"Yes = 1, No = 0")</f>
        <v>Yes = 1, No = 0</v>
      </c>
      <c r="H383" s="1" t="str">
        <f ca="1">IFERROR(__xludf.DUMMYFUNCTION("""COMPUTED_VALUE"""),".na")</f>
        <v>.na</v>
      </c>
      <c r="I383" s="1" t="str">
        <f ca="1">IFERROR(__xludf.DUMMYFUNCTION("""COMPUTED_VALUE"""),".na")</f>
        <v>.na</v>
      </c>
      <c r="J383" s="1" t="str">
        <f ca="1">IFERROR(__xludf.DUMMYFUNCTION("""COMPUTED_VALUE"""),"We described species’ major habitat breadth based on IUCN Level 1 classification https://www.iucnredlist.org/resources/habitat-classification-scheme (Caves, Forests, Savanna, Desert, Urban, Artificial, and Wetlands).")</f>
        <v>We described species’ major habitat breadth based on IUCN Level 1 classification https://www.iucnredlist.org/resources/habitat-classification-scheme (Caves, Forests, Savanna, Desert, Urban, Artificial, and Wetlands).</v>
      </c>
      <c r="K383" s="1"/>
      <c r="L383" s="8" t="str">
        <f ca="1">IFERROR(__xludf.DUMMYFUNCTION("""COMPUTED_VALUE"""),"https://doi.org/10.1038/s41597-022-01234-4")</f>
        <v>https://doi.org/10.1038/s41597-022-01234-4</v>
      </c>
      <c r="M383" s="1" t="str">
        <f ca="1">IFERROR(__xludf.DUMMYFUNCTION("""COMPUTED_VALUE"""),"Tanalgo_2022")</f>
        <v>Tanalgo_2022</v>
      </c>
    </row>
    <row r="384" spans="1:14" ht="13.2">
      <c r="A384" s="1" t="str">
        <f ca="1">IFERROR(__xludf.DUMMYFUNCTION("""COMPUTED_VALUE"""),"Population.status")</f>
        <v>Population.status</v>
      </c>
      <c r="B384" s="1"/>
      <c r="C384" s="1"/>
      <c r="D384" s="1"/>
      <c r="E384" s="1" t="str">
        <f ca="1">IFERROR(__xludf.DUMMYFUNCTION("""COMPUTED_VALUE"""),"nominal")</f>
        <v>nominal</v>
      </c>
      <c r="F384" s="1" t="str">
        <f ca="1">IFERROR(__xludf.DUMMYFUNCTION("""COMPUTED_VALUE"""),".na")</f>
        <v>.na</v>
      </c>
      <c r="G384" s="1" t="str">
        <f ca="1">IFERROR(__xludf.DUMMYFUNCTION("""COMPUTED_VALUE"""),"Decreasing, Stable, Increasing, Unknown")</f>
        <v>Decreasing, Stable, Increasing, Unknown</v>
      </c>
      <c r="H384" s="1" t="str">
        <f ca="1">IFERROR(__xludf.DUMMYFUNCTION("""COMPUTED_VALUE"""),".na")</f>
        <v>.na</v>
      </c>
      <c r="I384" s="1" t="str">
        <f ca="1">IFERROR(__xludf.DUMMYFUNCTION("""COMPUTED_VALUE"""),".na")</f>
        <v>.na</v>
      </c>
      <c r="J384" s="1" t="str">
        <f ca="1">IFERROR(__xludf.DUMMYFUNCTION("""COMPUTED_VALUE"""),"Species current conservation status (Data Deficient, Least Concern, Near Threatened, Vulnerable, Endangered, and Critically Endangered) and population trends (e.g., Unknown, Decreasing, Stable, Increasing) were categorised using standard IUCN Red List ass"&amp;"essments.")</f>
        <v>Species current conservation status (Data Deficient, Least Concern, Near Threatened, Vulnerable, Endangered, and Critically Endangered) and population trends (e.g., Unknown, Decreasing, Stable, Increasing) were categorised using standard IUCN Red List assessments.</v>
      </c>
      <c r="K384" s="1"/>
      <c r="L384" s="8" t="str">
        <f ca="1">IFERROR(__xludf.DUMMYFUNCTION("""COMPUTED_VALUE"""),"https://doi.org/10.1038/s41597-022-01234-4")</f>
        <v>https://doi.org/10.1038/s41597-022-01234-4</v>
      </c>
      <c r="M384" s="1" t="str">
        <f ca="1">IFERROR(__xludf.DUMMYFUNCTION("""COMPUTED_VALUE"""),"Tanalgo_2022")</f>
        <v>Tanalgo_2022</v>
      </c>
    </row>
    <row r="385" spans="1:13" ht="13.2">
      <c r="A385" s="1" t="str">
        <f ca="1">IFERROR(__xludf.DUMMYFUNCTION("""COMPUTED_VALUE"""),"Conservation.status")</f>
        <v>Conservation.status</v>
      </c>
      <c r="B385" s="1"/>
      <c r="C385" s="1"/>
      <c r="D385" s="1"/>
      <c r="E385" s="1" t="str">
        <f ca="1">IFERROR(__xludf.DUMMYFUNCTION("""COMPUTED_VALUE"""),"nominal")</f>
        <v>nominal</v>
      </c>
      <c r="F385" s="1" t="str">
        <f ca="1">IFERROR(__xludf.DUMMYFUNCTION("""COMPUTED_VALUE"""),".na")</f>
        <v>.na</v>
      </c>
      <c r="G385" s="1" t="str">
        <f ca="1">IFERROR(__xludf.DUMMYFUNCTION("""COMPUTED_VALUE"""),"Data.Deficient, Least.Concern, Near.Threatened, Vulnerable, Endangered, Critically.Endangered")</f>
        <v>Data.Deficient, Least.Concern, Near.Threatened, Vulnerable, Endangered, Critically.Endangered</v>
      </c>
      <c r="H385" s="1" t="str">
        <f ca="1">IFERROR(__xludf.DUMMYFUNCTION("""COMPUTED_VALUE"""),".na")</f>
        <v>.na</v>
      </c>
      <c r="I385" s="1" t="str">
        <f ca="1">IFERROR(__xludf.DUMMYFUNCTION("""COMPUTED_VALUE"""),".na")</f>
        <v>.na</v>
      </c>
      <c r="J385" s="1" t="str">
        <f ca="1">IFERROR(__xludf.DUMMYFUNCTION("""COMPUTED_VALUE"""),"Species current conservation status (Data Deficient, Least Concern, Near Threatened, Vulnerable, Endangered, and Critically Endangered) and population trends (e.g., Unknown, Decreasing, Stable, Increasing) were categorised using standard IUCN Red List ass"&amp;"essments.")</f>
        <v>Species current conservation status (Data Deficient, Least Concern, Near Threatened, Vulnerable, Endangered, and Critically Endangered) and population trends (e.g., Unknown, Decreasing, Stable, Increasing) were categorised using standard IUCN Red List assessments.</v>
      </c>
      <c r="K385" s="1"/>
      <c r="L385" s="8" t="str">
        <f ca="1">IFERROR(__xludf.DUMMYFUNCTION("""COMPUTED_VALUE"""),"https://doi.org/10.1038/s41597-022-01234-4")</f>
        <v>https://doi.org/10.1038/s41597-022-01234-4</v>
      </c>
      <c r="M385" s="1" t="str">
        <f ca="1">IFERROR(__xludf.DUMMYFUNCTION("""COMPUTED_VALUE"""),"Tanalgo_2022")</f>
        <v>Tanalgo_2022</v>
      </c>
    </row>
    <row r="386" spans="1:13" ht="13.2">
      <c r="A386" s="1" t="str">
        <f ca="1">IFERROR(__xludf.DUMMYFUNCTION("""COMPUTED_VALUE"""),"Geopolitical.endemism")</f>
        <v>Geopolitical.endemism</v>
      </c>
      <c r="B386" s="1"/>
      <c r="C386" s="1"/>
      <c r="D386" s="1"/>
      <c r="E386" s="1" t="str">
        <f ca="1">IFERROR(__xludf.DUMMYFUNCTION("""COMPUTED_VALUE"""),"nominal")</f>
        <v>nominal</v>
      </c>
      <c r="F386" s="1" t="str">
        <f ca="1">IFERROR(__xludf.DUMMYFUNCTION("""COMPUTED_VALUE"""),".na")</f>
        <v>.na</v>
      </c>
      <c r="G386" s="1" t="str">
        <f ca="1">IFERROR(__xludf.DUMMYFUNCTION("""COMPUTED_VALUE"""),"Non.Endemic, Endemic")</f>
        <v>Non.Endemic, Endemic</v>
      </c>
      <c r="H386" s="1" t="str">
        <f ca="1">IFERROR(__xludf.DUMMYFUNCTION("""COMPUTED_VALUE"""),".na")</f>
        <v>.na</v>
      </c>
      <c r="I386" s="1" t="str">
        <f ca="1">IFERROR(__xludf.DUMMYFUNCTION("""COMPUTED_VALUE"""),".na")</f>
        <v>.na</v>
      </c>
      <c r="J386" s="1" t="str">
        <f ca="1">IFERROR(__xludf.DUMMYFUNCTION("""COMPUTED_VALUE"""),"Using the same criteria (IUCN Red List assessments), we categorised species endemism as geopolitically endemic (e.g., country-endemic, and non-endemic) when a species occurs only in a single country or state territory, and island endemism was classified a"&amp;"s island-restricted or predominantly mainland.")</f>
        <v>Using the same criteria (IUCN Red List assessments), we categorised species endemism as geopolitically endemic (e.g., country-endemic, and non-endemic) when a species occurs only in a single country or state territory, and island endemism was classified as island-restricted or predominantly mainland.</v>
      </c>
      <c r="K386" s="1"/>
      <c r="L386" s="8" t="str">
        <f ca="1">IFERROR(__xludf.DUMMYFUNCTION("""COMPUTED_VALUE"""),"https://doi.org/10.1038/s41597-022-01234-4")</f>
        <v>https://doi.org/10.1038/s41597-022-01234-4</v>
      </c>
      <c r="M386" s="1" t="str">
        <f ca="1">IFERROR(__xludf.DUMMYFUNCTION("""COMPUTED_VALUE"""),"Tanalgo_2022")</f>
        <v>Tanalgo_2022</v>
      </c>
    </row>
    <row r="387" spans="1:13" ht="13.2">
      <c r="A387" s="1" t="str">
        <f ca="1">IFERROR(__xludf.DUMMYFUNCTION("""COMPUTED_VALUE"""),"Island.endemism")</f>
        <v>Island.endemism</v>
      </c>
      <c r="B387" s="1"/>
      <c r="C387" s="1"/>
      <c r="D387" s="1"/>
      <c r="E387" s="1" t="str">
        <f ca="1">IFERROR(__xludf.DUMMYFUNCTION("""COMPUTED_VALUE"""),"nominal")</f>
        <v>nominal</v>
      </c>
      <c r="F387" s="1" t="str">
        <f ca="1">IFERROR(__xludf.DUMMYFUNCTION("""COMPUTED_VALUE"""),".na")</f>
        <v>.na</v>
      </c>
      <c r="G387" s="1" t="str">
        <f ca="1">IFERROR(__xludf.DUMMYFUNCTION("""COMPUTED_VALUE"""),"Island.Endemic, Mainland")</f>
        <v>Island.Endemic, Mainland</v>
      </c>
      <c r="H387" s="1" t="str">
        <f ca="1">IFERROR(__xludf.DUMMYFUNCTION("""COMPUTED_VALUE"""),".na")</f>
        <v>.na</v>
      </c>
      <c r="I387" s="1" t="str">
        <f ca="1">IFERROR(__xludf.DUMMYFUNCTION("""COMPUTED_VALUE"""),".na")</f>
        <v>.na</v>
      </c>
      <c r="J387" s="1" t="str">
        <f ca="1">IFERROR(__xludf.DUMMYFUNCTION("""COMPUTED_VALUE"""),"Using the same criteria (IUCN Red List assessments), we categorised species endemism as geopolitically endemic (e.g., country-endemic, and non-endemic) when a species occurs only in a single country or state territory, and island endemism was classified a"&amp;"s island-restricted or predominantly mainland.")</f>
        <v>Using the same criteria (IUCN Red List assessments), we categorised species endemism as geopolitically endemic (e.g., country-endemic, and non-endemic) when a species occurs only in a single country or state territory, and island endemism was classified as island-restricted or predominantly mainland.</v>
      </c>
      <c r="K387" s="1"/>
      <c r="L387" s="8" t="str">
        <f ca="1">IFERROR(__xludf.DUMMYFUNCTION("""COMPUTED_VALUE"""),"https://doi.org/10.1038/s41597-022-01234-4")</f>
        <v>https://doi.org/10.1038/s41597-022-01234-4</v>
      </c>
      <c r="M387" s="1" t="str">
        <f ca="1">IFERROR(__xludf.DUMMYFUNCTION("""COMPUTED_VALUE"""),"Tanalgo_2022")</f>
        <v>Tanalgo_2022</v>
      </c>
    </row>
    <row r="388" spans="1:13" ht="13.2">
      <c r="A388" s="1" t="str">
        <f ca="1">IFERROR(__xludf.DUMMYFUNCTION("""COMPUTED_VALUE"""),"Biogeographic.breadth")</f>
        <v>Biogeographic.breadth</v>
      </c>
      <c r="B388" s="1"/>
      <c r="C388" s="1"/>
      <c r="D388" s="1"/>
      <c r="E388" s="1" t="str">
        <f ca="1">IFERROR(__xludf.DUMMYFUNCTION("""COMPUTED_VALUE"""),"nominal")</f>
        <v>nominal</v>
      </c>
      <c r="F388" s="1" t="str">
        <f ca="1">IFERROR(__xludf.DUMMYFUNCTION("""COMPUTED_VALUE"""),".na")</f>
        <v>.na</v>
      </c>
      <c r="G388" s="1" t="str">
        <f ca="1">IFERROR(__xludf.DUMMYFUNCTION("""COMPUTED_VALUE"""),"Afrotropical, Indomalayan, Austral-Oceania, Neotropical, Palearactic, Neactic, Cosmopolitan")</f>
        <v>Afrotropical, Indomalayan, Austral-Oceania, Neotropical, Palearactic, Neactic, Cosmopolitan</v>
      </c>
      <c r="H388" s="1" t="str">
        <f ca="1">IFERROR(__xludf.DUMMYFUNCTION("""COMPUTED_VALUE"""),".na")</f>
        <v>.na</v>
      </c>
      <c r="I388" s="1" t="str">
        <f ca="1">IFERROR(__xludf.DUMMYFUNCTION("""COMPUTED_VALUE"""),".na")</f>
        <v>.na</v>
      </c>
      <c r="J388" s="1" t="str">
        <f ca="1">IFERROR(__xludf.DUMMYFUNCTION("""COMPUTED_VALUE"""),"We classified species distribution by biogeographical realm (Indomalaya, Austral-Oceania, Afrotropical, Neotropical, Palearctic, and Nearctic) and terrestrial biomes following Olson et al.")</f>
        <v>We classified species distribution by biogeographical realm (Indomalaya, Austral-Oceania, Afrotropical, Neotropical, Palearctic, and Nearctic) and terrestrial biomes following Olson et al.</v>
      </c>
      <c r="K388" s="1"/>
      <c r="L388" s="8" t="str">
        <f ca="1">IFERROR(__xludf.DUMMYFUNCTION("""COMPUTED_VALUE"""),"https://doi.org/10.1038/s41597-022-01234-4")</f>
        <v>https://doi.org/10.1038/s41597-022-01234-4</v>
      </c>
      <c r="M388" s="1" t="str">
        <f ca="1">IFERROR(__xludf.DUMMYFUNCTION("""COMPUTED_VALUE"""),"Tanalgo_2022")</f>
        <v>Tanalgo_2022</v>
      </c>
    </row>
    <row r="389" spans="1:13" ht="13.2">
      <c r="A389" s="1" t="str">
        <f ca="1">IFERROR(__xludf.DUMMYFUNCTION("""COMPUTED_VALUE"""),"Feeding.groups")</f>
        <v>Feeding.groups</v>
      </c>
      <c r="B389" s="1"/>
      <c r="C389" s="1"/>
      <c r="D389" s="1"/>
      <c r="E389" s="1" t="str">
        <f ca="1">IFERROR(__xludf.DUMMYFUNCTION("""COMPUTED_VALUE"""),"nominal")</f>
        <v>nominal</v>
      </c>
      <c r="F389" s="1" t="str">
        <f ca="1">IFERROR(__xludf.DUMMYFUNCTION("""COMPUTED_VALUE"""),".na")</f>
        <v>.na</v>
      </c>
      <c r="G389" s="1" t="str">
        <f ca="1">IFERROR(__xludf.DUMMYFUNCTION("""COMPUTED_VALUE"""),"Carnivore, Frugi-nectarivore, Omnivore")</f>
        <v>Carnivore, Frugi-nectarivore, Omnivore</v>
      </c>
      <c r="H389" s="1" t="str">
        <f ca="1">IFERROR(__xludf.DUMMYFUNCTION("""COMPUTED_VALUE"""),".na")</f>
        <v>.na</v>
      </c>
      <c r="I389" s="1" t="str">
        <f ca="1">IFERROR(__xludf.DUMMYFUNCTION("""COMPUTED_VALUE"""),".na")</f>
        <v>.na</v>
      </c>
      <c r="J389" s="1" t="str">
        <f ca="1">IFERROR(__xludf.DUMMYFUNCTION("""COMPUTED_VALUE"""),"For trophic groups, we derived diet information from EltonTraits 1.030. We grouped species as frugi-nectarivorous for all species that forage on plant-based resources (e.g., fruits, leaves, and nectars). As species foraging smaller vertebrates (i.e., fish"&amp;", birds, and rodents) and larger invertebrates are very few, we classified them as carnivores along with insectivorous bats. Species that forage on both resources were grouped into omnivores.")</f>
        <v>For trophic groups, we derived diet information from EltonTraits 1.030. We grouped species as frugi-nectarivorous for all species that forage on plant-based resources (e.g., fruits, leaves, and nectars). As species foraging smaller vertebrates (i.e., fish, birds, and rodents) and larger invertebrates are very few, we classified them as carnivores along with insectivorous bats. Species that forage on both resources were grouped into omnivores.</v>
      </c>
      <c r="K389" s="1"/>
      <c r="L389" s="8" t="str">
        <f ca="1">IFERROR(__xludf.DUMMYFUNCTION("""COMPUTED_VALUE"""),"https://doi.org/10.1038/s41597-022-01234-4")</f>
        <v>https://doi.org/10.1038/s41597-022-01234-4</v>
      </c>
      <c r="M389" s="1" t="str">
        <f ca="1">IFERROR(__xludf.DUMMYFUNCTION("""COMPUTED_VALUE"""),"Tanalgo_2022")</f>
        <v>Tanalgo_2022</v>
      </c>
    </row>
    <row r="390" spans="1:13" ht="13.2">
      <c r="A390" s="1" t="str">
        <f ca="1">IFERROR(__xludf.DUMMYFUNCTION("""COMPUTED_VALUE"""),"Current.range")</f>
        <v>Current.range</v>
      </c>
      <c r="B390" s="1"/>
      <c r="C390" s="1"/>
      <c r="D390" s="1"/>
      <c r="E390" s="1" t="str">
        <f ca="1">IFERROR(__xludf.DUMMYFUNCTION("""COMPUTED_VALUE"""),"continuous")</f>
        <v>continuous</v>
      </c>
      <c r="F390" s="1"/>
      <c r="G390" s="1" t="str">
        <f ca="1">IFERROR(__xludf.DUMMYFUNCTION("""COMPUTED_VALUE"""),".na")</f>
        <v>.na</v>
      </c>
      <c r="H390" s="1"/>
      <c r="I390" s="1"/>
      <c r="J390" s="1" t="str">
        <f ca="1">IFERROR(__xludf.DUMMYFUNCTION("""COMPUTED_VALUE"""),"Current geographical ranges were assembled from the Phylacine 1.2 database28 based on IUCN species ranges.")</f>
        <v>Current geographical ranges were assembled from the Phylacine 1.2 database28 based on IUCN species ranges.</v>
      </c>
      <c r="K390" s="1"/>
      <c r="L390" s="8" t="str">
        <f ca="1">IFERROR(__xludf.DUMMYFUNCTION("""COMPUTED_VALUE"""),"https://doi.org/10.1038/s41597-022-01234-4")</f>
        <v>https://doi.org/10.1038/s41597-022-01234-4</v>
      </c>
      <c r="M390" s="1" t="str">
        <f ca="1">IFERROR(__xludf.DUMMYFUNCTION("""COMPUTED_VALUE"""),"Tanalgo_2022")</f>
        <v>Tanalgo_2022</v>
      </c>
    </row>
    <row r="391" spans="1:13" ht="13.2">
      <c r="A391" s="1" t="str">
        <f ca="1">IFERROR(__xludf.DUMMYFUNCTION("""COMPUTED_VALUE"""),"Natural.range")</f>
        <v>Natural.range</v>
      </c>
      <c r="B391" s="1"/>
      <c r="C391" s="1"/>
      <c r="D391" s="1"/>
      <c r="E391" s="1" t="str">
        <f ca="1">IFERROR(__xludf.DUMMYFUNCTION("""COMPUTED_VALUE"""),"continuous")</f>
        <v>continuous</v>
      </c>
      <c r="F391" s="1"/>
      <c r="G391" s="1" t="str">
        <f ca="1">IFERROR(__xludf.DUMMYFUNCTION("""COMPUTED_VALUE"""),".na")</f>
        <v>.na</v>
      </c>
      <c r="H391" s="1"/>
      <c r="I391" s="1"/>
      <c r="J391" s="1" t="str">
        <f ca="1">IFERROR(__xludf.DUMMYFUNCTION("""COMPUTED_VALUE"""),"For all species, we estimated their present natural ranges (Peterken 1977), which is potential current natural ranges if species had never experienced strong anthropogenic pressures.")</f>
        <v>For all species, we estimated their present natural ranges (Peterken 1977), which is potential current natural ranges if species had never experienced strong anthropogenic pressures.</v>
      </c>
      <c r="K391" s="1" t="str">
        <f ca="1">IFERROR(__xludf.DUMMYFUNCTION("""COMPUTED_VALUE"""),"Trait description from Phylacine 1.2")</f>
        <v>Trait description from Phylacine 1.2</v>
      </c>
      <c r="L391" s="8" t="str">
        <f ca="1">IFERROR(__xludf.DUMMYFUNCTION("""COMPUTED_VALUE"""),"https://doi.org/10.1038/s41597-022-01234-4")</f>
        <v>https://doi.org/10.1038/s41597-022-01234-4</v>
      </c>
      <c r="M391" s="1" t="str">
        <f ca="1">IFERROR(__xludf.DUMMYFUNCTION("""COMPUTED_VALUE"""),"Tanalgo_2022")</f>
        <v>Tanalgo_2022</v>
      </c>
    </row>
    <row r="392" spans="1:13" ht="13.2">
      <c r="A392" s="1" t="str">
        <f ca="1">IFERROR(__xludf.DUMMYFUNCTION("""COMPUTED_VALUE"""),"Generation.length")</f>
        <v>Generation.length</v>
      </c>
      <c r="B392" s="1"/>
      <c r="C392" s="1"/>
      <c r="D392" s="1"/>
      <c r="E392" s="1" t="str">
        <f ca="1">IFERROR(__xludf.DUMMYFUNCTION("""COMPUTED_VALUE"""),"continuous")</f>
        <v>continuous</v>
      </c>
      <c r="F392" s="1"/>
      <c r="G392" s="1" t="str">
        <f ca="1">IFERROR(__xludf.DUMMYFUNCTION("""COMPUTED_VALUE"""),".na")</f>
        <v>.na</v>
      </c>
      <c r="H392" s="1"/>
      <c r="I392" s="1"/>
      <c r="J392" s="1" t="str">
        <f ca="1">IFERROR(__xludf.DUMMYFUNCTION("""COMPUTED_VALUE"""),"The adult body mass (in grams) per species were derived from Phylacine 1.228 and generation length from Pacifici et al.29.")</f>
        <v>The adult body mass (in grams) per species were derived from Phylacine 1.228 and generation length from Pacifici et al.29.</v>
      </c>
      <c r="K392" s="1"/>
      <c r="L392" s="8" t="str">
        <f ca="1">IFERROR(__xludf.DUMMYFUNCTION("""COMPUTED_VALUE"""),"https://doi.org/10.1038/s41597-022-01234-4")</f>
        <v>https://doi.org/10.1038/s41597-022-01234-4</v>
      </c>
      <c r="M392" s="1" t="str">
        <f ca="1">IFERROR(__xludf.DUMMYFUNCTION("""COMPUTED_VALUE"""),"Tanalgo_2022")</f>
        <v>Tanalgo_2022</v>
      </c>
    </row>
    <row r="393" spans="1:13" ht="13.2">
      <c r="A393" s="1" t="str">
        <f ca="1">IFERROR(__xludf.DUMMYFUNCTION("""COMPUTED_VALUE"""),"Body.mass (grams)")</f>
        <v>Body.mass (grams)</v>
      </c>
      <c r="B393" s="1"/>
      <c r="C393" s="1"/>
      <c r="D393" s="1"/>
      <c r="E393" s="1" t="str">
        <f ca="1">IFERROR(__xludf.DUMMYFUNCTION("""COMPUTED_VALUE"""),"continuous")</f>
        <v>continuous</v>
      </c>
      <c r="F393" s="1"/>
      <c r="G393" s="1" t="str">
        <f ca="1">IFERROR(__xludf.DUMMYFUNCTION("""COMPUTED_VALUE"""),".na")</f>
        <v>.na</v>
      </c>
      <c r="H393" s="1"/>
      <c r="I393" s="1"/>
      <c r="J393" s="1" t="str">
        <f ca="1">IFERROR(__xludf.DUMMYFUNCTION("""COMPUTED_VALUE"""),"The adult body mass (in grams) per species were derived from Phylacine 1.228 and generation length from Pacifici et al.29.")</f>
        <v>The adult body mass (in grams) per species were derived from Phylacine 1.228 and generation length from Pacifici et al.29.</v>
      </c>
      <c r="K393" s="1"/>
      <c r="L393" s="8" t="str">
        <f ca="1">IFERROR(__xludf.DUMMYFUNCTION("""COMPUTED_VALUE"""),"https://doi.org/10.1038/s41597-022-01234-4")</f>
        <v>https://doi.org/10.1038/s41597-022-01234-4</v>
      </c>
      <c r="M393" s="1" t="str">
        <f ca="1">IFERROR(__xludf.DUMMYFUNCTION("""COMPUTED_VALUE"""),"Tanalgo_2022")</f>
        <v>Tanalgo_2022</v>
      </c>
    </row>
    <row r="394" spans="1:13" ht="13.2">
      <c r="A394" s="1" t="str">
        <f ca="1">IFERROR(__xludf.DUMMYFUNCTION("""COMPUTED_VALUE"""),"Mining.quarrying")</f>
        <v>Mining.quarrying</v>
      </c>
      <c r="B394" s="1" t="str">
        <f ca="1">IFERROR(__xludf.DUMMYFUNCTION("""COMPUTED_VALUE"""),"Direct threats")</f>
        <v>Direct threats</v>
      </c>
      <c r="C394" s="1"/>
      <c r="D394" s="1"/>
      <c r="E394" s="1" t="str">
        <f ca="1">IFERROR(__xludf.DUMMYFUNCTION("""COMPUTED_VALUE"""),"binomial")</f>
        <v>binomial</v>
      </c>
      <c r="F394" s="1" t="str">
        <f ca="1">IFERROR(__xludf.DUMMYFUNCTION("""COMPUTED_VALUE"""),".na")</f>
        <v>.na</v>
      </c>
      <c r="G394" s="1" t="str">
        <f ca="1">IFERROR(__xludf.DUMMYFUNCTION("""COMPUTED_VALUE"""),"Yes = 1, No = 0")</f>
        <v>Yes = 1, No = 0</v>
      </c>
      <c r="H394" s="1" t="str">
        <f ca="1">IFERROR(__xludf.DUMMYFUNCTION("""COMPUTED_VALUE"""),".na")</f>
        <v>.na</v>
      </c>
      <c r="I394" s="1" t="str">
        <f ca="1">IFERROR(__xludf.DUMMYFUNCTION("""COMPUTED_VALUE"""),".na")</f>
        <v>.na</v>
      </c>
      <c r="J394"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394" s="1"/>
      <c r="L394" s="8" t="str">
        <f ca="1">IFERROR(__xludf.DUMMYFUNCTION("""COMPUTED_VALUE"""),"https://doi.org/10.1038/s41597-022-01234-4")</f>
        <v>https://doi.org/10.1038/s41597-022-01234-4</v>
      </c>
      <c r="M394" s="1" t="str">
        <f ca="1">IFERROR(__xludf.DUMMYFUNCTION("""COMPUTED_VALUE"""),"Tanalgo_2022")</f>
        <v>Tanalgo_2022</v>
      </c>
    </row>
    <row r="395" spans="1:13" ht="13.2">
      <c r="A395" s="1" t="str">
        <f ca="1">IFERROR(__xludf.DUMMYFUNCTION("""COMPUTED_VALUE"""),"Sacred.activities")</f>
        <v>Sacred.activities</v>
      </c>
      <c r="B395" s="1" t="str">
        <f ca="1">IFERROR(__xludf.DUMMYFUNCTION("""COMPUTED_VALUE"""),"Direct threats")</f>
        <v>Direct threats</v>
      </c>
      <c r="C395" s="1"/>
      <c r="D395" s="1"/>
      <c r="E395" s="1" t="str">
        <f ca="1">IFERROR(__xludf.DUMMYFUNCTION("""COMPUTED_VALUE"""),"binomial")</f>
        <v>binomial</v>
      </c>
      <c r="F395" s="1" t="str">
        <f ca="1">IFERROR(__xludf.DUMMYFUNCTION("""COMPUTED_VALUE"""),".na")</f>
        <v>.na</v>
      </c>
      <c r="G395" s="1" t="str">
        <f ca="1">IFERROR(__xludf.DUMMYFUNCTION("""COMPUTED_VALUE"""),"Yes = 1, No = 0")</f>
        <v>Yes = 1, No = 0</v>
      </c>
      <c r="H395" s="1" t="str">
        <f ca="1">IFERROR(__xludf.DUMMYFUNCTION("""COMPUTED_VALUE"""),".na")</f>
        <v>.na</v>
      </c>
      <c r="I395" s="1" t="str">
        <f ca="1">IFERROR(__xludf.DUMMYFUNCTION("""COMPUTED_VALUE"""),".na")</f>
        <v>.na</v>
      </c>
      <c r="J395"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395" s="1"/>
      <c r="L395" s="8" t="str">
        <f ca="1">IFERROR(__xludf.DUMMYFUNCTION("""COMPUTED_VALUE"""),"https://doi.org/10.1038/s41597-022-01234-4")</f>
        <v>https://doi.org/10.1038/s41597-022-01234-4</v>
      </c>
      <c r="M395" s="1" t="str">
        <f ca="1">IFERROR(__xludf.DUMMYFUNCTION("""COMPUTED_VALUE"""),"Tanalgo_2022")</f>
        <v>Tanalgo_2022</v>
      </c>
    </row>
    <row r="396" spans="1:13" ht="13.2">
      <c r="A396" s="1" t="str">
        <f ca="1">IFERROR(__xludf.DUMMYFUNCTION("""COMPUTED_VALUE"""),"Tourism.caving")</f>
        <v>Tourism.caving</v>
      </c>
      <c r="B396" s="1" t="str">
        <f ca="1">IFERROR(__xludf.DUMMYFUNCTION("""COMPUTED_VALUE"""),"Direct threats")</f>
        <v>Direct threats</v>
      </c>
      <c r="C396" s="1"/>
      <c r="D396" s="1"/>
      <c r="E396" s="1" t="str">
        <f ca="1">IFERROR(__xludf.DUMMYFUNCTION("""COMPUTED_VALUE"""),"binomial")</f>
        <v>binomial</v>
      </c>
      <c r="F396" s="1" t="str">
        <f ca="1">IFERROR(__xludf.DUMMYFUNCTION("""COMPUTED_VALUE"""),".na")</f>
        <v>.na</v>
      </c>
      <c r="G396" s="1" t="str">
        <f ca="1">IFERROR(__xludf.DUMMYFUNCTION("""COMPUTED_VALUE"""),"Yes = 1, No = 0")</f>
        <v>Yes = 1, No = 0</v>
      </c>
      <c r="H396" s="1" t="str">
        <f ca="1">IFERROR(__xludf.DUMMYFUNCTION("""COMPUTED_VALUE"""),".na")</f>
        <v>.na</v>
      </c>
      <c r="I396" s="1" t="str">
        <f ca="1">IFERROR(__xludf.DUMMYFUNCTION("""COMPUTED_VALUE"""),".na")</f>
        <v>.na</v>
      </c>
      <c r="J396"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396" s="1"/>
      <c r="L396" s="8" t="str">
        <f ca="1">IFERROR(__xludf.DUMMYFUNCTION("""COMPUTED_VALUE"""),"https://doi.org/10.1038/s41597-022-01234-4")</f>
        <v>https://doi.org/10.1038/s41597-022-01234-4</v>
      </c>
      <c r="M396" s="1" t="str">
        <f ca="1">IFERROR(__xludf.DUMMYFUNCTION("""COMPUTED_VALUE"""),"Tanalgo_2022")</f>
        <v>Tanalgo_2022</v>
      </c>
    </row>
    <row r="397" spans="1:13" ht="13.2">
      <c r="A397" s="1" t="str">
        <f ca="1">IFERROR(__xludf.DUMMYFUNCTION("""COMPUTED_VALUE"""),"Guano.extraction")</f>
        <v>Guano.extraction</v>
      </c>
      <c r="B397" s="1" t="str">
        <f ca="1">IFERROR(__xludf.DUMMYFUNCTION("""COMPUTED_VALUE"""),"Direct threats")</f>
        <v>Direct threats</v>
      </c>
      <c r="C397" s="1"/>
      <c r="D397" s="1"/>
      <c r="E397" s="1" t="str">
        <f ca="1">IFERROR(__xludf.DUMMYFUNCTION("""COMPUTED_VALUE"""),"binomial")</f>
        <v>binomial</v>
      </c>
      <c r="F397" s="1" t="str">
        <f ca="1">IFERROR(__xludf.DUMMYFUNCTION("""COMPUTED_VALUE"""),".na")</f>
        <v>.na</v>
      </c>
      <c r="G397" s="1" t="str">
        <f ca="1">IFERROR(__xludf.DUMMYFUNCTION("""COMPUTED_VALUE"""),"Yes = 1, No = 0")</f>
        <v>Yes = 1, No = 0</v>
      </c>
      <c r="H397" s="1" t="str">
        <f ca="1">IFERROR(__xludf.DUMMYFUNCTION("""COMPUTED_VALUE"""),".na")</f>
        <v>.na</v>
      </c>
      <c r="I397" s="1" t="str">
        <f ca="1">IFERROR(__xludf.DUMMYFUNCTION("""COMPUTED_VALUE"""),".na")</f>
        <v>.na</v>
      </c>
      <c r="J397"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397" s="1"/>
      <c r="L397" s="8" t="str">
        <f ca="1">IFERROR(__xludf.DUMMYFUNCTION("""COMPUTED_VALUE"""),"https://doi.org/10.1038/s41597-022-01234-4")</f>
        <v>https://doi.org/10.1038/s41597-022-01234-4</v>
      </c>
      <c r="M397" s="1" t="str">
        <f ca="1">IFERROR(__xludf.DUMMYFUNCTION("""COMPUTED_VALUE"""),"Tanalgo_2022")</f>
        <v>Tanalgo_2022</v>
      </c>
    </row>
    <row r="398" spans="1:13" ht="13.2">
      <c r="A398" s="1" t="str">
        <f ca="1">IFERROR(__xludf.DUMMYFUNCTION("""COMPUTED_VALUE"""),"Vandalism")</f>
        <v>Vandalism</v>
      </c>
      <c r="B398" s="1" t="str">
        <f ca="1">IFERROR(__xludf.DUMMYFUNCTION("""COMPUTED_VALUE"""),"Direct threats")</f>
        <v>Direct threats</v>
      </c>
      <c r="C398" s="1"/>
      <c r="D398" s="1"/>
      <c r="E398" s="1" t="str">
        <f ca="1">IFERROR(__xludf.DUMMYFUNCTION("""COMPUTED_VALUE"""),"binomial")</f>
        <v>binomial</v>
      </c>
      <c r="F398" s="1" t="str">
        <f ca="1">IFERROR(__xludf.DUMMYFUNCTION("""COMPUTED_VALUE"""),".na")</f>
        <v>.na</v>
      </c>
      <c r="G398" s="1" t="str">
        <f ca="1">IFERROR(__xludf.DUMMYFUNCTION("""COMPUTED_VALUE"""),"Yes = 1, No = 0")</f>
        <v>Yes = 1, No = 0</v>
      </c>
      <c r="H398" s="1" t="str">
        <f ca="1">IFERROR(__xludf.DUMMYFUNCTION("""COMPUTED_VALUE"""),".na")</f>
        <v>.na</v>
      </c>
      <c r="I398" s="1" t="str">
        <f ca="1">IFERROR(__xludf.DUMMYFUNCTION("""COMPUTED_VALUE"""),".na")</f>
        <v>.na</v>
      </c>
      <c r="J398"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398" s="1"/>
      <c r="L398" s="8" t="str">
        <f ca="1">IFERROR(__xludf.DUMMYFUNCTION("""COMPUTED_VALUE"""),"https://doi.org/10.1038/s41597-022-01234-4")</f>
        <v>https://doi.org/10.1038/s41597-022-01234-4</v>
      </c>
      <c r="M398" s="1" t="str">
        <f ca="1">IFERROR(__xludf.DUMMYFUNCTION("""COMPUTED_VALUE"""),"Tanalgo_2022")</f>
        <v>Tanalgo_2022</v>
      </c>
    </row>
    <row r="399" spans="1:13" ht="13.2">
      <c r="A399" s="1" t="str">
        <f ca="1">IFERROR(__xludf.DUMMYFUNCTION("""COMPUTED_VALUE"""),"Nest.harvesting")</f>
        <v>Nest.harvesting</v>
      </c>
      <c r="B399" s="1" t="str">
        <f ca="1">IFERROR(__xludf.DUMMYFUNCTION("""COMPUTED_VALUE"""),"Direct threats")</f>
        <v>Direct threats</v>
      </c>
      <c r="C399" s="1"/>
      <c r="D399" s="1"/>
      <c r="E399" s="1" t="str">
        <f ca="1">IFERROR(__xludf.DUMMYFUNCTION("""COMPUTED_VALUE"""),"binomial")</f>
        <v>binomial</v>
      </c>
      <c r="F399" s="1" t="str">
        <f ca="1">IFERROR(__xludf.DUMMYFUNCTION("""COMPUTED_VALUE"""),".na")</f>
        <v>.na</v>
      </c>
      <c r="G399" s="1" t="str">
        <f ca="1">IFERROR(__xludf.DUMMYFUNCTION("""COMPUTED_VALUE"""),"Yes = 1, No = 0")</f>
        <v>Yes = 1, No = 0</v>
      </c>
      <c r="H399" s="1" t="str">
        <f ca="1">IFERROR(__xludf.DUMMYFUNCTION("""COMPUTED_VALUE"""),".na")</f>
        <v>.na</v>
      </c>
      <c r="I399" s="1" t="str">
        <f ca="1">IFERROR(__xludf.DUMMYFUNCTION("""COMPUTED_VALUE"""),".na")</f>
        <v>.na</v>
      </c>
      <c r="J399"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399" s="1"/>
      <c r="L399" s="8" t="str">
        <f ca="1">IFERROR(__xludf.DUMMYFUNCTION("""COMPUTED_VALUE"""),"https://doi.org/10.1038/s41597-022-01234-4")</f>
        <v>https://doi.org/10.1038/s41597-022-01234-4</v>
      </c>
      <c r="M399" s="1" t="str">
        <f ca="1">IFERROR(__xludf.DUMMYFUNCTION("""COMPUTED_VALUE"""),"Tanalgo_2022")</f>
        <v>Tanalgo_2022</v>
      </c>
    </row>
    <row r="400" spans="1:13" ht="13.2">
      <c r="A400" s="1" t="str">
        <f ca="1">IFERROR(__xludf.DUMMYFUNCTION("""COMPUTED_VALUE"""),"Hunting.bushmeat")</f>
        <v>Hunting.bushmeat</v>
      </c>
      <c r="B400" s="1" t="str">
        <f ca="1">IFERROR(__xludf.DUMMYFUNCTION("""COMPUTED_VALUE"""),"Direct threats")</f>
        <v>Direct threats</v>
      </c>
      <c r="C400" s="1"/>
      <c r="D400" s="1"/>
      <c r="E400" s="1" t="str">
        <f ca="1">IFERROR(__xludf.DUMMYFUNCTION("""COMPUTED_VALUE"""),"binomial")</f>
        <v>binomial</v>
      </c>
      <c r="F400" s="1" t="str">
        <f ca="1">IFERROR(__xludf.DUMMYFUNCTION("""COMPUTED_VALUE"""),".na")</f>
        <v>.na</v>
      </c>
      <c r="G400" s="1" t="str">
        <f ca="1">IFERROR(__xludf.DUMMYFUNCTION("""COMPUTED_VALUE"""),"Yes = 1, No = 0")</f>
        <v>Yes = 1, No = 0</v>
      </c>
      <c r="H400" s="1" t="str">
        <f ca="1">IFERROR(__xludf.DUMMYFUNCTION("""COMPUTED_VALUE"""),".na")</f>
        <v>.na</v>
      </c>
      <c r="I400" s="1" t="str">
        <f ca="1">IFERROR(__xludf.DUMMYFUNCTION("""COMPUTED_VALUE"""),".na")</f>
        <v>.na</v>
      </c>
      <c r="J400"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400" s="1"/>
      <c r="L400" s="8" t="str">
        <f ca="1">IFERROR(__xludf.DUMMYFUNCTION("""COMPUTED_VALUE"""),"https://doi.org/10.1038/s41597-022-01234-4")</f>
        <v>https://doi.org/10.1038/s41597-022-01234-4</v>
      </c>
      <c r="M400" s="1" t="str">
        <f ca="1">IFERROR(__xludf.DUMMYFUNCTION("""COMPUTED_VALUE"""),"Tanalgo_2022")</f>
        <v>Tanalgo_2022</v>
      </c>
    </row>
    <row r="401" spans="1:16" ht="13.2">
      <c r="A401" s="1" t="str">
        <f ca="1">IFERROR(__xludf.DUMMYFUNCTION("""COMPUTED_VALUE"""),"Intensional.killings")</f>
        <v>Intensional.killings</v>
      </c>
      <c r="B401" s="1" t="str">
        <f ca="1">IFERROR(__xludf.DUMMYFUNCTION("""COMPUTED_VALUE"""),"Direct threats")</f>
        <v>Direct threats</v>
      </c>
      <c r="C401" s="1"/>
      <c r="D401" s="1"/>
      <c r="E401" s="1" t="str">
        <f ca="1">IFERROR(__xludf.DUMMYFUNCTION("""COMPUTED_VALUE"""),"binomial")</f>
        <v>binomial</v>
      </c>
      <c r="F401" s="1" t="str">
        <f ca="1">IFERROR(__xludf.DUMMYFUNCTION("""COMPUTED_VALUE"""),".na")</f>
        <v>.na</v>
      </c>
      <c r="G401" s="1" t="str">
        <f ca="1">IFERROR(__xludf.DUMMYFUNCTION("""COMPUTED_VALUE"""),"Yes = 1, No = 0")</f>
        <v>Yes = 1, No = 0</v>
      </c>
      <c r="H401" s="1" t="str">
        <f ca="1">IFERROR(__xludf.DUMMYFUNCTION("""COMPUTED_VALUE"""),".na")</f>
        <v>.na</v>
      </c>
      <c r="I401" s="1" t="str">
        <f ca="1">IFERROR(__xludf.DUMMYFUNCTION("""COMPUTED_VALUE"""),".na")</f>
        <v>.na</v>
      </c>
      <c r="J401"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401" s="1"/>
      <c r="L401" s="8" t="str">
        <f ca="1">IFERROR(__xludf.DUMMYFUNCTION("""COMPUTED_VALUE"""),"https://doi.org/10.1038/s41597-022-01234-4")</f>
        <v>https://doi.org/10.1038/s41597-022-01234-4</v>
      </c>
      <c r="M401" s="1" t="str">
        <f ca="1">IFERROR(__xludf.DUMMYFUNCTION("""COMPUTED_VALUE"""),"Tanalgo_2022")</f>
        <v>Tanalgo_2022</v>
      </c>
    </row>
    <row r="402" spans="1:16" ht="13.2">
      <c r="A402" s="1" t="str">
        <f ca="1">IFERROR(__xludf.DUMMYFUNCTION("""COMPUTED_VALUE"""),"Gating")</f>
        <v>Gating</v>
      </c>
      <c r="B402" s="1" t="str">
        <f ca="1">IFERROR(__xludf.DUMMYFUNCTION("""COMPUTED_VALUE"""),"Direct threats")</f>
        <v>Direct threats</v>
      </c>
      <c r="C402" s="1"/>
      <c r="D402" s="1"/>
      <c r="E402" s="1" t="str">
        <f ca="1">IFERROR(__xludf.DUMMYFUNCTION("""COMPUTED_VALUE"""),"binomial")</f>
        <v>binomial</v>
      </c>
      <c r="F402" s="1" t="str">
        <f ca="1">IFERROR(__xludf.DUMMYFUNCTION("""COMPUTED_VALUE"""),".na")</f>
        <v>.na</v>
      </c>
      <c r="G402" s="1" t="str">
        <f ca="1">IFERROR(__xludf.DUMMYFUNCTION("""COMPUTED_VALUE"""),"Yes = 1, No = 0")</f>
        <v>Yes = 1, No = 0</v>
      </c>
      <c r="H402" s="1" t="str">
        <f ca="1">IFERROR(__xludf.DUMMYFUNCTION("""COMPUTED_VALUE"""),".na")</f>
        <v>.na</v>
      </c>
      <c r="I402" s="1" t="str">
        <f ca="1">IFERROR(__xludf.DUMMYFUNCTION("""COMPUTED_VALUE"""),".na")</f>
        <v>.na</v>
      </c>
      <c r="J402"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402" s="1"/>
      <c r="L402" s="8" t="str">
        <f ca="1">IFERROR(__xludf.DUMMYFUNCTION("""COMPUTED_VALUE"""),"https://doi.org/10.1038/s41597-022-01234-4")</f>
        <v>https://doi.org/10.1038/s41597-022-01234-4</v>
      </c>
      <c r="M402" s="1" t="str">
        <f ca="1">IFERROR(__xludf.DUMMYFUNCTION("""COMPUTED_VALUE"""),"Tanalgo_2022")</f>
        <v>Tanalgo_2022</v>
      </c>
    </row>
    <row r="403" spans="1:16" ht="13.2">
      <c r="A403" s="1" t="str">
        <f ca="1">IFERROR(__xludf.DUMMYFUNCTION("""COMPUTED_VALUE"""),"Scientific.research")</f>
        <v>Scientific.research</v>
      </c>
      <c r="B403" s="1" t="str">
        <f ca="1">IFERROR(__xludf.DUMMYFUNCTION("""COMPUTED_VALUE"""),"Direct threats")</f>
        <v>Direct threats</v>
      </c>
      <c r="C403" s="1"/>
      <c r="D403" s="1"/>
      <c r="E403" s="1" t="str">
        <f ca="1">IFERROR(__xludf.DUMMYFUNCTION("""COMPUTED_VALUE"""),"binomial")</f>
        <v>binomial</v>
      </c>
      <c r="F403" s="1" t="str">
        <f ca="1">IFERROR(__xludf.DUMMYFUNCTION("""COMPUTED_VALUE"""),".na")</f>
        <v>.na</v>
      </c>
      <c r="G403" s="1" t="str">
        <f ca="1">IFERROR(__xludf.DUMMYFUNCTION("""COMPUTED_VALUE"""),"Yes = 1, No = 0")</f>
        <v>Yes = 1, No = 0</v>
      </c>
      <c r="H403" s="1" t="str">
        <f ca="1">IFERROR(__xludf.DUMMYFUNCTION("""COMPUTED_VALUE"""),".na")</f>
        <v>.na</v>
      </c>
      <c r="I403" s="1" t="str">
        <f ca="1">IFERROR(__xludf.DUMMYFUNCTION("""COMPUTED_VALUE"""),".na")</f>
        <v>.na</v>
      </c>
      <c r="J403"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403" s="1"/>
      <c r="L403" s="8" t="str">
        <f ca="1">IFERROR(__xludf.DUMMYFUNCTION("""COMPUTED_VALUE"""),"https://doi.org/10.1038/s41597-022-01234-4")</f>
        <v>https://doi.org/10.1038/s41597-022-01234-4</v>
      </c>
      <c r="M403" s="1" t="str">
        <f ca="1">IFERROR(__xludf.DUMMYFUNCTION("""COMPUTED_VALUE"""),"Tanalgo_2022")</f>
        <v>Tanalgo_2022</v>
      </c>
    </row>
    <row r="404" spans="1:16" ht="13.2">
      <c r="A404" s="1" t="str">
        <f ca="1">IFERROR(__xludf.DUMMYFUNCTION("""COMPUTED_VALUE"""),"Agricultural.conversion")</f>
        <v>Agricultural.conversion</v>
      </c>
      <c r="B404" s="1" t="str">
        <f ca="1">IFERROR(__xludf.DUMMYFUNCTION("""COMPUTED_VALUE"""),"Indirect threats")</f>
        <v>Indirect threats</v>
      </c>
      <c r="C404" s="1"/>
      <c r="D404" s="1"/>
      <c r="E404" s="1" t="str">
        <f ca="1">IFERROR(__xludf.DUMMYFUNCTION("""COMPUTED_VALUE"""),"binomial")</f>
        <v>binomial</v>
      </c>
      <c r="F404" s="1" t="str">
        <f ca="1">IFERROR(__xludf.DUMMYFUNCTION("""COMPUTED_VALUE"""),".na")</f>
        <v>.na</v>
      </c>
      <c r="G404" s="1" t="str">
        <f ca="1">IFERROR(__xludf.DUMMYFUNCTION("""COMPUTED_VALUE"""),"Yes = 1, No = 0")</f>
        <v>Yes = 1, No = 0</v>
      </c>
      <c r="H404" s="1" t="str">
        <f ca="1">IFERROR(__xludf.DUMMYFUNCTION("""COMPUTED_VALUE"""),".na")</f>
        <v>.na</v>
      </c>
      <c r="I404" s="1" t="str">
        <f ca="1">IFERROR(__xludf.DUMMYFUNCTION("""COMPUTED_VALUE"""),".na")</f>
        <v>.na</v>
      </c>
      <c r="J404" s="1" t="str">
        <f ca="1">IFERROR(__xludf.DUMMYFUNCTION("""COMPUTED_VALUE"""),"Indirect threats (Tind) refer to the threats outside cave systems or within cave proximity, of which the impacts to populations are secondary or non-immediate but otherwise detrimental. Examples include deforestation, agriculture, and urbanisation.")</f>
        <v>Indirect threats (Tind) refer to the threats outside cave systems or within cave proximity, of which the impacts to populations are secondary or non-immediate but otherwise detrimental. Examples include deforestation, agriculture, and urbanisation.</v>
      </c>
      <c r="K404" s="1"/>
      <c r="L404" s="8" t="str">
        <f ca="1">IFERROR(__xludf.DUMMYFUNCTION("""COMPUTED_VALUE"""),"https://doi.org/10.1038/s41597-022-01234-4")</f>
        <v>https://doi.org/10.1038/s41597-022-01234-4</v>
      </c>
      <c r="M404" s="1" t="str">
        <f ca="1">IFERROR(__xludf.DUMMYFUNCTION("""COMPUTED_VALUE"""),"Tanalgo_2022")</f>
        <v>Tanalgo_2022</v>
      </c>
    </row>
    <row r="405" spans="1:16" ht="13.2">
      <c r="A405" s="1" t="str">
        <f ca="1">IFERROR(__xludf.DUMMYFUNCTION("""COMPUTED_VALUE"""),"Urbanisation")</f>
        <v>Urbanisation</v>
      </c>
      <c r="B405" s="1" t="str">
        <f ca="1">IFERROR(__xludf.DUMMYFUNCTION("""COMPUTED_VALUE"""),"Indirect threats")</f>
        <v>Indirect threats</v>
      </c>
      <c r="C405" s="1"/>
      <c r="D405" s="1"/>
      <c r="E405" s="1" t="str">
        <f ca="1">IFERROR(__xludf.DUMMYFUNCTION("""COMPUTED_VALUE"""),"binomial")</f>
        <v>binomial</v>
      </c>
      <c r="F405" s="1" t="str">
        <f ca="1">IFERROR(__xludf.DUMMYFUNCTION("""COMPUTED_VALUE"""),".na")</f>
        <v>.na</v>
      </c>
      <c r="G405" s="1" t="str">
        <f ca="1">IFERROR(__xludf.DUMMYFUNCTION("""COMPUTED_VALUE"""),"Yes = 1, No = 0")</f>
        <v>Yes = 1, No = 0</v>
      </c>
      <c r="H405" s="1" t="str">
        <f ca="1">IFERROR(__xludf.DUMMYFUNCTION("""COMPUTED_VALUE"""),".na")</f>
        <v>.na</v>
      </c>
      <c r="I405" s="1" t="str">
        <f ca="1">IFERROR(__xludf.DUMMYFUNCTION("""COMPUTED_VALUE"""),".na")</f>
        <v>.na</v>
      </c>
      <c r="J405" s="1" t="str">
        <f ca="1">IFERROR(__xludf.DUMMYFUNCTION("""COMPUTED_VALUE"""),"Indirect threats (Tind) refer to the threats outside cave systems or within cave proximity, of which the impacts to populations are secondary or non-immediate but otherwise detrimental. Examples include deforestation, agriculture, and urbanisation.")</f>
        <v>Indirect threats (Tind) refer to the threats outside cave systems or within cave proximity, of which the impacts to populations are secondary or non-immediate but otherwise detrimental. Examples include deforestation, agriculture, and urbanisation.</v>
      </c>
      <c r="K405" s="1"/>
      <c r="L405" s="8" t="str">
        <f ca="1">IFERROR(__xludf.DUMMYFUNCTION("""COMPUTED_VALUE"""),"https://doi.org/10.1038/s41597-022-01234-4")</f>
        <v>https://doi.org/10.1038/s41597-022-01234-4</v>
      </c>
      <c r="M405" s="1" t="str">
        <f ca="1">IFERROR(__xludf.DUMMYFUNCTION("""COMPUTED_VALUE"""),"Tanalgo_2022")</f>
        <v>Tanalgo_2022</v>
      </c>
    </row>
    <row r="406" spans="1:16" ht="13.2">
      <c r="A406" s="1" t="str">
        <f ca="1">IFERROR(__xludf.DUMMYFUNCTION("""COMPUTED_VALUE"""),"Deforestation")</f>
        <v>Deforestation</v>
      </c>
      <c r="B406" s="1" t="str">
        <f ca="1">IFERROR(__xludf.DUMMYFUNCTION("""COMPUTED_VALUE"""),"Indirect threats")</f>
        <v>Indirect threats</v>
      </c>
      <c r="C406" s="1"/>
      <c r="D406" s="1"/>
      <c r="E406" s="1" t="str">
        <f ca="1">IFERROR(__xludf.DUMMYFUNCTION("""COMPUTED_VALUE"""),"binomial")</f>
        <v>binomial</v>
      </c>
      <c r="F406" s="1" t="str">
        <f ca="1">IFERROR(__xludf.DUMMYFUNCTION("""COMPUTED_VALUE"""),".na")</f>
        <v>.na</v>
      </c>
      <c r="G406" s="1" t="str">
        <f ca="1">IFERROR(__xludf.DUMMYFUNCTION("""COMPUTED_VALUE"""),"Yes = 1, No = 0")</f>
        <v>Yes = 1, No = 0</v>
      </c>
      <c r="H406" s="1" t="str">
        <f ca="1">IFERROR(__xludf.DUMMYFUNCTION("""COMPUTED_VALUE"""),".na")</f>
        <v>.na</v>
      </c>
      <c r="I406" s="1" t="str">
        <f ca="1">IFERROR(__xludf.DUMMYFUNCTION("""COMPUTED_VALUE"""),".na")</f>
        <v>.na</v>
      </c>
      <c r="J406" s="1" t="str">
        <f ca="1">IFERROR(__xludf.DUMMYFUNCTION("""COMPUTED_VALUE"""),"Indirect threats (Tind) refer to the threats outside cave systems or within cave proximity, of which the impacts to populations are secondary or non-immediate but otherwise detrimental. Examples include deforestation, agriculture, and urbanisation.")</f>
        <v>Indirect threats (Tind) refer to the threats outside cave systems or within cave proximity, of which the impacts to populations are secondary or non-immediate but otherwise detrimental. Examples include deforestation, agriculture, and urbanisation.</v>
      </c>
      <c r="K406" s="1"/>
      <c r="L406" s="8" t="str">
        <f ca="1">IFERROR(__xludf.DUMMYFUNCTION("""COMPUTED_VALUE"""),"https://doi.org/10.1038/s41597-022-01234-4")</f>
        <v>https://doi.org/10.1038/s41597-022-01234-4</v>
      </c>
      <c r="M406" s="1" t="str">
        <f ca="1">IFERROR(__xludf.DUMMYFUNCTION("""COMPUTED_VALUE"""),"Tanalgo_2022")</f>
        <v>Tanalgo_2022</v>
      </c>
    </row>
    <row r="407" spans="1:16" ht="13.2">
      <c r="A407" s="1" t="str">
        <f ca="1">IFERROR(__xludf.DUMMYFUNCTION("""COMPUTED_VALUE"""),"Pollution")</f>
        <v>Pollution</v>
      </c>
      <c r="B407" s="1" t="str">
        <f ca="1">IFERROR(__xludf.DUMMYFUNCTION("""COMPUTED_VALUE"""),"Indirect threats")</f>
        <v>Indirect threats</v>
      </c>
      <c r="C407" s="1"/>
      <c r="D407" s="1"/>
      <c r="E407" s="1" t="str">
        <f ca="1">IFERROR(__xludf.DUMMYFUNCTION("""COMPUTED_VALUE"""),"binomial")</f>
        <v>binomial</v>
      </c>
      <c r="F407" s="1" t="str">
        <f ca="1">IFERROR(__xludf.DUMMYFUNCTION("""COMPUTED_VALUE"""),".na")</f>
        <v>.na</v>
      </c>
      <c r="G407" s="1" t="str">
        <f ca="1">IFERROR(__xludf.DUMMYFUNCTION("""COMPUTED_VALUE"""),"Yes = 1, No = 0")</f>
        <v>Yes = 1, No = 0</v>
      </c>
      <c r="H407" s="1" t="str">
        <f ca="1">IFERROR(__xludf.DUMMYFUNCTION("""COMPUTED_VALUE"""),".na")</f>
        <v>.na</v>
      </c>
      <c r="I407" s="1" t="str">
        <f ca="1">IFERROR(__xludf.DUMMYFUNCTION("""COMPUTED_VALUE"""),".na")</f>
        <v>.na</v>
      </c>
      <c r="J407" s="1" t="str">
        <f ca="1">IFERROR(__xludf.DUMMYFUNCTION("""COMPUTED_VALUE"""),"Indirect threats (Tind) refer to the threats outside cave systems or within cave proximity, of which the impacts to populations are secondary or non-immediate but otherwise detrimental. Examples include deforestation, agriculture, and urbanisation.")</f>
        <v>Indirect threats (Tind) refer to the threats outside cave systems or within cave proximity, of which the impacts to populations are secondary or non-immediate but otherwise detrimental. Examples include deforestation, agriculture, and urbanisation.</v>
      </c>
      <c r="K407" s="1"/>
      <c r="L407" s="8" t="str">
        <f ca="1">IFERROR(__xludf.DUMMYFUNCTION("""COMPUTED_VALUE"""),"https://doi.org/10.1038/s41597-022-01234-4")</f>
        <v>https://doi.org/10.1038/s41597-022-01234-4</v>
      </c>
      <c r="M407" s="1" t="str">
        <f ca="1">IFERROR(__xludf.DUMMYFUNCTION("""COMPUTED_VALUE"""),"Tanalgo_2022")</f>
        <v>Tanalgo_2022</v>
      </c>
    </row>
    <row r="408" spans="1:16" ht="13.2">
      <c r="A408" s="1" t="str">
        <f ca="1">IFERROR(__xludf.DUMMYFUNCTION("""COMPUTED_VALUE"""),"Road.kills")</f>
        <v>Road.kills</v>
      </c>
      <c r="B408" s="1" t="str">
        <f ca="1">IFERROR(__xludf.DUMMYFUNCTION("""COMPUTED_VALUE"""),"Indirect threats")</f>
        <v>Indirect threats</v>
      </c>
      <c r="C408" s="1"/>
      <c r="D408" s="1"/>
      <c r="E408" s="1" t="str">
        <f ca="1">IFERROR(__xludf.DUMMYFUNCTION("""COMPUTED_VALUE"""),"binomial")</f>
        <v>binomial</v>
      </c>
      <c r="F408" s="1" t="str">
        <f ca="1">IFERROR(__xludf.DUMMYFUNCTION("""COMPUTED_VALUE"""),".na")</f>
        <v>.na</v>
      </c>
      <c r="G408" s="1" t="str">
        <f ca="1">IFERROR(__xludf.DUMMYFUNCTION("""COMPUTED_VALUE"""),"Yes = 1, No = 0")</f>
        <v>Yes = 1, No = 0</v>
      </c>
      <c r="H408" s="1" t="str">
        <f ca="1">IFERROR(__xludf.DUMMYFUNCTION("""COMPUTED_VALUE"""),".na")</f>
        <v>.na</v>
      </c>
      <c r="I408" s="1" t="str">
        <f ca="1">IFERROR(__xludf.DUMMYFUNCTION("""COMPUTED_VALUE"""),".na")</f>
        <v>.na</v>
      </c>
      <c r="J408" s="1" t="str">
        <f ca="1">IFERROR(__xludf.DUMMYFUNCTION("""COMPUTED_VALUE"""),"Indirect threats (Tind) refer to the threats outside cave systems or within cave proximity, of which the impacts to populations are secondary or non-immediate but otherwise detrimental. Examples include deforestation, agriculture, and urbanisation.")</f>
        <v>Indirect threats (Tind) refer to the threats outside cave systems or within cave proximity, of which the impacts to populations are secondary or non-immediate but otherwise detrimental. Examples include deforestation, agriculture, and urbanisation.</v>
      </c>
      <c r="K408" s="1"/>
      <c r="L408" s="8" t="str">
        <f ca="1">IFERROR(__xludf.DUMMYFUNCTION("""COMPUTED_VALUE"""),"https://doi.org/10.1038/s41597-022-01234-4")</f>
        <v>https://doi.org/10.1038/s41597-022-01234-4</v>
      </c>
      <c r="M408" s="1" t="str">
        <f ca="1">IFERROR(__xludf.DUMMYFUNCTION("""COMPUTED_VALUE"""),"Tanalgo_2022")</f>
        <v>Tanalgo_2022</v>
      </c>
    </row>
    <row r="409" spans="1:16" ht="13.2">
      <c r="A409" s="1" t="str">
        <f ca="1">IFERROR(__xludf.DUMMYFUNCTION("""COMPUTED_VALUE"""),"Disease.parasites")</f>
        <v>Disease.parasites</v>
      </c>
      <c r="B409" s="1" t="str">
        <f ca="1">IFERROR(__xludf.DUMMYFUNCTION("""COMPUTED_VALUE"""),"Natural threats")</f>
        <v>Natural threats</v>
      </c>
      <c r="C409" s="1"/>
      <c r="D409" s="1"/>
      <c r="E409" s="1" t="str">
        <f ca="1">IFERROR(__xludf.DUMMYFUNCTION("""COMPUTED_VALUE"""),"binomial")</f>
        <v>binomial</v>
      </c>
      <c r="F409" s="1" t="str">
        <f ca="1">IFERROR(__xludf.DUMMYFUNCTION("""COMPUTED_VALUE"""),".na")</f>
        <v>.na</v>
      </c>
      <c r="G409" s="1" t="str">
        <f ca="1">IFERROR(__xludf.DUMMYFUNCTION("""COMPUTED_VALUE"""),"Yes = 1, No = 0")</f>
        <v>Yes = 1, No = 0</v>
      </c>
      <c r="H409" s="1" t="str">
        <f ca="1">IFERROR(__xludf.DUMMYFUNCTION("""COMPUTED_VALUE"""),".na")</f>
        <v>.na</v>
      </c>
      <c r="I409" s="1" t="str">
        <f ca="1">IFERROR(__xludf.DUMMYFUNCTION("""COMPUTED_VALUE"""),".na")</f>
        <v>.na</v>
      </c>
      <c r="J409" s="1" t="str">
        <f ca="1">IFERROR(__xludf.DUMMYFUNCTION("""COMPUTED_VALUE"""),"Lastly, Natural threats (Tnat) refer to threats that are natural in origin, though their frequency may be impacted by human activities, and that may directly or indirectly impact populations, such as diseases (e.g., White-nose syndrome) and climate-driven"&amp;" risks (e.g., drought, extreme cold)")</f>
        <v>Lastly, Natural threats (Tnat) refer to threats that are natural in origin, though their frequency may be impacted by human activities, and that may directly or indirectly impact populations, such as diseases (e.g., White-nose syndrome) and climate-driven risks (e.g., drought, extreme cold)</v>
      </c>
      <c r="K409" s="1"/>
      <c r="L409" s="8" t="str">
        <f ca="1">IFERROR(__xludf.DUMMYFUNCTION("""COMPUTED_VALUE"""),"https://doi.org/10.1038/s41597-022-01234-4")</f>
        <v>https://doi.org/10.1038/s41597-022-01234-4</v>
      </c>
      <c r="M409" s="1" t="str">
        <f ca="1">IFERROR(__xludf.DUMMYFUNCTION("""COMPUTED_VALUE"""),"Tanalgo_2022")</f>
        <v>Tanalgo_2022</v>
      </c>
    </row>
    <row r="410" spans="1:16" ht="13.2">
      <c r="A410" s="1" t="str">
        <f ca="1">IFERROR(__xludf.DUMMYFUNCTION("""COMPUTED_VALUE"""),"Invasive.species")</f>
        <v>Invasive.species</v>
      </c>
      <c r="B410" s="1" t="str">
        <f ca="1">IFERROR(__xludf.DUMMYFUNCTION("""COMPUTED_VALUE"""),"Natural threats")</f>
        <v>Natural threats</v>
      </c>
      <c r="C410" s="1"/>
      <c r="D410" s="1"/>
      <c r="E410" s="1" t="str">
        <f ca="1">IFERROR(__xludf.DUMMYFUNCTION("""COMPUTED_VALUE"""),"binomial")</f>
        <v>binomial</v>
      </c>
      <c r="F410" s="1" t="str">
        <f ca="1">IFERROR(__xludf.DUMMYFUNCTION("""COMPUTED_VALUE"""),".na")</f>
        <v>.na</v>
      </c>
      <c r="G410" s="1" t="str">
        <f ca="1">IFERROR(__xludf.DUMMYFUNCTION("""COMPUTED_VALUE"""),"Yes = 1, No = 0")</f>
        <v>Yes = 1, No = 0</v>
      </c>
      <c r="H410" s="1" t="str">
        <f ca="1">IFERROR(__xludf.DUMMYFUNCTION("""COMPUTED_VALUE"""),".na")</f>
        <v>.na</v>
      </c>
      <c r="I410" s="1" t="str">
        <f ca="1">IFERROR(__xludf.DUMMYFUNCTION("""COMPUTED_VALUE"""),".na")</f>
        <v>.na</v>
      </c>
      <c r="J410" s="1" t="str">
        <f ca="1">IFERROR(__xludf.DUMMYFUNCTION("""COMPUTED_VALUE"""),"Lastly, Natural threats (Tnat) refer to threats that are natural in origin, though their frequency may be impacted by human activities, and that may directly or indirectly impact populations, such as diseases (e.g., White-nose syndrome) and climate-driven"&amp;" risks (e.g., drought, extreme cold)")</f>
        <v>Lastly, Natural threats (Tnat) refer to threats that are natural in origin, though their frequency may be impacted by human activities, and that may directly or indirectly impact populations, such as diseases (e.g., White-nose syndrome) and climate-driven risks (e.g., drought, extreme cold)</v>
      </c>
      <c r="K410" s="1"/>
      <c r="L410" s="8" t="str">
        <f ca="1">IFERROR(__xludf.DUMMYFUNCTION("""COMPUTED_VALUE"""),"https://doi.org/10.1038/s41597-022-01234-4")</f>
        <v>https://doi.org/10.1038/s41597-022-01234-4</v>
      </c>
      <c r="M410" s="1" t="str">
        <f ca="1">IFERROR(__xludf.DUMMYFUNCTION("""COMPUTED_VALUE"""),"Tanalgo_2022")</f>
        <v>Tanalgo_2022</v>
      </c>
    </row>
    <row r="411" spans="1:16" ht="13.2">
      <c r="A411" s="1" t="str">
        <f ca="1">IFERROR(__xludf.DUMMYFUNCTION("""COMPUTED_VALUE"""),"Fires")</f>
        <v>Fires</v>
      </c>
      <c r="B411" s="1" t="str">
        <f ca="1">IFERROR(__xludf.DUMMYFUNCTION("""COMPUTED_VALUE"""),"Natural threats")</f>
        <v>Natural threats</v>
      </c>
      <c r="C411" s="1"/>
      <c r="D411" s="1"/>
      <c r="E411" s="1" t="str">
        <f ca="1">IFERROR(__xludf.DUMMYFUNCTION("""COMPUTED_VALUE"""),"binomial")</f>
        <v>binomial</v>
      </c>
      <c r="F411" s="1" t="str">
        <f ca="1">IFERROR(__xludf.DUMMYFUNCTION("""COMPUTED_VALUE"""),".na")</f>
        <v>.na</v>
      </c>
      <c r="G411" s="1" t="str">
        <f ca="1">IFERROR(__xludf.DUMMYFUNCTION("""COMPUTED_VALUE"""),"Yes = 1, No = 0")</f>
        <v>Yes = 1, No = 0</v>
      </c>
      <c r="H411" s="1" t="str">
        <f ca="1">IFERROR(__xludf.DUMMYFUNCTION("""COMPUTED_VALUE"""),".na")</f>
        <v>.na</v>
      </c>
      <c r="I411" s="1" t="str">
        <f ca="1">IFERROR(__xludf.DUMMYFUNCTION("""COMPUTED_VALUE"""),".na")</f>
        <v>.na</v>
      </c>
      <c r="J411" s="1" t="str">
        <f ca="1">IFERROR(__xludf.DUMMYFUNCTION("""COMPUTED_VALUE"""),"Lastly, Natural threats (Tnat) refer to threats that are natural in origin, though their frequency may be impacted by human activities, and that may directly or indirectly impact populations, such as diseases (e.g., White-nose syndrome) and climate-driven"&amp;" risks (e.g., drought, extreme cold)")</f>
        <v>Lastly, Natural threats (Tnat) refer to threats that are natural in origin, though their frequency may be impacted by human activities, and that may directly or indirectly impact populations, such as diseases (e.g., White-nose syndrome) and climate-driven risks (e.g., drought, extreme cold)</v>
      </c>
      <c r="K411" s="1"/>
      <c r="L411" s="8" t="str">
        <f ca="1">IFERROR(__xludf.DUMMYFUNCTION("""COMPUTED_VALUE"""),"https://doi.org/10.1038/s41597-022-01234-4")</f>
        <v>https://doi.org/10.1038/s41597-022-01234-4</v>
      </c>
      <c r="M411" s="1" t="str">
        <f ca="1">IFERROR(__xludf.DUMMYFUNCTION("""COMPUTED_VALUE"""),"Tanalgo_2022")</f>
        <v>Tanalgo_2022</v>
      </c>
    </row>
    <row r="412" spans="1:16" ht="13.2">
      <c r="A412" s="1" t="str">
        <f ca="1">IFERROR(__xludf.DUMMYFUNCTION("""COMPUTED_VALUE"""),"Drought")</f>
        <v>Drought</v>
      </c>
      <c r="B412" s="1" t="str">
        <f ca="1">IFERROR(__xludf.DUMMYFUNCTION("""COMPUTED_VALUE"""),"Natural threats")</f>
        <v>Natural threats</v>
      </c>
      <c r="C412" s="1"/>
      <c r="D412" s="1"/>
      <c r="E412" s="1" t="str">
        <f ca="1">IFERROR(__xludf.DUMMYFUNCTION("""COMPUTED_VALUE"""),"binomial")</f>
        <v>binomial</v>
      </c>
      <c r="F412" s="1" t="str">
        <f ca="1">IFERROR(__xludf.DUMMYFUNCTION("""COMPUTED_VALUE"""),".na")</f>
        <v>.na</v>
      </c>
      <c r="G412" s="1" t="str">
        <f ca="1">IFERROR(__xludf.DUMMYFUNCTION("""COMPUTED_VALUE"""),"Yes = 1, No = 0")</f>
        <v>Yes = 1, No = 0</v>
      </c>
      <c r="H412" s="1" t="str">
        <f ca="1">IFERROR(__xludf.DUMMYFUNCTION("""COMPUTED_VALUE"""),".na")</f>
        <v>.na</v>
      </c>
      <c r="I412" s="1" t="str">
        <f ca="1">IFERROR(__xludf.DUMMYFUNCTION("""COMPUTED_VALUE"""),".na")</f>
        <v>.na</v>
      </c>
      <c r="J412" s="1" t="str">
        <f ca="1">IFERROR(__xludf.DUMMYFUNCTION("""COMPUTED_VALUE"""),"Lastly, Natural threats (Tnat) refer to threats that are natural in origin, though their frequency may be impacted by human activities, and that may directly or indirectly impact populations, such as diseases (e.g., White-nose syndrome) and climate-driven"&amp;" risks (e.g., drought, extreme cold)")</f>
        <v>Lastly, Natural threats (Tnat) refer to threats that are natural in origin, though their frequency may be impacted by human activities, and that may directly or indirectly impact populations, such as diseases (e.g., White-nose syndrome) and climate-driven risks (e.g., drought, extreme cold)</v>
      </c>
      <c r="K412" s="1"/>
      <c r="L412" s="8" t="str">
        <f ca="1">IFERROR(__xludf.DUMMYFUNCTION("""COMPUTED_VALUE"""),"https://doi.org/10.1038/s41597-022-01234-4")</f>
        <v>https://doi.org/10.1038/s41597-022-01234-4</v>
      </c>
      <c r="M412" s="1" t="str">
        <f ca="1">IFERROR(__xludf.DUMMYFUNCTION("""COMPUTED_VALUE"""),"Tanalgo_2022")</f>
        <v>Tanalgo_2022</v>
      </c>
    </row>
    <row r="413" spans="1:16" ht="13.2">
      <c r="A413" s="1" t="str">
        <f ca="1">IFERROR(__xludf.DUMMYFUNCTION("""COMPUTED_VALUE"""),"Extreme.cold")</f>
        <v>Extreme.cold</v>
      </c>
      <c r="B413" s="1" t="str">
        <f ca="1">IFERROR(__xludf.DUMMYFUNCTION("""COMPUTED_VALUE"""),"Natural threats")</f>
        <v>Natural threats</v>
      </c>
      <c r="C413" s="1"/>
      <c r="D413" s="1"/>
      <c r="E413" s="1" t="str">
        <f ca="1">IFERROR(__xludf.DUMMYFUNCTION("""COMPUTED_VALUE"""),"binomial")</f>
        <v>binomial</v>
      </c>
      <c r="F413" s="1" t="str">
        <f ca="1">IFERROR(__xludf.DUMMYFUNCTION("""COMPUTED_VALUE"""),".na")</f>
        <v>.na</v>
      </c>
      <c r="G413" s="1" t="str">
        <f ca="1">IFERROR(__xludf.DUMMYFUNCTION("""COMPUTED_VALUE"""),"Yes = 1, No = 0")</f>
        <v>Yes = 1, No = 0</v>
      </c>
      <c r="H413" s="1" t="str">
        <f ca="1">IFERROR(__xludf.DUMMYFUNCTION("""COMPUTED_VALUE"""),".na")</f>
        <v>.na</v>
      </c>
      <c r="I413" s="1" t="str">
        <f ca="1">IFERROR(__xludf.DUMMYFUNCTION("""COMPUTED_VALUE"""),".na")</f>
        <v>.na</v>
      </c>
      <c r="J413" s="1" t="str">
        <f ca="1">IFERROR(__xludf.DUMMYFUNCTION("""COMPUTED_VALUE"""),"Lastly, Natural threats (Tnat) refer to threats that are natural in origin, though their frequency may be impacted by human activities, and that may directly or indirectly impact populations, such as diseases (e.g., White-nose syndrome) and climate-driven"&amp;" risks (e.g., drought, extreme cold)")</f>
        <v>Lastly, Natural threats (Tnat) refer to threats that are natural in origin, though their frequency may be impacted by human activities, and that may directly or indirectly impact populations, such as diseases (e.g., White-nose syndrome) and climate-driven risks (e.g., drought, extreme cold)</v>
      </c>
      <c r="K413" s="1"/>
      <c r="L413" s="8" t="str">
        <f ca="1">IFERROR(__xludf.DUMMYFUNCTION("""COMPUTED_VALUE"""),"https://doi.org/10.1038/s41597-022-01234-4")</f>
        <v>https://doi.org/10.1038/s41597-022-01234-4</v>
      </c>
      <c r="M413" s="1" t="str">
        <f ca="1">IFERROR(__xludf.DUMMYFUNCTION("""COMPUTED_VALUE"""),"Tanalgo_2022")</f>
        <v>Tanalgo_2022</v>
      </c>
    </row>
    <row r="414" spans="1:16" ht="13.2">
      <c r="A414" s="1" t="str">
        <f ca="1">IFERROR(__xludf.DUMMYFUNCTION("""COMPUTED_VALUE"""),"Storm")</f>
        <v>Storm</v>
      </c>
      <c r="B414" s="1" t="str">
        <f ca="1">IFERROR(__xludf.DUMMYFUNCTION("""COMPUTED_VALUE"""),"Natural threats")</f>
        <v>Natural threats</v>
      </c>
      <c r="C414" s="1"/>
      <c r="D414" s="1"/>
      <c r="E414" s="1" t="str">
        <f ca="1">IFERROR(__xludf.DUMMYFUNCTION("""COMPUTED_VALUE"""),"binomial")</f>
        <v>binomial</v>
      </c>
      <c r="F414" s="1" t="str">
        <f ca="1">IFERROR(__xludf.DUMMYFUNCTION("""COMPUTED_VALUE"""),".na")</f>
        <v>.na</v>
      </c>
      <c r="G414" s="1" t="str">
        <f ca="1">IFERROR(__xludf.DUMMYFUNCTION("""COMPUTED_VALUE"""),"Yes = 1, No = 0")</f>
        <v>Yes = 1, No = 0</v>
      </c>
      <c r="H414" s="1" t="str">
        <f ca="1">IFERROR(__xludf.DUMMYFUNCTION("""COMPUTED_VALUE"""),".na")</f>
        <v>.na</v>
      </c>
      <c r="I414" s="1" t="str">
        <f ca="1">IFERROR(__xludf.DUMMYFUNCTION("""COMPUTED_VALUE"""),".na")</f>
        <v>.na</v>
      </c>
      <c r="J414" s="1" t="str">
        <f ca="1">IFERROR(__xludf.DUMMYFUNCTION("""COMPUTED_VALUE"""),"Lastly, Natural threats (Tnat) refer to threats that are natural in origin, though their frequency may be impacted by human activities, and that may directly or indirectly impact populations, such as diseases (e.g., White-nose syndrome) and climate-driven"&amp;" risks (e.g., drought, extreme cold)")</f>
        <v>Lastly, Natural threats (Tnat) refer to threats that are natural in origin, though their frequency may be impacted by human activities, and that may directly or indirectly impact populations, such as diseases (e.g., White-nose syndrome) and climate-driven risks (e.g., drought, extreme cold)</v>
      </c>
      <c r="K414" s="1"/>
      <c r="L414" s="8" t="str">
        <f ca="1">IFERROR(__xludf.DUMMYFUNCTION("""COMPUTED_VALUE"""),"https://doi.org/10.1038/s41597-022-01234-4")</f>
        <v>https://doi.org/10.1038/s41597-022-01234-4</v>
      </c>
      <c r="M414" s="1" t="str">
        <f ca="1">IFERROR(__xludf.DUMMYFUNCTION("""COMPUTED_VALUE"""),"Tanalgo_2022")</f>
        <v>Tanalgo_2022</v>
      </c>
    </row>
    <row r="415" spans="1:16" ht="13.2">
      <c r="A415" s="1" t="str">
        <f ca="1">IFERROR(__xludf.DUMMYFUNCTION("IMPORTRANGE(""https://docs.google.com/spreadsheets/d/1BCbdmKz-Qgtt7rB_ylKiWolmoC4I0weZUT_oqDACokI/edit?gid=438712908#gid=438712908"", ""Wilkinson_2002!D3:P10"")"),"Record 
life span")</f>
        <v>Record 
life span</v>
      </c>
      <c r="B415" s="1"/>
      <c r="C415" s="1"/>
      <c r="D415" s="1"/>
      <c r="E415" s="1" t="str">
        <f ca="1">IFERROR(__xludf.DUMMYFUNCTION("""COMPUTED_VALUE"""),"numerical")</f>
        <v>numerical</v>
      </c>
      <c r="F415" s="1"/>
      <c r="G415" s="1" t="str">
        <f ca="1">IFERROR(__xludf.DUMMYFUNCTION("""COMPUTED_VALUE"""),".na")</f>
        <v>.na</v>
      </c>
      <c r="H415" s="1"/>
      <c r="I415" s="1"/>
      <c r="J415" s="1" t="str">
        <f ca="1">IFERROR(__xludf.DUMMYFUNCTION("""COMPUTED_VALUE"""),"Records of longevity and associated life history and ecological variables were obtained for 64 species of bats (see Supplementary materials http://www.blackwell-science.co.uk/products/journals/suppmat/ACE/ACE020/ACE020sm.htm) either from the primary liter"&amp;"ature or from personal records of resighted or recaptured animals banded in the field.")</f>
        <v>Records of longevity and associated life history and ecological variables were obtained for 64 species of bats (see Supplementary materials http://www.blackwell-science.co.uk/products/journals/suppmat/ACE/ACE020/ACE020sm.htm) either from the primary literature or from personal records of resighted or recaptured animals banded in the field.</v>
      </c>
      <c r="K415" s="1"/>
      <c r="L415" s="8" t="str">
        <f ca="1">IFERROR(__xludf.DUMMYFUNCTION("""COMPUTED_VALUE"""),"https://doi.org/10.1046/j.1474-9728.2002.00020.x")</f>
        <v>https://doi.org/10.1046/j.1474-9728.2002.00020.x</v>
      </c>
      <c r="M415" s="1" t="str">
        <f ca="1">IFERROR(__xludf.DUMMYFUNCTION("""COMPUTED_VALUE"""),"Wilkinson_2002")</f>
        <v>Wilkinson_2002</v>
      </c>
      <c r="P415" s="9"/>
    </row>
    <row r="416" spans="1:16" ht="13.2">
      <c r="A416" s="1" t="str">
        <f ca="1">IFERROR(__xludf.DUMMYFUNCTION("""COMPUTED_VALUE"""),"Progeny 
per year")</f>
        <v>Progeny 
per year</v>
      </c>
      <c r="B416" s="1"/>
      <c r="C416" s="1"/>
      <c r="D416" s="1"/>
      <c r="E416" s="1" t="str">
        <f ca="1">IFERROR(__xludf.DUMMYFUNCTION("""COMPUTED_VALUE"""),"numerical")</f>
        <v>numerical</v>
      </c>
      <c r="F416" s="1"/>
      <c r="G416" s="1" t="str">
        <f ca="1">IFERROR(__xludf.DUMMYFUNCTION("""COMPUTED_VALUE"""),".na")</f>
        <v>.na</v>
      </c>
      <c r="H416" s="1"/>
      <c r="I416" s="1"/>
      <c r="J416" s="1" t="str">
        <f ca="1">IFERROR(__xludf.DUMMYFUNCTION("""COMPUTED_VALUE"""),"Reproductive rate was estimated as the product of average litter size and the average number of births per year.")</f>
        <v>Reproductive rate was estimated as the product of average litter size and the average number of births per year.</v>
      </c>
      <c r="K416" s="1"/>
      <c r="L416" s="8" t="str">
        <f ca="1">IFERROR(__xludf.DUMMYFUNCTION("""COMPUTED_VALUE"""),"https://doi.org/10.1046/j.1474-9728.2002.00020.x")</f>
        <v>https://doi.org/10.1046/j.1474-9728.2002.00020.x</v>
      </c>
      <c r="M416" s="1" t="str">
        <f ca="1">IFERROR(__xludf.DUMMYFUNCTION("""COMPUTED_VALUE"""),"Wilkinson_2002")</f>
        <v>Wilkinson_2002</v>
      </c>
    </row>
    <row r="417" spans="1:13" ht="13.2">
      <c r="A417" s="1" t="str">
        <f ca="1">IFERROR(__xludf.DUMMYFUNCTION("""COMPUTED_VALUE"""),"Latitude")</f>
        <v>Latitude</v>
      </c>
      <c r="B417" s="1"/>
      <c r="C417" s="1"/>
      <c r="D417" s="1"/>
      <c r="E417" s="1" t="str">
        <f ca="1">IFERROR(__xludf.DUMMYFUNCTION("""COMPUTED_VALUE"""),"numerical")</f>
        <v>numerical</v>
      </c>
      <c r="F417" s="1"/>
      <c r="G417" s="1" t="str">
        <f ca="1">IFERROR(__xludf.DUMMYFUNCTION("""COMPUTED_VALUE"""),".na")</f>
        <v>.na</v>
      </c>
      <c r="H417" s="1"/>
      <c r="I417" s="1"/>
      <c r="J417" s="1" t="str">
        <f ca="1">IFERROR(__xludf.DUMMYFUNCTION("""COMPUTED_VALUE"""),"We either used the latitude where a longevity record was obtained or the latitude at the middle of a species’ range as reported in the literature.")</f>
        <v>We either used the latitude where a longevity record was obtained or the latitude at the middle of a species’ range as reported in the literature.</v>
      </c>
      <c r="K417" s="1"/>
      <c r="L417" s="8" t="str">
        <f ca="1">IFERROR(__xludf.DUMMYFUNCTION("""COMPUTED_VALUE"""),"https://doi.org/10.1046/j.1474-9728.2002.00020.x")</f>
        <v>https://doi.org/10.1046/j.1474-9728.2002.00020.x</v>
      </c>
      <c r="M417" s="1" t="str">
        <f ca="1">IFERROR(__xludf.DUMMYFUNCTION("""COMPUTED_VALUE"""),"Wilkinson_2002")</f>
        <v>Wilkinson_2002</v>
      </c>
    </row>
    <row r="418" spans="1:13" ht="13.2">
      <c r="A418" s="1" t="str">
        <f ca="1">IFERROR(__xludf.DUMMYFUNCTION("""COMPUTED_VALUE"""),"Colony 
size")</f>
        <v>Colony 
size</v>
      </c>
      <c r="B418" s="1"/>
      <c r="C418" s="1"/>
      <c r="D418" s="1"/>
      <c r="E418" s="1" t="str">
        <f ca="1">IFERROR(__xludf.DUMMYFUNCTION("""COMPUTED_VALUE"""),"numerical")</f>
        <v>numerical</v>
      </c>
      <c r="F418" s="1"/>
      <c r="G418" s="1" t="str">
        <f ca="1">IFERROR(__xludf.DUMMYFUNCTION("""COMPUTED_VALUE"""),".na")</f>
        <v>.na</v>
      </c>
      <c r="H418" s="1"/>
      <c r="I418" s="1"/>
      <c r="J418" s="1" t="str">
        <f ca="1">IFERROR(__xludf.DUMMYFUNCTION("""COMPUTED_VALUE"""),"Median colony size was taken from previous reviews (Hosken, 1997, 1998) or from species accounts in the literature.")</f>
        <v>Median colony size was taken from previous reviews (Hosken, 1997, 1998) or from species accounts in the literature.</v>
      </c>
      <c r="K418" s="1"/>
      <c r="L418" s="8" t="str">
        <f ca="1">IFERROR(__xludf.DUMMYFUNCTION("""COMPUTED_VALUE"""),"https://doi.org/10.1046/j.1474-9728.2002.00020.x")</f>
        <v>https://doi.org/10.1046/j.1474-9728.2002.00020.x</v>
      </c>
      <c r="M418" s="1" t="str">
        <f ca="1">IFERROR(__xludf.DUMMYFUNCTION("""COMPUTED_VALUE"""),"Wilkinson_2002")</f>
        <v>Wilkinson_2002</v>
      </c>
    </row>
    <row r="419" spans="1:13" ht="13.2">
      <c r="A419" s="1" t="str">
        <f ca="1">IFERROR(__xludf.DUMMYFUNCTION("""COMPUTED_VALUE"""),"Female 
mass (g)")</f>
        <v>Female 
mass (g)</v>
      </c>
      <c r="B419" s="1"/>
      <c r="C419" s="1"/>
      <c r="D419" s="1"/>
      <c r="E419" s="1" t="str">
        <f ca="1">IFERROR(__xludf.DUMMYFUNCTION("""COMPUTED_VALUE"""),"numerical")</f>
        <v>numerical</v>
      </c>
      <c r="F419" s="1" t="str">
        <f ca="1">IFERROR(__xludf.DUMMYFUNCTION("""COMPUTED_VALUE"""),"g")</f>
        <v>g</v>
      </c>
      <c r="G419" s="1" t="str">
        <f ca="1">IFERROR(__xludf.DUMMYFUNCTION("""COMPUTED_VALUE"""),".na")</f>
        <v>.na</v>
      </c>
      <c r="H419" s="1"/>
      <c r="I419" s="1"/>
      <c r="J419" s="1" t="str">
        <f ca="1">IFERROR(__xludf.DUMMYFUNCTION("""COMPUTED_VALUE"""),"When available, we used average body mass of the individuals for which longevity records were available. Otherwise, we used average body mass of females reported in the literature.")</f>
        <v>When available, we used average body mass of the individuals for which longevity records were available. Otherwise, we used average body mass of females reported in the literature.</v>
      </c>
      <c r="K419" s="1"/>
      <c r="L419" s="8" t="str">
        <f ca="1">IFERROR(__xludf.DUMMYFUNCTION("""COMPUTED_VALUE"""),"https://doi.org/10.1046/j.1474-9728.2002.00020.x")</f>
        <v>https://doi.org/10.1046/j.1474-9728.2002.00020.x</v>
      </c>
      <c r="M419" s="1" t="str">
        <f ca="1">IFERROR(__xludf.DUMMYFUNCTION("""COMPUTED_VALUE"""),"Wilkinson_2002")</f>
        <v>Wilkinson_2002</v>
      </c>
    </row>
    <row r="420" spans="1:13" ht="13.2">
      <c r="A420" s="1" t="str">
        <f ca="1">IFERROR(__xludf.DUMMYFUNCTION("""COMPUTED_VALUE"""),"Hibernate")</f>
        <v>Hibernate</v>
      </c>
      <c r="B420" s="1"/>
      <c r="C420" s="1"/>
      <c r="D420" s="1"/>
      <c r="E420" s="1" t="str">
        <f ca="1">IFERROR(__xludf.DUMMYFUNCTION("""COMPUTED_VALUE"""),"categorical")</f>
        <v>categorical</v>
      </c>
      <c r="F420" s="1" t="str">
        <f ca="1">IFERROR(__xludf.DUMMYFUNCTION("""COMPUTED_VALUE"""),".na")</f>
        <v>.na</v>
      </c>
      <c r="G420" s="1" t="str">
        <f ca="1">IFERROR(__xludf.DUMMYFUNCTION("""COMPUTED_VALUE"""),"yes, no")</f>
        <v>yes, no</v>
      </c>
      <c r="H420" s="1" t="str">
        <f ca="1">IFERROR(__xludf.DUMMYFUNCTION("""COMPUTED_VALUE"""),".na")</f>
        <v>.na</v>
      </c>
      <c r="I420" s="1" t="str">
        <f ca="1">IFERROR(__xludf.DUMMYFUNCTION("""COMPUTED_VALUE"""),".na")</f>
        <v>.na</v>
      </c>
      <c r="J420" s="1"/>
      <c r="K420" s="1"/>
      <c r="L420" s="8" t="str">
        <f ca="1">IFERROR(__xludf.DUMMYFUNCTION("""COMPUTED_VALUE"""),"https://doi.org/10.1046/j.1474-9728.2002.00020.x")</f>
        <v>https://doi.org/10.1046/j.1474-9728.2002.00020.x</v>
      </c>
      <c r="M420" s="1" t="str">
        <f ca="1">IFERROR(__xludf.DUMMYFUNCTION("""COMPUTED_VALUE"""),"Wilkinson_2002")</f>
        <v>Wilkinson_2002</v>
      </c>
    </row>
    <row r="421" spans="1:13" ht="13.2">
      <c r="A421" s="1" t="str">
        <f ca="1">IFERROR(__xludf.DUMMYFUNCTION("""COMPUTED_VALUE"""),"Cave 
roost")</f>
        <v>Cave 
roost</v>
      </c>
      <c r="B421" s="1"/>
      <c r="C421" s="1"/>
      <c r="D421" s="1"/>
      <c r="E421" s="1" t="str">
        <f ca="1">IFERROR(__xludf.DUMMYFUNCTION("""COMPUTED_VALUE"""),"categorical")</f>
        <v>categorical</v>
      </c>
      <c r="F421" s="1" t="str">
        <f ca="1">IFERROR(__xludf.DUMMYFUNCTION("""COMPUTED_VALUE"""),".na")</f>
        <v>.na</v>
      </c>
      <c r="G421" s="1" t="str">
        <f ca="1">IFERROR(__xludf.DUMMYFUNCTION("""COMPUTED_VALUE"""),"never, sometimes, always")</f>
        <v>never, sometimes, always</v>
      </c>
      <c r="H421" s="1" t="str">
        <f ca="1">IFERROR(__xludf.DUMMYFUNCTION("""COMPUTED_VALUE"""),".na")</f>
        <v>.na</v>
      </c>
      <c r="I421" s="1" t="str">
        <f ca="1">IFERROR(__xludf.DUMMYFUNCTION("""COMPUTED_VALUE"""),".na")</f>
        <v>.na</v>
      </c>
      <c r="J421" s="1" t="str">
        <f ca="1">IFERROR(__xludf.DUMMYFUNCTION("""COMPUTED_VALUE"""),"Bats utilize a variety of roosting sites, including foliage, caves, tree hollows, and man-made structures (Kunz, 1982) with some species using different types of roosts in different regions or times of the year. To reduce the potential complexity of this "&amp;"variable we scored roosting habit as either always in a cave, never in a cave or sometimes use a cave.")</f>
        <v>Bats utilize a variety of roosting sites, including foliage, caves, tree hollows, and man-made structures (Kunz, 1982) with some species using different types of roosts in different regions or times of the year. To reduce the potential complexity of this variable we scored roosting habit as either always in a cave, never in a cave or sometimes use a cave.</v>
      </c>
      <c r="K421" s="1"/>
      <c r="L421" s="8" t="str">
        <f ca="1">IFERROR(__xludf.DUMMYFUNCTION("""COMPUTED_VALUE"""),"https://doi.org/10.1046/j.1474-9728.2002.00020.x")</f>
        <v>https://doi.org/10.1046/j.1474-9728.2002.00020.x</v>
      </c>
      <c r="M421" s="1" t="str">
        <f ca="1">IFERROR(__xludf.DUMMYFUNCTION("""COMPUTED_VALUE"""),"Wilkinson_2002")</f>
        <v>Wilkinson_2002</v>
      </c>
    </row>
    <row r="422" spans="1:13" ht="13.2">
      <c r="A422" s="1" t="str">
        <f ca="1">IFERROR(__xludf.DUMMYFUNCTION("""COMPUTED_VALUE"""),"Diet")</f>
        <v>Diet</v>
      </c>
      <c r="B422" s="1"/>
      <c r="C422" s="1"/>
      <c r="D422" s="1"/>
      <c r="E422" s="1" t="str">
        <f ca="1">IFERROR(__xludf.DUMMYFUNCTION("""COMPUTED_VALUE"""),"categorical")</f>
        <v>categorical</v>
      </c>
      <c r="F422" s="1" t="str">
        <f ca="1">IFERROR(__xludf.DUMMYFUNCTION("""COMPUTED_VALUE"""),".na")</f>
        <v>.na</v>
      </c>
      <c r="G422" s="1" t="str">
        <f ca="1">IFERROR(__xludf.DUMMYFUNCTION("""COMPUTED_VALUE"""),"animal, fruit")</f>
        <v>animal, fruit</v>
      </c>
      <c r="H422" s="1" t="str">
        <f ca="1">IFERROR(__xludf.DUMMYFUNCTION("""COMPUTED_VALUE"""),".na")</f>
        <v>.na</v>
      </c>
      <c r="I422" s="1" t="str">
        <f ca="1">IFERROR(__xludf.DUMMYFUNCTION("""COMPUTED_VALUE"""),".na")</f>
        <v>.na</v>
      </c>
      <c r="J422" s="1" t="str">
        <f ca="1">IFERROR(__xludf.DUMMYFUNCTION("""COMPUTED_VALUE"""),"We reduced the potential complexity associated with diet either to consuming animal matter or to consuming fruit or nectar.")</f>
        <v>We reduced the potential complexity associated with diet either to consuming animal matter or to consuming fruit or nectar.</v>
      </c>
      <c r="K422" s="1"/>
      <c r="L422" s="8" t="str">
        <f ca="1">IFERROR(__xludf.DUMMYFUNCTION("""COMPUTED_VALUE"""),"https://doi.org/10.1046/j.1474-9728.2002.00020.x")</f>
        <v>https://doi.org/10.1046/j.1474-9728.2002.00020.x</v>
      </c>
      <c r="M422" s="1" t="str">
        <f ca="1">IFERROR(__xludf.DUMMYFUNCTION("""COMPUTED_VALUE"""),"Wilkinson_2002")</f>
        <v>Wilkinson_2002</v>
      </c>
    </row>
    <row r="423" spans="1:13" ht="13.2">
      <c r="A423" s="1" t="str">
        <f ca="1">IFERROR(__xludf.DUMMYFUNCTION("IMPORTRANGE(""https://docs.google.com/spreadsheets/d/1BCbdmKz-Qgtt7rB_ylKiWolmoC4I0weZUT_oqDACokI/edit?gid=1902673695#gid=1902673695"", ""'Herberstein_2022'!D3:P11"")"),"sex")</f>
        <v>sex</v>
      </c>
      <c r="B423" s="1"/>
      <c r="C423" s="1"/>
      <c r="D423" s="1"/>
      <c r="E423" s="1" t="str">
        <f ca="1">IFERROR(__xludf.DUMMYFUNCTION("""COMPUTED_VALUE"""),"categorical")</f>
        <v>categorical</v>
      </c>
      <c r="F423" s="1" t="str">
        <f ca="1">IFERROR(__xludf.DUMMYFUNCTION("""COMPUTED_VALUE"""),".na")</f>
        <v>.na</v>
      </c>
      <c r="G423" s="1" t="str">
        <f ca="1">IFERROR(__xludf.DUMMYFUNCTION("""COMPUTED_VALUE"""),"male, female")</f>
        <v>male, female</v>
      </c>
      <c r="H423" s="1" t="str">
        <f ca="1">IFERROR(__xludf.DUMMYFUNCTION("""COMPUTED_VALUE"""),".na")</f>
        <v>.na</v>
      </c>
      <c r="I423" s="1" t="str">
        <f ca="1">IFERROR(__xludf.DUMMYFUNCTION("""COMPUTED_VALUE"""),".na")</f>
        <v>.na</v>
      </c>
      <c r="J423" s="1" t="str">
        <f ca="1">IFERROR(__xludf.DUMMYFUNCTION("""COMPUTED_VALUE"""),"The sex of the individual(s).")</f>
        <v>The sex of the individual(s).</v>
      </c>
      <c r="K423" s="1"/>
      <c r="L423" s="8" t="str">
        <f ca="1">IFERROR(__xludf.DUMMYFUNCTION("""COMPUTED_VALUE"""),"https://doi.org/10.1038/s41597-022-01364-9")</f>
        <v>https://doi.org/10.1038/s41597-022-01364-9</v>
      </c>
      <c r="M423" s="1" t="str">
        <f ca="1">IFERROR(__xludf.DUMMYFUNCTION("""COMPUTED_VALUE"""),"Herberstein_2022")</f>
        <v>Herberstein_2022</v>
      </c>
    </row>
    <row r="424" spans="1:13" ht="13.2">
      <c r="A424" s="1" t="str">
        <f ca="1">IFERROR(__xludf.DUMMYFUNCTION("""COMPUTED_VALUE"""),"body mass")</f>
        <v>body mass</v>
      </c>
      <c r="B424" s="1"/>
      <c r="C424" s="1"/>
      <c r="D424" s="1"/>
      <c r="E424" s="1" t="str">
        <f ca="1">IFERROR(__xludf.DUMMYFUNCTION("""COMPUTED_VALUE"""),"numeric")</f>
        <v>numeric</v>
      </c>
      <c r="F424" s="1" t="str">
        <f ca="1">IFERROR(__xludf.DUMMYFUNCTION("""COMPUTED_VALUE"""),"kg")</f>
        <v>kg</v>
      </c>
      <c r="G424" s="1" t="str">
        <f ca="1">IFERROR(__xludf.DUMMYFUNCTION("""COMPUTED_VALUE"""),".na")</f>
        <v>.na</v>
      </c>
      <c r="H424" s="1"/>
      <c r="I424" s="1"/>
      <c r="J424" s="1" t="str">
        <f ca="1">IFERROR(__xludf.DUMMYFUNCTION("""COMPUTED_VALUE"""),"Numeric standardised body mass value")</f>
        <v>Numeric standardised body mass value</v>
      </c>
      <c r="K424" s="1"/>
      <c r="L424" s="8" t="str">
        <f ca="1">IFERROR(__xludf.DUMMYFUNCTION("""COMPUTED_VALUE"""),"https://doi.org/10.1038/s41597-022-01364-9")</f>
        <v>https://doi.org/10.1038/s41597-022-01364-9</v>
      </c>
      <c r="M424" s="1" t="str">
        <f ca="1">IFERROR(__xludf.DUMMYFUNCTION("""COMPUTED_VALUE"""),"Herberstein_2022")</f>
        <v>Herberstein_2022</v>
      </c>
    </row>
    <row r="425" spans="1:13" ht="13.2">
      <c r="A425" s="1" t="str">
        <f ca="1">IFERROR(__xludf.DUMMYFUNCTION("""COMPUTED_VALUE"""),"original body mass")</f>
        <v>original body mass</v>
      </c>
      <c r="B425" s="1"/>
      <c r="C425" s="1"/>
      <c r="D425" s="1"/>
      <c r="E425" s="1" t="str">
        <f ca="1">IFERROR(__xludf.DUMMYFUNCTION("""COMPUTED_VALUE"""),"numeric")</f>
        <v>numeric</v>
      </c>
      <c r="F425" s="1"/>
      <c r="G425" s="1" t="str">
        <f ca="1">IFERROR(__xludf.DUMMYFUNCTION("""COMPUTED_VALUE"""),".na")</f>
        <v>.na</v>
      </c>
      <c r="H425" s="1"/>
      <c r="I425" s="1"/>
      <c r="J425" s="1" t="str">
        <f ca="1">IFERROR(__xludf.DUMMYFUNCTION("""COMPUTED_VALUE"""),"Unstandardised mass or weight value from source document")</f>
        <v>Unstandardised mass or weight value from source document</v>
      </c>
      <c r="K425" s="1"/>
      <c r="L425" s="8" t="str">
        <f ca="1">IFERROR(__xludf.DUMMYFUNCTION("""COMPUTED_VALUE"""),"https://doi.org/10.1038/s41597-022-01364-9")</f>
        <v>https://doi.org/10.1038/s41597-022-01364-9</v>
      </c>
      <c r="M425" s="1" t="str">
        <f ca="1">IFERROR(__xludf.DUMMYFUNCTION("""COMPUTED_VALUE"""),"Herberstein_2022")</f>
        <v>Herberstein_2022</v>
      </c>
    </row>
    <row r="426" spans="1:13" ht="13.2">
      <c r="A426" s="1" t="str">
        <f ca="1">IFERROR(__xludf.DUMMYFUNCTION("""COMPUTED_VALUE"""),"metabolic rate")</f>
        <v>metabolic rate</v>
      </c>
      <c r="B426" s="1"/>
      <c r="C426" s="1"/>
      <c r="D426" s="1"/>
      <c r="E426" s="1" t="str">
        <f ca="1">IFERROR(__xludf.DUMMYFUNCTION("""COMPUTED_VALUE"""),"numeric")</f>
        <v>numeric</v>
      </c>
      <c r="F426" s="1" t="str">
        <f ca="1">IFERROR(__xludf.DUMMYFUNCTION("""COMPUTED_VALUE"""),"W")</f>
        <v>W</v>
      </c>
      <c r="G426" s="1" t="str">
        <f ca="1">IFERROR(__xludf.DUMMYFUNCTION("""COMPUTED_VALUE"""),".na")</f>
        <v>.na</v>
      </c>
      <c r="H426" s="1"/>
      <c r="I426" s="1"/>
      <c r="J426" s="1" t="str">
        <f ca="1">IFERROR(__xludf.DUMMYFUNCTION("""COMPUTED_VALUE"""),"Numeric standardised metabolic rate value")</f>
        <v>Numeric standardised metabolic rate value</v>
      </c>
      <c r="K426" s="1"/>
      <c r="L426" s="8" t="str">
        <f ca="1">IFERROR(__xludf.DUMMYFUNCTION("""COMPUTED_VALUE"""),"https://doi.org/10.1038/s41597-022-01364-9")</f>
        <v>https://doi.org/10.1038/s41597-022-01364-9</v>
      </c>
      <c r="M426" s="1" t="str">
        <f ca="1">IFERROR(__xludf.DUMMYFUNCTION("""COMPUTED_VALUE"""),"Herberstein_2022")</f>
        <v>Herberstein_2022</v>
      </c>
    </row>
    <row r="427" spans="1:13" ht="13.2">
      <c r="A427" s="1" t="str">
        <f ca="1">IFERROR(__xludf.DUMMYFUNCTION("""COMPUTED_VALUE"""),"original metabolic rate")</f>
        <v>original metabolic rate</v>
      </c>
      <c r="B427" s="1"/>
      <c r="C427" s="1"/>
      <c r="D427" s="1"/>
      <c r="E427" s="1" t="str">
        <f ca="1">IFERROR(__xludf.DUMMYFUNCTION("""COMPUTED_VALUE"""),"numeric")</f>
        <v>numeric</v>
      </c>
      <c r="F427" s="1"/>
      <c r="G427" s="1" t="str">
        <f ca="1">IFERROR(__xludf.DUMMYFUNCTION("""COMPUTED_VALUE"""),".na")</f>
        <v>.na</v>
      </c>
      <c r="H427" s="1"/>
      <c r="I427" s="1"/>
      <c r="J427" s="1" t="str">
        <f ca="1">IFERROR(__xludf.DUMMYFUNCTION("""COMPUTED_VALUE"""),"Unstandardised metabolic rate value from source document")</f>
        <v>Unstandardised metabolic rate value from source document</v>
      </c>
      <c r="K427" s="1"/>
      <c r="L427" s="8" t="str">
        <f ca="1">IFERROR(__xludf.DUMMYFUNCTION("""COMPUTED_VALUE"""),"https://doi.org/10.1038/s41597-022-01364-9")</f>
        <v>https://doi.org/10.1038/s41597-022-01364-9</v>
      </c>
      <c r="M427" s="1" t="str">
        <f ca="1">IFERROR(__xludf.DUMMYFUNCTION("""COMPUTED_VALUE"""),"Herberstein_2022")</f>
        <v>Herberstein_2022</v>
      </c>
    </row>
    <row r="428" spans="1:13" ht="13.2">
      <c r="A428" s="1" t="str">
        <f ca="1">IFERROR(__xludf.DUMMYFUNCTION("""COMPUTED_VALUE"""),"original temperature")</f>
        <v>original temperature</v>
      </c>
      <c r="B428" s="1"/>
      <c r="C428" s="1"/>
      <c r="D428" s="1"/>
      <c r="E428" s="1" t="str">
        <f ca="1">IFERROR(__xludf.DUMMYFUNCTION("""COMPUTED_VALUE"""),"numeric")</f>
        <v>numeric</v>
      </c>
      <c r="F428" s="1"/>
      <c r="G428" s="1" t="str">
        <f ca="1">IFERROR(__xludf.DUMMYFUNCTION("""COMPUTED_VALUE"""),".na")</f>
        <v>.na</v>
      </c>
      <c r="H428" s="1"/>
      <c r="I428" s="1"/>
      <c r="J428" s="1" t="str">
        <f ca="1">IFERROR(__xludf.DUMMYFUNCTION("""COMPUTED_VALUE"""),"Temperature at which metabolic rate was measured")</f>
        <v>Temperature at which metabolic rate was measured</v>
      </c>
      <c r="K428" s="1"/>
      <c r="L428" s="8" t="str">
        <f ca="1">IFERROR(__xludf.DUMMYFUNCTION("""COMPUTED_VALUE"""),"https://doi.org/10.1038/s41597-022-01364-9")</f>
        <v>https://doi.org/10.1038/s41597-022-01364-9</v>
      </c>
      <c r="M428" s="1" t="str">
        <f ca="1">IFERROR(__xludf.DUMMYFUNCTION("""COMPUTED_VALUE"""),"Herberstein_2022")</f>
        <v>Herberstein_2022</v>
      </c>
    </row>
    <row r="429" spans="1:13" ht="13.2">
      <c r="A429" s="1" t="str">
        <f ca="1">IFERROR(__xludf.DUMMYFUNCTION("""COMPUTED_VALUE"""),"mass-specific metabolic rate")</f>
        <v>mass-specific metabolic rate</v>
      </c>
      <c r="B429" s="1"/>
      <c r="C429" s="1"/>
      <c r="D429" s="1"/>
      <c r="E429" s="1" t="str">
        <f ca="1">IFERROR(__xludf.DUMMYFUNCTION("""COMPUTED_VALUE"""),"numeric")</f>
        <v>numeric</v>
      </c>
      <c r="F429" s="1"/>
      <c r="G429" s="1" t="str">
        <f ca="1">IFERROR(__xludf.DUMMYFUNCTION("""COMPUTED_VALUE"""),".na")</f>
        <v>.na</v>
      </c>
      <c r="H429" s="1"/>
      <c r="I429" s="1"/>
      <c r="J429" s="1" t="str">
        <f ca="1">IFERROR(__xludf.DUMMYFUNCTION("""COMPUTED_VALUE"""),"Numeric standardised metabolic rate / body mass")</f>
        <v>Numeric standardised metabolic rate / body mass</v>
      </c>
      <c r="K429" s="1"/>
      <c r="L429" s="8" t="str">
        <f ca="1">IFERROR(__xludf.DUMMYFUNCTION("""COMPUTED_VALUE"""),"https://doi.org/10.1038/s41597-022-01364-9")</f>
        <v>https://doi.org/10.1038/s41597-022-01364-9</v>
      </c>
      <c r="M429" s="1" t="str">
        <f ca="1">IFERROR(__xludf.DUMMYFUNCTION("""COMPUTED_VALUE"""),"Herberstein_2022")</f>
        <v>Herberstein_2022</v>
      </c>
    </row>
    <row r="430" spans="1:13" ht="13.2">
      <c r="A430" s="1" t="str">
        <f ca="1">IFERROR(__xludf.DUMMYFUNCTION("""COMPUTED_VALUE"""),"brain size")</f>
        <v>brain size</v>
      </c>
      <c r="B430" s="1"/>
      <c r="C430" s="1"/>
      <c r="D430" s="1"/>
      <c r="E430" s="1" t="str">
        <f ca="1">IFERROR(__xludf.DUMMYFUNCTION("""COMPUTED_VALUE"""),"numeric")</f>
        <v>numeric</v>
      </c>
      <c r="F430" s="1" t="str">
        <f ca="1">IFERROR(__xludf.DUMMYFUNCTION("""COMPUTED_VALUE"""),"g")</f>
        <v>g</v>
      </c>
      <c r="G430" s="1" t="str">
        <f ca="1">IFERROR(__xludf.DUMMYFUNCTION("""COMPUTED_VALUE"""),".na")</f>
        <v>.na</v>
      </c>
      <c r="H430" s="1"/>
      <c r="I430" s="1"/>
      <c r="J430" s="1" t="str">
        <f ca="1">IFERROR(__xludf.DUMMYFUNCTION("""COMPUTED_VALUE"""),"Numeric standardised brain size")</f>
        <v>Numeric standardised brain size</v>
      </c>
      <c r="K430" s="1"/>
      <c r="L430" s="8" t="str">
        <f ca="1">IFERROR(__xludf.DUMMYFUNCTION("""COMPUTED_VALUE"""),"https://doi.org/10.1038/s41597-022-01364-9")</f>
        <v>https://doi.org/10.1038/s41597-022-01364-9</v>
      </c>
      <c r="M430" s="1" t="str">
        <f ca="1">IFERROR(__xludf.DUMMYFUNCTION("""COMPUTED_VALUE"""),"Herberstein_2022")</f>
        <v>Herberstein_2022</v>
      </c>
    </row>
    <row r="431" spans="1:13" ht="13.2">
      <c r="A431" s="1" t="str">
        <f ca="1">IFERROR(__xludf.DUMMYFUNCTION("""COMPUTED_VALUE"""),"original brain size")</f>
        <v>original brain size</v>
      </c>
      <c r="B431" s="1"/>
      <c r="C431" s="1"/>
      <c r="D431" s="1"/>
      <c r="E431" s="1" t="str">
        <f ca="1">IFERROR(__xludf.DUMMYFUNCTION("""COMPUTED_VALUE"""),"numeric")</f>
        <v>numeric</v>
      </c>
      <c r="F431" s="1"/>
      <c r="G431" s="1" t="str">
        <f ca="1">IFERROR(__xludf.DUMMYFUNCTION("""COMPUTED_VALUE"""),".na")</f>
        <v>.na</v>
      </c>
      <c r="H431" s="1"/>
      <c r="I431" s="1"/>
      <c r="J431" s="1" t="str">
        <f ca="1">IFERROR(__xludf.DUMMYFUNCTION("""COMPUTED_VALUE"""),"Unstandardised brain size from source document")</f>
        <v>Unstandardised brain size from source document</v>
      </c>
      <c r="K431" s="1"/>
      <c r="L431" s="8" t="str">
        <f ca="1">IFERROR(__xludf.DUMMYFUNCTION("""COMPUTED_VALUE"""),"https://doi.org/10.1038/s41597-022-01364-9")</f>
        <v>https://doi.org/10.1038/s41597-022-01364-9</v>
      </c>
      <c r="M431" s="1" t="str">
        <f ca="1">IFERROR(__xludf.DUMMYFUNCTION("""COMPUTED_VALUE"""),"Herberstein_2022")</f>
        <v>Herberstein_2022</v>
      </c>
    </row>
    <row r="432" spans="1:13" ht="13.2">
      <c r="A432" s="9" t="str">
        <f ca="1">IFERROR(__xludf.DUMMYFUNCTION("IMPORTRANGE(""https://docs.google.com/spreadsheets/d/1BCbdmKz-Qgtt7rB_ylKiWolmoC4I0weZUT_oqDACokI/edit?gid=2071140144#gid=2071140144"", ""'Gonçalvez-Souza_2023'!D3:P248"")"),"diet")</f>
        <v>diet</v>
      </c>
      <c r="B432" s="1"/>
      <c r="C432" s="1"/>
      <c r="D432" s="1"/>
      <c r="E432" s="1" t="str">
        <f ca="1">IFERROR(__xludf.DUMMYFUNCTION("""COMPUTED_VALUE"""),"categorical")</f>
        <v>categorical</v>
      </c>
      <c r="F432" s="1" t="str">
        <f ca="1">IFERROR(__xludf.DUMMYFUNCTION("""COMPUTED_VALUE"""),".na")</f>
        <v>.na</v>
      </c>
      <c r="G432" s="1" t="str">
        <f ca="1">IFERROR(__xludf.DUMMYFUNCTION("""COMPUTED_VALUE"""),"(1) animalivore species that occasionally feed on fruits (e.g. phyllostomines, micronycterines), (2) nectar-feeding species which are secondary frugivorous but frequently feed on fruits (glossophagines and lonchophyllines), and (3) obligatory frugivores s"&amp;"pecies which are highly dependent on fruit (carolliines and stenordermatines)")</f>
        <v>(1) animalivore species that occasionally feed on fruits (e.g. phyllostomines, micronycterines), (2) nectar-feeding species which are secondary frugivorous but frequently feed on fruits (glossophagines and lonchophyllines), and (3) obligatory frugivores species which are highly dependent on fruit (carolliines and stenordermatines)</v>
      </c>
      <c r="H432" s="1" t="str">
        <f ca="1">IFERROR(__xludf.DUMMYFUNCTION("""COMPUTED_VALUE"""),".na")</f>
        <v>.na</v>
      </c>
      <c r="I432" s="1" t="str">
        <f ca="1">IFERROR(__xludf.DUMMYFUNCTION("""COMPUTED_VALUE"""),".na")</f>
        <v>.na</v>
      </c>
      <c r="J432" s="1" t="str">
        <f ca="1">IFERROR(__xludf.DUMMYFUNCTION("""COMPUTED_VALUE"""),"For diet, we used a previous classification of degree of frugivory in the Neotropical bat family Phyllostomidae (Lobova et al. 2009; Fleming and Kress 2013; Mello et al. 2015) which is: (1) animalivore species that occasionally feed on fruits (e.g. phyllo"&amp;"stomines, micronycterines), (2) nectar-feeding species which are secondary frugivorous but frequently feed on fruits (glossophagines and lonchophyllines), and (3) obligatory frugivores species which are highly dependent on fruit (carolliines and stenorder"&amp;"matines).")</f>
        <v>For diet, we used a previous classification of degree of frugivory in the Neotropical bat family Phyllostomidae (Lobova et al. 2009; Fleming and Kress 2013; Mello et al. 2015) which is: (1) animalivore species that occasionally feed on fruits (e.g. phyllostomines, micronycterines), (2) nectar-feeding species which are secondary frugivorous but frequently feed on fruits (glossophagines and lonchophyllines), and (3) obligatory frugivores species which are highly dependent on fruit (carolliines and stenordermatines).</v>
      </c>
      <c r="K432" s="1" t="str">
        <f ca="1">IFERROR(__xludf.DUMMYFUNCTION("""COMPUTED_VALUE"""),"effect")</f>
        <v>effect</v>
      </c>
      <c r="L432" s="1" t="str">
        <f ca="1">IFERROR(__xludf.DUMMYFUNCTION("""COMPUTED_VALUE"""),"10.1007/s00442-020-04662-4")</f>
        <v>10.1007/s00442-020-04662-4</v>
      </c>
      <c r="M432" s="1" t="str">
        <f ca="1">IFERROR(__xludf.DUMMYFUNCTION("""COMPUTED_VALUE"""),"Laurindo_2020")</f>
        <v>Laurindo_2020</v>
      </c>
    </row>
    <row r="433" spans="1:13" ht="13.2">
      <c r="A433" s="1" t="str">
        <f ca="1">IFERROR(__xludf.DUMMYFUNCTION("""COMPUTED_VALUE"""),"aspect ratio")</f>
        <v>aspect ratio</v>
      </c>
      <c r="B433" s="1"/>
      <c r="C433" s="1"/>
      <c r="D433" s="1"/>
      <c r="E433" s="1" t="str">
        <f ca="1">IFERROR(__xludf.DUMMYFUNCTION("""COMPUTED_VALUE"""),"numeric")</f>
        <v>numeric</v>
      </c>
      <c r="F433" s="1"/>
      <c r="G433" s="1" t="str">
        <f ca="1">IFERROR(__xludf.DUMMYFUNCTION("""COMPUTED_VALUE"""),".na")</f>
        <v>.na</v>
      </c>
      <c r="H433" s="1"/>
      <c r="I433" s="1"/>
      <c r="J433" s="1" t="str">
        <f ca="1">IFERROR(__xludf.DUMMYFUNCTION("""COMPUTED_VALUE"""),"We used aspect ratio (AR), i.e. the ratio between wingspan and wing area, as the morphological trait related to wing shape.")</f>
        <v>We used aspect ratio (AR), i.e. the ratio between wingspan and wing area, as the morphological trait related to wing shape.</v>
      </c>
      <c r="K433" s="1" t="str">
        <f ca="1">IFERROR(__xludf.DUMMYFUNCTION("""COMPUTED_VALUE"""),"effect")</f>
        <v>effect</v>
      </c>
      <c r="L433" s="1" t="str">
        <f ca="1">IFERROR(__xludf.DUMMYFUNCTION("""COMPUTED_VALUE"""),"10.1007/s00442-020-04662-4")</f>
        <v>10.1007/s00442-020-04662-4</v>
      </c>
      <c r="M433" s="1" t="str">
        <f ca="1">IFERROR(__xludf.DUMMYFUNCTION("""COMPUTED_VALUE"""),"Laurindo_2020")</f>
        <v>Laurindo_2020</v>
      </c>
    </row>
    <row r="434" spans="1:13" ht="13.2">
      <c r="A434" s="1" t="str">
        <f ca="1">IFERROR(__xludf.DUMMYFUNCTION("""COMPUTED_VALUE"""),"body mass")</f>
        <v>body mass</v>
      </c>
      <c r="B434" s="1"/>
      <c r="C434" s="1"/>
      <c r="D434" s="1"/>
      <c r="E434" s="1" t="str">
        <f ca="1">IFERROR(__xludf.DUMMYFUNCTION("""COMPUTED_VALUE"""),"numeric")</f>
        <v>numeric</v>
      </c>
      <c r="F434" s="1"/>
      <c r="G434" s="1" t="str">
        <f ca="1">IFERROR(__xludf.DUMMYFUNCTION("""COMPUTED_VALUE"""),".na")</f>
        <v>.na</v>
      </c>
      <c r="H434" s="1"/>
      <c r="I434" s="1"/>
      <c r="J434" s="1"/>
      <c r="K434" s="1" t="str">
        <f ca="1">IFERROR(__xludf.DUMMYFUNCTION("""COMPUTED_VALUE"""),"effect")</f>
        <v>effect</v>
      </c>
      <c r="L434" s="1" t="str">
        <f ca="1">IFERROR(__xludf.DUMMYFUNCTION("""COMPUTED_VALUE"""),"10.1007/s00442-020-04662-4")</f>
        <v>10.1007/s00442-020-04662-4</v>
      </c>
      <c r="M434" s="1" t="str">
        <f ca="1">IFERROR(__xludf.DUMMYFUNCTION("""COMPUTED_VALUE"""),"Laurindo_2020")</f>
        <v>Laurindo_2020</v>
      </c>
    </row>
    <row r="435" spans="1:13" ht="13.2">
      <c r="A435" s="1" t="str">
        <f ca="1">IFERROR(__xludf.DUMMYFUNCTION("""COMPUTED_VALUE"""),"greatest skull length")</f>
        <v>greatest skull length</v>
      </c>
      <c r="B435" s="1" t="str">
        <f ca="1">IFERROR(__xludf.DUMMYFUNCTION("""COMPUTED_VALUE"""),"skull shape")</f>
        <v>skull shape</v>
      </c>
      <c r="C435" s="1"/>
      <c r="D435" s="1"/>
      <c r="E435" s="1" t="str">
        <f ca="1">IFERROR(__xludf.DUMMYFUNCTION("""COMPUTED_VALUE"""),"numeric")</f>
        <v>numeric</v>
      </c>
      <c r="F435" s="1"/>
      <c r="G435" s="1" t="str">
        <f ca="1">IFERROR(__xludf.DUMMYFUNCTION("""COMPUTED_VALUE"""),".na")</f>
        <v>.na</v>
      </c>
      <c r="H435" s="1"/>
      <c r="I435" s="1"/>
      <c r="J435" s="1" t="str">
        <f ca="1">IFERROR(__xludf.DUMMYFUNCTION("""COMPUTED_VALUE"""),"Selected skull dimensions were the greatest length, braincase and zygomatic breadth. Because these tree variables are highly correlated (Appendix 3), we ran a principal component analysis (PCA) to summarize the three measurements in a unique variable (PC1"&amp;").")</f>
        <v>Selected skull dimensions were the greatest length, braincase and zygomatic breadth. Because these tree variables are highly correlated (Appendix 3), we ran a principal component analysis (PCA) to summarize the three measurements in a unique variable (PC1).</v>
      </c>
      <c r="K435" s="1" t="str">
        <f ca="1">IFERROR(__xludf.DUMMYFUNCTION("""COMPUTED_VALUE"""),"effect")</f>
        <v>effect</v>
      </c>
      <c r="L435" s="1" t="str">
        <f ca="1">IFERROR(__xludf.DUMMYFUNCTION("""COMPUTED_VALUE"""),"10.1007/s00442-020-04662-4")</f>
        <v>10.1007/s00442-020-04662-4</v>
      </c>
      <c r="M435" s="1" t="str">
        <f ca="1">IFERROR(__xludf.DUMMYFUNCTION("""COMPUTED_VALUE"""),"Laurindo_2020")</f>
        <v>Laurindo_2020</v>
      </c>
    </row>
    <row r="436" spans="1:13" ht="13.2">
      <c r="A436" s="1" t="str">
        <f ca="1">IFERROR(__xludf.DUMMYFUNCTION("""COMPUTED_VALUE"""),"braincase breadth")</f>
        <v>braincase breadth</v>
      </c>
      <c r="B436" s="1" t="str">
        <f ca="1">IFERROR(__xludf.DUMMYFUNCTION("""COMPUTED_VALUE"""),"skull shape")</f>
        <v>skull shape</v>
      </c>
      <c r="C436" s="1"/>
      <c r="D436" s="1"/>
      <c r="E436" s="1" t="str">
        <f ca="1">IFERROR(__xludf.DUMMYFUNCTION("""COMPUTED_VALUE"""),"numeric")</f>
        <v>numeric</v>
      </c>
      <c r="F436" s="1"/>
      <c r="G436" s="1" t="str">
        <f ca="1">IFERROR(__xludf.DUMMYFUNCTION("""COMPUTED_VALUE"""),".na")</f>
        <v>.na</v>
      </c>
      <c r="H436" s="1"/>
      <c r="I436" s="1"/>
      <c r="J436" s="1" t="str">
        <f ca="1">IFERROR(__xludf.DUMMYFUNCTION("""COMPUTED_VALUE"""),"Selected skull dimensions were the greatest length, braincase and zygomatic breadth. Because these tree variables are highly correlated (Appendix 3), we ran a principal component analysis (PCA) to summarize the three measurements in a unique variable (PC1"&amp;").")</f>
        <v>Selected skull dimensions were the greatest length, braincase and zygomatic breadth. Because these tree variables are highly correlated (Appendix 3), we ran a principal component analysis (PCA) to summarize the three measurements in a unique variable (PC1).</v>
      </c>
      <c r="K436" s="1" t="str">
        <f ca="1">IFERROR(__xludf.DUMMYFUNCTION("""COMPUTED_VALUE"""),"effect")</f>
        <v>effect</v>
      </c>
      <c r="L436" s="1" t="str">
        <f ca="1">IFERROR(__xludf.DUMMYFUNCTION("""COMPUTED_VALUE"""),"10.1007/s00442-020-04662-4")</f>
        <v>10.1007/s00442-020-04662-4</v>
      </c>
      <c r="M436" s="1" t="str">
        <f ca="1">IFERROR(__xludf.DUMMYFUNCTION("""COMPUTED_VALUE"""),"Laurindo_2020")</f>
        <v>Laurindo_2020</v>
      </c>
    </row>
    <row r="437" spans="1:13" ht="13.2">
      <c r="A437" s="1" t="str">
        <f ca="1">IFERROR(__xludf.DUMMYFUNCTION("""COMPUTED_VALUE"""),"zygomatic breadth")</f>
        <v>zygomatic breadth</v>
      </c>
      <c r="B437" s="1" t="str">
        <f ca="1">IFERROR(__xludf.DUMMYFUNCTION("""COMPUTED_VALUE"""),"skull shape")</f>
        <v>skull shape</v>
      </c>
      <c r="C437" s="1"/>
      <c r="D437" s="1"/>
      <c r="E437" s="1" t="str">
        <f ca="1">IFERROR(__xludf.DUMMYFUNCTION("""COMPUTED_VALUE"""),"numeric")</f>
        <v>numeric</v>
      </c>
      <c r="F437" s="1"/>
      <c r="G437" s="1" t="str">
        <f ca="1">IFERROR(__xludf.DUMMYFUNCTION("""COMPUTED_VALUE"""),".na")</f>
        <v>.na</v>
      </c>
      <c r="H437" s="1"/>
      <c r="I437" s="1"/>
      <c r="J437" s="1" t="str">
        <f ca="1">IFERROR(__xludf.DUMMYFUNCTION("""COMPUTED_VALUE"""),"Selected skull dimensions were the greatest length, braincase and zygomatic breadth. Because these tree variables are highly correlated (Appendix 3), we ran a principal component analysis (PCA) to summarize the three measurements in a unique variable (PC1"&amp;").")</f>
        <v>Selected skull dimensions were the greatest length, braincase and zygomatic breadth. Because these tree variables are highly correlated (Appendix 3), we ran a principal component analysis (PCA) to summarize the three measurements in a unique variable (PC1).</v>
      </c>
      <c r="K437" s="1" t="str">
        <f ca="1">IFERROR(__xludf.DUMMYFUNCTION("""COMPUTED_VALUE"""),"effect")</f>
        <v>effect</v>
      </c>
      <c r="L437" s="1" t="str">
        <f ca="1">IFERROR(__xludf.DUMMYFUNCTION("""COMPUTED_VALUE"""),"10.1007/s00442-020-04662-4")</f>
        <v>10.1007/s00442-020-04662-4</v>
      </c>
      <c r="M437" s="1" t="str">
        <f ca="1">IFERROR(__xludf.DUMMYFUNCTION("""COMPUTED_VALUE"""),"Laurindo_2020")</f>
        <v>Laurindo_2020</v>
      </c>
    </row>
    <row r="438" spans="1:13" ht="13.2">
      <c r="A438" s="1" t="str">
        <f ca="1">IFERROR(__xludf.DUMMYFUNCTION("""COMPUTED_VALUE"""),"foraging guild")</f>
        <v>foraging guild</v>
      </c>
      <c r="B438" s="1"/>
      <c r="C438" s="1"/>
      <c r="D438" s="1"/>
      <c r="E438" s="1" t="str">
        <f ca="1">IFERROR(__xludf.DUMMYFUNCTION("""COMPUTED_VALUE"""),"categorical")</f>
        <v>categorical</v>
      </c>
      <c r="F438" s="1" t="str">
        <f ca="1">IFERROR(__xludf.DUMMYFUNCTION("""COMPUTED_VALUE"""),".na")</f>
        <v>.na</v>
      </c>
      <c r="G438" s="1" t="str">
        <f ca="1">IFERROR(__xludf.DUMMYFUNCTION("""COMPUTED_VALUE"""),"mixed, open, edge, glean")</f>
        <v>mixed, open, edge, glean</v>
      </c>
      <c r="H438" s="1" t="str">
        <f ca="1">IFERROR(__xludf.DUMMYFUNCTION("""COMPUTED_VALUE"""),".na")</f>
        <v>.na</v>
      </c>
      <c r="I438" s="1" t="str">
        <f ca="1">IFERROR(__xludf.DUMMYFUNCTION("""COMPUTED_VALUE"""),".na")</f>
        <v>.na</v>
      </c>
      <c r="J438" s="1"/>
      <c r="K438" s="1" t="str">
        <f ca="1">IFERROR(__xludf.DUMMYFUNCTION("""COMPUTED_VALUE"""),"response")</f>
        <v>response</v>
      </c>
      <c r="L438" s="1" t="str">
        <f ca="1">IFERROR(__xludf.DUMMYFUNCTION("""COMPUTED_VALUE"""),"10.1098/rspb.2018.2193")</f>
        <v>10.1098/rspb.2018.2193</v>
      </c>
      <c r="M438" s="1" t="str">
        <f ca="1">IFERROR(__xludf.DUMMYFUNCTION("""COMPUTED_VALUE"""),"Barbaro_2019")</f>
        <v>Barbaro_2019</v>
      </c>
    </row>
    <row r="439" spans="1:13" ht="13.2">
      <c r="A439" s="1" t="str">
        <f ca="1">IFERROR(__xludf.DUMMYFUNCTION("""COMPUTED_VALUE"""),"diet specialization")</f>
        <v>diet specialization</v>
      </c>
      <c r="B439" s="1"/>
      <c r="C439" s="1"/>
      <c r="D439" s="1"/>
      <c r="E439" s="1" t="str">
        <f ca="1">IFERROR(__xludf.DUMMYFUNCTION("""COMPUTED_VALUE"""),"categorical")</f>
        <v>categorical</v>
      </c>
      <c r="F439" s="1" t="str">
        <f ca="1">IFERROR(__xludf.DUMMYFUNCTION("""COMPUTED_VALUE"""),".na")</f>
        <v>.na</v>
      </c>
      <c r="G439" s="1" t="str">
        <f ca="1">IFERROR(__xludf.DUMMYFUNCTION("""COMPUTED_VALUE"""),"spec, interm, gener")</f>
        <v>spec, interm, gener</v>
      </c>
      <c r="H439" s="1" t="str">
        <f ca="1">IFERROR(__xludf.DUMMYFUNCTION("""COMPUTED_VALUE"""),".na")</f>
        <v>.na</v>
      </c>
      <c r="I439" s="1" t="str">
        <f ca="1">IFERROR(__xludf.DUMMYFUNCTION("""COMPUTED_VALUE"""),".na")</f>
        <v>.na</v>
      </c>
      <c r="J439" s="1"/>
      <c r="K439" s="1" t="str">
        <f ca="1">IFERROR(__xludf.DUMMYFUNCTION("""COMPUTED_VALUE"""),"response")</f>
        <v>response</v>
      </c>
      <c r="L439" s="1" t="str">
        <f ca="1">IFERROR(__xludf.DUMMYFUNCTION("""COMPUTED_VALUE"""),"10.1098/rspb.2018.2193")</f>
        <v>10.1098/rspb.2018.2193</v>
      </c>
      <c r="M439" s="1" t="str">
        <f ca="1">IFERROR(__xludf.DUMMYFUNCTION("""COMPUTED_VALUE"""),"Barbaro_2019")</f>
        <v>Barbaro_2019</v>
      </c>
    </row>
    <row r="440" spans="1:13" ht="13.2">
      <c r="A440" s="1" t="str">
        <f ca="1">IFERROR(__xludf.DUMMYFUNCTION("""COMPUTED_VALUE"""),"nursery site")</f>
        <v>nursery site</v>
      </c>
      <c r="B440" s="1"/>
      <c r="C440" s="1"/>
      <c r="D440" s="1"/>
      <c r="E440" s="1" t="str">
        <f ca="1">IFERROR(__xludf.DUMMYFUNCTION("""COMPUTED_VALUE"""),"categorical")</f>
        <v>categorical</v>
      </c>
      <c r="F440" s="1" t="str">
        <f ca="1">IFERROR(__xludf.DUMMYFUNCTION("""COMPUTED_VALUE"""),".na")</f>
        <v>.na</v>
      </c>
      <c r="G440" s="1" t="str">
        <f ca="1">IFERROR(__xludf.DUMMYFUNCTION("""COMPUTED_VALUE"""),"cave, tree, build")</f>
        <v>cave, tree, build</v>
      </c>
      <c r="H440" s="1" t="str">
        <f ca="1">IFERROR(__xludf.DUMMYFUNCTION("""COMPUTED_VALUE"""),".na")</f>
        <v>.na</v>
      </c>
      <c r="I440" s="1" t="str">
        <f ca="1">IFERROR(__xludf.DUMMYFUNCTION("""COMPUTED_VALUE"""),".na")</f>
        <v>.na</v>
      </c>
      <c r="J440" s="1"/>
      <c r="K440" s="1" t="str">
        <f ca="1">IFERROR(__xludf.DUMMYFUNCTION("""COMPUTED_VALUE"""),"response")</f>
        <v>response</v>
      </c>
      <c r="L440" s="1" t="str">
        <f ca="1">IFERROR(__xludf.DUMMYFUNCTION("""COMPUTED_VALUE"""),"10.1098/rspb.2018.2193")</f>
        <v>10.1098/rspb.2018.2193</v>
      </c>
      <c r="M440" s="1" t="str">
        <f ca="1">IFERROR(__xludf.DUMMYFUNCTION("""COMPUTED_VALUE"""),"Barbaro_2019")</f>
        <v>Barbaro_2019</v>
      </c>
    </row>
    <row r="441" spans="1:13" ht="13.2">
      <c r="A441" s="1" t="str">
        <f ca="1">IFERROR(__xludf.DUMMYFUNCTION("""COMPUTED_VALUE"""),"migration strategy")</f>
        <v>migration strategy</v>
      </c>
      <c r="B441" s="1"/>
      <c r="C441" s="1"/>
      <c r="D441" s="1"/>
      <c r="E441" s="1" t="str">
        <f ca="1">IFERROR(__xludf.DUMMYFUNCTION("""COMPUTED_VALUE"""),"categorical")</f>
        <v>categorical</v>
      </c>
      <c r="F441" s="1" t="str">
        <f ca="1">IFERROR(__xludf.DUMMYFUNCTION("""COMPUTED_VALUE"""),".na")</f>
        <v>.na</v>
      </c>
      <c r="G441" s="1" t="str">
        <f ca="1">IFERROR(__xludf.DUMMYFUNCTION("""COMPUTED_VALUE"""),"resid, short, long")</f>
        <v>resid, short, long</v>
      </c>
      <c r="H441" s="1" t="str">
        <f ca="1">IFERROR(__xludf.DUMMYFUNCTION("""COMPUTED_VALUE"""),".na")</f>
        <v>.na</v>
      </c>
      <c r="I441" s="1" t="str">
        <f ca="1">IFERROR(__xludf.DUMMYFUNCTION("""COMPUTED_VALUE"""),".na")</f>
        <v>.na</v>
      </c>
      <c r="J441" s="1"/>
      <c r="K441" s="1" t="str">
        <f ca="1">IFERROR(__xludf.DUMMYFUNCTION("""COMPUTED_VALUE"""),"response")</f>
        <v>response</v>
      </c>
      <c r="L441" s="1" t="str">
        <f ca="1">IFERROR(__xludf.DUMMYFUNCTION("""COMPUTED_VALUE"""),"10.1098/rspb.2018.2193")</f>
        <v>10.1098/rspb.2018.2193</v>
      </c>
      <c r="M441" s="1" t="str">
        <f ca="1">IFERROR(__xludf.DUMMYFUNCTION("""COMPUTED_VALUE"""),"Barbaro_2019")</f>
        <v>Barbaro_2019</v>
      </c>
    </row>
    <row r="442" spans="1:13" ht="13.2">
      <c r="A442" s="1" t="str">
        <f ca="1">IFERROR(__xludf.DUMMYFUNCTION("""COMPUTED_VALUE"""),"mean birth date")</f>
        <v>mean birth date</v>
      </c>
      <c r="B442" s="1"/>
      <c r="C442" s="1"/>
      <c r="D442" s="1"/>
      <c r="E442" s="1" t="str">
        <f ca="1">IFERROR(__xludf.DUMMYFUNCTION("""COMPUTED_VALUE"""),"categorical")</f>
        <v>categorical</v>
      </c>
      <c r="F442" s="1" t="str">
        <f ca="1">IFERROR(__xludf.DUMMYFUNCTION("""COMPUTED_VALUE"""),".na")</f>
        <v>.na</v>
      </c>
      <c r="G442" s="1" t="str">
        <f ca="1">IFERROR(__xludf.DUMMYFUNCTION("""COMPUTED_VALUE"""),"may, june, july")</f>
        <v>may, june, july</v>
      </c>
      <c r="H442" s="1" t="str">
        <f ca="1">IFERROR(__xludf.DUMMYFUNCTION("""COMPUTED_VALUE"""),".na")</f>
        <v>.na</v>
      </c>
      <c r="I442" s="1" t="str">
        <f ca="1">IFERROR(__xludf.DUMMYFUNCTION("""COMPUTED_VALUE"""),".na")</f>
        <v>.na</v>
      </c>
      <c r="J442" s="1" t="str">
        <f ca="1">IFERROR(__xludf.DUMMYFUNCTION("""COMPUTED_VALUE"""),"Months of year")</f>
        <v>Months of year</v>
      </c>
      <c r="K442" s="1" t="str">
        <f ca="1">IFERROR(__xludf.DUMMYFUNCTION("""COMPUTED_VALUE"""),"response")</f>
        <v>response</v>
      </c>
      <c r="L442" s="1" t="str">
        <f ca="1">IFERROR(__xludf.DUMMYFUNCTION("""COMPUTED_VALUE"""),"10.1098/rspb.2018.2193")</f>
        <v>10.1098/rspb.2018.2193</v>
      </c>
      <c r="M442" s="1" t="str">
        <f ca="1">IFERROR(__xludf.DUMMYFUNCTION("""COMPUTED_VALUE"""),"Barbaro_2019")</f>
        <v>Barbaro_2019</v>
      </c>
    </row>
    <row r="443" spans="1:13" ht="13.2">
      <c r="A443" s="1" t="str">
        <f ca="1">IFERROR(__xludf.DUMMYFUNCTION("""COMPUTED_VALUE"""),"home range size")</f>
        <v>home range size</v>
      </c>
      <c r="B443" s="1"/>
      <c r="C443" s="1"/>
      <c r="D443" s="1"/>
      <c r="E443" s="1" t="str">
        <f ca="1">IFERROR(__xludf.DUMMYFUNCTION("""COMPUTED_VALUE"""),"categorical")</f>
        <v>categorical</v>
      </c>
      <c r="F443" s="1" t="str">
        <f ca="1">IFERROR(__xludf.DUMMYFUNCTION("""COMPUTED_VALUE"""),".na")</f>
        <v>.na</v>
      </c>
      <c r="G443" s="1" t="str">
        <f ca="1">IFERROR(__xludf.DUMMYFUNCTION("""COMPUTED_VALUE"""),"small, mid, large, very large")</f>
        <v>small, mid, large, very large</v>
      </c>
      <c r="H443" s="1" t="str">
        <f ca="1">IFERROR(__xludf.DUMMYFUNCTION("""COMPUTED_VALUE"""),".na")</f>
        <v>.na</v>
      </c>
      <c r="I443" s="1" t="str">
        <f ca="1">IFERROR(__xludf.DUMMYFUNCTION("""COMPUTED_VALUE"""),".na")</f>
        <v>.na</v>
      </c>
      <c r="J443" s="1"/>
      <c r="K443" s="1" t="str">
        <f ca="1">IFERROR(__xludf.DUMMYFUNCTION("""COMPUTED_VALUE"""),"response")</f>
        <v>response</v>
      </c>
      <c r="L443" s="1" t="str">
        <f ca="1">IFERROR(__xludf.DUMMYFUNCTION("""COMPUTED_VALUE"""),"10.1098/rspb.2018.2193")</f>
        <v>10.1098/rspb.2018.2193</v>
      </c>
      <c r="M443" s="1" t="str">
        <f ca="1">IFERROR(__xludf.DUMMYFUNCTION("""COMPUTED_VALUE"""),"Barbaro_2019")</f>
        <v>Barbaro_2019</v>
      </c>
    </row>
    <row r="444" spans="1:13" ht="13.2">
      <c r="A444" s="1" t="str">
        <f ca="1">IFERROR(__xludf.DUMMYFUNCTION("""COMPUTED_VALUE"""),"female fecundity")</f>
        <v>female fecundity</v>
      </c>
      <c r="B444" s="1"/>
      <c r="C444" s="1"/>
      <c r="D444" s="1"/>
      <c r="E444" s="1" t="str">
        <f ca="1">IFERROR(__xludf.DUMMYFUNCTION("""COMPUTED_VALUE"""),"numeric")</f>
        <v>numeric</v>
      </c>
      <c r="F444" s="1" t="str">
        <f ca="1">IFERROR(__xludf.DUMMYFUNCTION("""COMPUTED_VALUE"""),"pups")</f>
        <v>pups</v>
      </c>
      <c r="G444" s="1" t="str">
        <f ca="1">IFERROR(__xludf.DUMMYFUNCTION("""COMPUTED_VALUE"""),".na")</f>
        <v>.na</v>
      </c>
      <c r="H444" s="1"/>
      <c r="I444" s="1"/>
      <c r="J444" s="1"/>
      <c r="K444" s="1" t="str">
        <f ca="1">IFERROR(__xludf.DUMMYFUNCTION("""COMPUTED_VALUE"""),"response")</f>
        <v>response</v>
      </c>
      <c r="L444" s="1" t="str">
        <f ca="1">IFERROR(__xludf.DUMMYFUNCTION("""COMPUTED_VALUE"""),"10.1098/rspb.2018.2193")</f>
        <v>10.1098/rspb.2018.2193</v>
      </c>
      <c r="M444" s="1" t="str">
        <f ca="1">IFERROR(__xludf.DUMMYFUNCTION("""COMPUTED_VALUE"""),"Barbaro_2019")</f>
        <v>Barbaro_2019</v>
      </c>
    </row>
    <row r="445" spans="1:13" ht="13.2">
      <c r="A445" s="1" t="str">
        <f ca="1">IFERROR(__xludf.DUMMYFUNCTION("""COMPUTED_VALUE"""),"body mass")</f>
        <v>body mass</v>
      </c>
      <c r="B445" s="1"/>
      <c r="C445" s="1"/>
      <c r="D445" s="1"/>
      <c r="E445" s="1" t="str">
        <f ca="1">IFERROR(__xludf.DUMMYFUNCTION("""COMPUTED_VALUE"""),"numeric")</f>
        <v>numeric</v>
      </c>
      <c r="F445" s="1"/>
      <c r="G445" s="1" t="str">
        <f ca="1">IFERROR(__xludf.DUMMYFUNCTION("""COMPUTED_VALUE"""),".na")</f>
        <v>.na</v>
      </c>
      <c r="H445" s="1"/>
      <c r="I445" s="1"/>
      <c r="J445" s="1"/>
      <c r="K445" s="1" t="str">
        <f ca="1">IFERROR(__xludf.DUMMYFUNCTION("""COMPUTED_VALUE"""),"response")</f>
        <v>response</v>
      </c>
      <c r="L445" s="1" t="str">
        <f ca="1">IFERROR(__xludf.DUMMYFUNCTION("""COMPUTED_VALUE"""),"10.1098/rspb.2018.2193")</f>
        <v>10.1098/rspb.2018.2193</v>
      </c>
      <c r="M445" s="1" t="str">
        <f ca="1">IFERROR(__xludf.DUMMYFUNCTION("""COMPUTED_VALUE"""),"Barbaro_2019")</f>
        <v>Barbaro_2019</v>
      </c>
    </row>
    <row r="446" spans="1:13" ht="13.2">
      <c r="A446" s="1" t="str">
        <f ca="1">IFERROR(__xludf.DUMMYFUNCTION("""COMPUTED_VALUE"""),"habitat specilization")</f>
        <v>habitat specilization</v>
      </c>
      <c r="B446" s="1"/>
      <c r="C446" s="1"/>
      <c r="D446" s="1"/>
      <c r="E446" s="1" t="str">
        <f ca="1">IFERROR(__xludf.DUMMYFUNCTION("""COMPUTED_VALUE"""),"numeric")</f>
        <v>numeric</v>
      </c>
      <c r="F446" s="1"/>
      <c r="G446" s="1" t="str">
        <f ca="1">IFERROR(__xludf.DUMMYFUNCTION("""COMPUTED_VALUE"""),".na")</f>
        <v>.na</v>
      </c>
      <c r="H446" s="1"/>
      <c r="I446" s="1"/>
      <c r="J446" s="1" t="str">
        <f ca="1">IFERROR(__xludf.DUMMYFUNCTION("""COMPUTED_VALUE"""),"ssi")</f>
        <v>ssi</v>
      </c>
      <c r="K446" s="1" t="str">
        <f ca="1">IFERROR(__xludf.DUMMYFUNCTION("""COMPUTED_VALUE"""),"response")</f>
        <v>response</v>
      </c>
      <c r="L446" s="1" t="str">
        <f ca="1">IFERROR(__xludf.DUMMYFUNCTION("""COMPUTED_VALUE"""),"10.1098/rspb.2018.2193")</f>
        <v>10.1098/rspb.2018.2193</v>
      </c>
      <c r="M446" s="1" t="str">
        <f ca="1">IFERROR(__xludf.DUMMYFUNCTION("""COMPUTED_VALUE"""),"Barbaro_2019")</f>
        <v>Barbaro_2019</v>
      </c>
    </row>
    <row r="447" spans="1:13" ht="13.2">
      <c r="A447" s="1" t="str">
        <f ca="1">IFERROR(__xludf.DUMMYFUNCTION("""COMPUTED_VALUE"""),"thermal index")</f>
        <v>thermal index</v>
      </c>
      <c r="B447" s="1"/>
      <c r="C447" s="1"/>
      <c r="D447" s="1"/>
      <c r="E447" s="1" t="str">
        <f ca="1">IFERROR(__xludf.DUMMYFUNCTION("""COMPUTED_VALUE"""),"numeric")</f>
        <v>numeric</v>
      </c>
      <c r="F447" s="1" t="str">
        <f ca="1">IFERROR(__xludf.DUMMYFUNCTION("""COMPUTED_VALUE"""),"Cº")</f>
        <v>Cº</v>
      </c>
      <c r="G447" s="1" t="str">
        <f ca="1">IFERROR(__xludf.DUMMYFUNCTION("""COMPUTED_VALUE"""),".na")</f>
        <v>.na</v>
      </c>
      <c r="H447" s="1"/>
      <c r="I447" s="1"/>
      <c r="J447" s="1" t="str">
        <f ca="1">IFERROR(__xludf.DUMMYFUNCTION("""COMPUTED_VALUE"""),"sti")</f>
        <v>sti</v>
      </c>
      <c r="K447" s="1" t="str">
        <f ca="1">IFERROR(__xludf.DUMMYFUNCTION("""COMPUTED_VALUE"""),"response")</f>
        <v>response</v>
      </c>
      <c r="L447" s="1" t="str">
        <f ca="1">IFERROR(__xludf.DUMMYFUNCTION("""COMPUTED_VALUE"""),"10.1098/rspb.2018.2193")</f>
        <v>10.1098/rspb.2018.2193</v>
      </c>
      <c r="M447" s="1" t="str">
        <f ca="1">IFERROR(__xludf.DUMMYFUNCTION("""COMPUTED_VALUE"""),"Barbaro_2019")</f>
        <v>Barbaro_2019</v>
      </c>
    </row>
    <row r="448" spans="1:13" ht="13.2">
      <c r="A448" s="1" t="str">
        <f ca="1">IFERROR(__xludf.DUMMYFUNCTION("""COMPUTED_VALUE"""),"trophic functional groups")</f>
        <v>trophic functional groups</v>
      </c>
      <c r="B448" s="1"/>
      <c r="C448" s="1"/>
      <c r="D448" s="1"/>
      <c r="E448" s="1" t="str">
        <f ca="1">IFERROR(__xludf.DUMMYFUNCTION("""COMPUTED_VALUE"""),"categorical")</f>
        <v>categorical</v>
      </c>
      <c r="F448" s="1" t="str">
        <f ca="1">IFERROR(__xludf.DUMMYFUNCTION("""COMPUTED_VALUE"""),".na")</f>
        <v>.na</v>
      </c>
      <c r="G448" s="1" t="str">
        <f ca="1">IFERROR(__xludf.DUMMYFUNCTION("""COMPUTED_VALUE"""),"aerial insectivores, frugivores, gleaning animalivores, nectarivores, piscivores, sanguinivores")</f>
        <v>aerial insectivores, frugivores, gleaning animalivores, nectarivores, piscivores, sanguinivores</v>
      </c>
      <c r="H448" s="1" t="str">
        <f ca="1">IFERROR(__xludf.DUMMYFUNCTION("""COMPUTED_VALUE"""),".na")</f>
        <v>.na</v>
      </c>
      <c r="I448" s="1" t="str">
        <f ca="1">IFERROR(__xludf.DUMMYFUNCTION("""COMPUTED_VALUE"""),".na")</f>
        <v>.na</v>
      </c>
      <c r="J448" s="1"/>
      <c r="K448" s="1" t="str">
        <f ca="1">IFERROR(__xludf.DUMMYFUNCTION("""COMPUTED_VALUE"""),"response")</f>
        <v>response</v>
      </c>
      <c r="L448" s="1" t="str">
        <f ca="1">IFERROR(__xludf.DUMMYFUNCTION("""COMPUTED_VALUE"""),"10.1111/ecog.03654")</f>
        <v>10.1111/ecog.03654</v>
      </c>
      <c r="M448" s="1" t="str">
        <f ca="1">IFERROR(__xludf.DUMMYFUNCTION("""COMPUTED_VALUE"""),"Stevens_2018")</f>
        <v>Stevens_2018</v>
      </c>
    </row>
    <row r="449" spans="1:13" ht="13.2">
      <c r="A449" s="1" t="str">
        <f ca="1">IFERROR(__xludf.DUMMYFUNCTION("""COMPUTED_VALUE"""),"forearm length")</f>
        <v>forearm length</v>
      </c>
      <c r="B449" s="1" t="str">
        <f ca="1">IFERROR(__xludf.DUMMYFUNCTION("""COMPUTED_VALUE"""),"morphological")</f>
        <v>morphological</v>
      </c>
      <c r="C449" s="1"/>
      <c r="D449" s="1"/>
      <c r="E449" s="1" t="str">
        <f ca="1">IFERROR(__xludf.DUMMYFUNCTION("""COMPUTED_VALUE"""),"numeric")</f>
        <v>numeric</v>
      </c>
      <c r="F449" s="1"/>
      <c r="G449" s="1" t="str">
        <f ca="1">IFERROR(__xludf.DUMMYFUNCTION("""COMPUTED_VALUE"""),".na")</f>
        <v>.na</v>
      </c>
      <c r="H449" s="1"/>
      <c r="I449" s="1"/>
      <c r="J449" s="1"/>
      <c r="K449" s="1" t="str">
        <f ca="1">IFERROR(__xludf.DUMMYFUNCTION("""COMPUTED_VALUE"""),"response")</f>
        <v>response</v>
      </c>
      <c r="L449" s="1" t="str">
        <f ca="1">IFERROR(__xludf.DUMMYFUNCTION("""COMPUTED_VALUE"""),"10.1111/ecog.03654")</f>
        <v>10.1111/ecog.03654</v>
      </c>
      <c r="M449" s="1" t="str">
        <f ca="1">IFERROR(__xludf.DUMMYFUNCTION("""COMPUTED_VALUE"""),"Stevens_2018")</f>
        <v>Stevens_2018</v>
      </c>
    </row>
    <row r="450" spans="1:13" ht="13.2">
      <c r="A450" s="1" t="str">
        <f ca="1">IFERROR(__xludf.DUMMYFUNCTION("""COMPUTED_VALUE"""),"greatest length of skull")</f>
        <v>greatest length of skull</v>
      </c>
      <c r="B450" s="1" t="str">
        <f ca="1">IFERROR(__xludf.DUMMYFUNCTION("""COMPUTED_VALUE"""),"morphological")</f>
        <v>morphological</v>
      </c>
      <c r="C450" s="1"/>
      <c r="D450" s="1"/>
      <c r="E450" s="1" t="str">
        <f ca="1">IFERROR(__xludf.DUMMYFUNCTION("""COMPUTED_VALUE"""),"numeric")</f>
        <v>numeric</v>
      </c>
      <c r="F450" s="1"/>
      <c r="G450" s="1" t="str">
        <f ca="1">IFERROR(__xludf.DUMMYFUNCTION("""COMPUTED_VALUE"""),".na")</f>
        <v>.na</v>
      </c>
      <c r="H450" s="1"/>
      <c r="I450" s="1"/>
      <c r="J450" s="1"/>
      <c r="K450" s="1" t="str">
        <f ca="1">IFERROR(__xludf.DUMMYFUNCTION("""COMPUTED_VALUE"""),"response")</f>
        <v>response</v>
      </c>
      <c r="L450" s="1" t="str">
        <f ca="1">IFERROR(__xludf.DUMMYFUNCTION("""COMPUTED_VALUE"""),"10.1111/ecog.03654")</f>
        <v>10.1111/ecog.03654</v>
      </c>
      <c r="M450" s="1" t="str">
        <f ca="1">IFERROR(__xludf.DUMMYFUNCTION("""COMPUTED_VALUE"""),"Stevens_2018")</f>
        <v>Stevens_2018</v>
      </c>
    </row>
    <row r="451" spans="1:13" ht="13.2">
      <c r="A451" s="1" t="str">
        <f ca="1">IFERROR(__xludf.DUMMYFUNCTION("""COMPUTED_VALUE"""),"condylobasal length")</f>
        <v>condylobasal length</v>
      </c>
      <c r="B451" s="1" t="str">
        <f ca="1">IFERROR(__xludf.DUMMYFUNCTION("""COMPUTED_VALUE"""),"morphological")</f>
        <v>morphological</v>
      </c>
      <c r="C451" s="1"/>
      <c r="D451" s="1"/>
      <c r="E451" s="1" t="str">
        <f ca="1">IFERROR(__xludf.DUMMYFUNCTION("""COMPUTED_VALUE"""),"numeric")</f>
        <v>numeric</v>
      </c>
      <c r="F451" s="1"/>
      <c r="G451" s="1" t="str">
        <f ca="1">IFERROR(__xludf.DUMMYFUNCTION("""COMPUTED_VALUE"""),".na")</f>
        <v>.na</v>
      </c>
      <c r="H451" s="1"/>
      <c r="I451" s="1"/>
      <c r="J451" s="1"/>
      <c r="K451" s="1" t="str">
        <f ca="1">IFERROR(__xludf.DUMMYFUNCTION("""COMPUTED_VALUE"""),"response")</f>
        <v>response</v>
      </c>
      <c r="L451" s="1" t="str">
        <f ca="1">IFERROR(__xludf.DUMMYFUNCTION("""COMPUTED_VALUE"""),"10.1111/ecog.03654")</f>
        <v>10.1111/ecog.03654</v>
      </c>
      <c r="M451" s="1" t="str">
        <f ca="1">IFERROR(__xludf.DUMMYFUNCTION("""COMPUTED_VALUE"""),"Stevens_2018")</f>
        <v>Stevens_2018</v>
      </c>
    </row>
    <row r="452" spans="1:13" ht="13.2">
      <c r="A452" s="1" t="str">
        <f ca="1">IFERROR(__xludf.DUMMYFUNCTION("""COMPUTED_VALUE"""),"length of maxillary toothrow")</f>
        <v>length of maxillary toothrow</v>
      </c>
      <c r="B452" s="1" t="str">
        <f ca="1">IFERROR(__xludf.DUMMYFUNCTION("""COMPUTED_VALUE"""),"morphological")</f>
        <v>morphological</v>
      </c>
      <c r="C452" s="1"/>
      <c r="D452" s="1"/>
      <c r="E452" s="1" t="str">
        <f ca="1">IFERROR(__xludf.DUMMYFUNCTION("""COMPUTED_VALUE"""),"numeric")</f>
        <v>numeric</v>
      </c>
      <c r="F452" s="1"/>
      <c r="G452" s="1" t="str">
        <f ca="1">IFERROR(__xludf.DUMMYFUNCTION("""COMPUTED_VALUE"""),".na")</f>
        <v>.na</v>
      </c>
      <c r="H452" s="1"/>
      <c r="I452" s="1"/>
      <c r="J452" s="1"/>
      <c r="K452" s="1" t="str">
        <f ca="1">IFERROR(__xludf.DUMMYFUNCTION("""COMPUTED_VALUE"""),"response")</f>
        <v>response</v>
      </c>
      <c r="L452" s="1" t="str">
        <f ca="1">IFERROR(__xludf.DUMMYFUNCTION("""COMPUTED_VALUE"""),"10.1111/ecog.03654")</f>
        <v>10.1111/ecog.03654</v>
      </c>
      <c r="M452" s="1" t="str">
        <f ca="1">IFERROR(__xludf.DUMMYFUNCTION("""COMPUTED_VALUE"""),"Stevens_2018")</f>
        <v>Stevens_2018</v>
      </c>
    </row>
    <row r="453" spans="1:13" ht="13.2">
      <c r="A453" s="1" t="str">
        <f ca="1">IFERROR(__xludf.DUMMYFUNCTION("""COMPUTED_VALUE"""),"breadth of post-orbital constriction")</f>
        <v>breadth of post-orbital constriction</v>
      </c>
      <c r="B453" s="1" t="str">
        <f ca="1">IFERROR(__xludf.DUMMYFUNCTION("""COMPUTED_VALUE"""),"morphological")</f>
        <v>morphological</v>
      </c>
      <c r="C453" s="1"/>
      <c r="D453" s="1"/>
      <c r="E453" s="1" t="str">
        <f ca="1">IFERROR(__xludf.DUMMYFUNCTION("""COMPUTED_VALUE"""),"numeric")</f>
        <v>numeric</v>
      </c>
      <c r="F453" s="1"/>
      <c r="G453" s="1" t="str">
        <f ca="1">IFERROR(__xludf.DUMMYFUNCTION("""COMPUTED_VALUE"""),".na")</f>
        <v>.na</v>
      </c>
      <c r="H453" s="1"/>
      <c r="I453" s="1"/>
      <c r="J453" s="1"/>
      <c r="K453" s="1" t="str">
        <f ca="1">IFERROR(__xludf.DUMMYFUNCTION("""COMPUTED_VALUE"""),"response")</f>
        <v>response</v>
      </c>
      <c r="L453" s="1" t="str">
        <f ca="1">IFERROR(__xludf.DUMMYFUNCTION("""COMPUTED_VALUE"""),"10.1111/ecog.03654")</f>
        <v>10.1111/ecog.03654</v>
      </c>
      <c r="M453" s="1" t="str">
        <f ca="1">IFERROR(__xludf.DUMMYFUNCTION("""COMPUTED_VALUE"""),"Stevens_2018")</f>
        <v>Stevens_2018</v>
      </c>
    </row>
    <row r="454" spans="1:13" ht="13.2">
      <c r="A454" s="1" t="str">
        <f ca="1">IFERROR(__xludf.DUMMYFUNCTION("""COMPUTED_VALUE"""),"breadth of braincase")</f>
        <v>breadth of braincase</v>
      </c>
      <c r="B454" s="1" t="str">
        <f ca="1">IFERROR(__xludf.DUMMYFUNCTION("""COMPUTED_VALUE"""),"morphological")</f>
        <v>morphological</v>
      </c>
      <c r="C454" s="1"/>
      <c r="D454" s="1"/>
      <c r="E454" s="1" t="str">
        <f ca="1">IFERROR(__xludf.DUMMYFUNCTION("""COMPUTED_VALUE"""),"numeric")</f>
        <v>numeric</v>
      </c>
      <c r="F454" s="1"/>
      <c r="G454" s="1" t="str">
        <f ca="1">IFERROR(__xludf.DUMMYFUNCTION("""COMPUTED_VALUE"""),".na")</f>
        <v>.na</v>
      </c>
      <c r="H454" s="1"/>
      <c r="I454" s="1"/>
      <c r="J454" s="1"/>
      <c r="K454" s="1" t="str">
        <f ca="1">IFERROR(__xludf.DUMMYFUNCTION("""COMPUTED_VALUE"""),"response")</f>
        <v>response</v>
      </c>
      <c r="L454" s="1" t="str">
        <f ca="1">IFERROR(__xludf.DUMMYFUNCTION("""COMPUTED_VALUE"""),"10.1111/ecog.03654")</f>
        <v>10.1111/ecog.03654</v>
      </c>
      <c r="M454" s="1" t="str">
        <f ca="1">IFERROR(__xludf.DUMMYFUNCTION("""COMPUTED_VALUE"""),"Stevens_2018")</f>
        <v>Stevens_2018</v>
      </c>
    </row>
    <row r="455" spans="1:13" ht="13.2">
      <c r="A455" s="1" t="str">
        <f ca="1">IFERROR(__xludf.DUMMYFUNCTION("""COMPUTED_VALUE"""),"breadth across upper molars")</f>
        <v>breadth across upper molars</v>
      </c>
      <c r="B455" s="1" t="str">
        <f ca="1">IFERROR(__xludf.DUMMYFUNCTION("""COMPUTED_VALUE"""),"morphological")</f>
        <v>morphological</v>
      </c>
      <c r="C455" s="1"/>
      <c r="D455" s="1"/>
      <c r="E455" s="1" t="str">
        <f ca="1">IFERROR(__xludf.DUMMYFUNCTION("""COMPUTED_VALUE"""),"numeric")</f>
        <v>numeric</v>
      </c>
      <c r="F455" s="1"/>
      <c r="G455" s="1" t="str">
        <f ca="1">IFERROR(__xludf.DUMMYFUNCTION("""COMPUTED_VALUE"""),".na")</f>
        <v>.na</v>
      </c>
      <c r="H455" s="1"/>
      <c r="I455" s="1"/>
      <c r="J455" s="1"/>
      <c r="K455" s="1" t="str">
        <f ca="1">IFERROR(__xludf.DUMMYFUNCTION("""COMPUTED_VALUE"""),"response")</f>
        <v>response</v>
      </c>
      <c r="L455" s="1" t="str">
        <f ca="1">IFERROR(__xludf.DUMMYFUNCTION("""COMPUTED_VALUE"""),"10.1111/ecog.03654")</f>
        <v>10.1111/ecog.03654</v>
      </c>
      <c r="M455" s="1" t="str">
        <f ca="1">IFERROR(__xludf.DUMMYFUNCTION("""COMPUTED_VALUE"""),"Stevens_2018")</f>
        <v>Stevens_2018</v>
      </c>
    </row>
    <row r="456" spans="1:13" ht="13.2">
      <c r="A456" s="1" t="str">
        <f ca="1">IFERROR(__xludf.DUMMYFUNCTION("""COMPUTED_VALUE"""),"Total skull length (TL)")</f>
        <v>Total skull length (TL)</v>
      </c>
      <c r="B456" s="1" t="str">
        <f ca="1">IFERROR(__xludf.DUMMYFUNCTION("""COMPUTED_VALUE"""),"Morphological traits")</f>
        <v>Morphological traits</v>
      </c>
      <c r="C456" s="1"/>
      <c r="D456" s="1"/>
      <c r="E456" s="1" t="str">
        <f ca="1">IFERROR(__xludf.DUMMYFUNCTION("""COMPUTED_VALUE"""),"numeric")</f>
        <v>numeric</v>
      </c>
      <c r="F456" s="1"/>
      <c r="G456" s="1" t="str">
        <f ca="1">IFERROR(__xludf.DUMMYFUNCTION("""COMPUTED_VALUE"""),".na")</f>
        <v>.na</v>
      </c>
      <c r="H456" s="1"/>
      <c r="I456" s="1"/>
      <c r="J456" s="1"/>
      <c r="K456" s="1" t="str">
        <f ca="1">IFERROR(__xludf.DUMMYFUNCTION("""COMPUTED_VALUE"""),"undefined")</f>
        <v>undefined</v>
      </c>
      <c r="L456" s="1" t="str">
        <f ca="1">IFERROR(__xludf.DUMMYFUNCTION("""COMPUTED_VALUE"""),"10.3390/d10030100")</f>
        <v>10.3390/d10030100</v>
      </c>
      <c r="M456" s="1" t="str">
        <f ca="1">IFERROR(__xludf.DUMMYFUNCTION("""COMPUTED_VALUE"""),"Murillo-García_2018")</f>
        <v>Murillo-García_2018</v>
      </c>
    </row>
    <row r="457" spans="1:13" ht="13.2">
      <c r="A457" s="1" t="str">
        <f ca="1">IFERROR(__xludf.DUMMYFUNCTION("""COMPUTED_VALUE"""),"Postorbital Width (PW)")</f>
        <v>Postorbital Width (PW)</v>
      </c>
      <c r="B457" s="1" t="str">
        <f ca="1">IFERROR(__xludf.DUMMYFUNCTION("""COMPUTED_VALUE"""),"Morphological traits")</f>
        <v>Morphological traits</v>
      </c>
      <c r="C457" s="1"/>
      <c r="D457" s="1"/>
      <c r="E457" s="1" t="str">
        <f ca="1">IFERROR(__xludf.DUMMYFUNCTION("""COMPUTED_VALUE"""),"numeric")</f>
        <v>numeric</v>
      </c>
      <c r="F457" s="1"/>
      <c r="G457" s="1" t="str">
        <f ca="1">IFERROR(__xludf.DUMMYFUNCTION("""COMPUTED_VALUE"""),".na")</f>
        <v>.na</v>
      </c>
      <c r="H457" s="1"/>
      <c r="I457" s="1"/>
      <c r="J457" s="1"/>
      <c r="K457" s="1" t="str">
        <f ca="1">IFERROR(__xludf.DUMMYFUNCTION("""COMPUTED_VALUE"""),"undefined")</f>
        <v>undefined</v>
      </c>
      <c r="L457" s="1" t="str">
        <f ca="1">IFERROR(__xludf.DUMMYFUNCTION("""COMPUTED_VALUE"""),"10.3390/d10030100")</f>
        <v>10.3390/d10030100</v>
      </c>
      <c r="M457" s="1" t="str">
        <f ca="1">IFERROR(__xludf.DUMMYFUNCTION("""COMPUTED_VALUE"""),"Murillo-García_2018")</f>
        <v>Murillo-García_2018</v>
      </c>
    </row>
    <row r="458" spans="1:13" ht="13.2">
      <c r="A458" s="1" t="str">
        <f ca="1">IFERROR(__xludf.DUMMYFUNCTION("""COMPUTED_VALUE"""),"Zygomatic Breadth (ZB)")</f>
        <v>Zygomatic Breadth (ZB)</v>
      </c>
      <c r="B458" s="1" t="str">
        <f ca="1">IFERROR(__xludf.DUMMYFUNCTION("""COMPUTED_VALUE"""),"Morphological traits")</f>
        <v>Morphological traits</v>
      </c>
      <c r="C458" s="1"/>
      <c r="D458" s="1"/>
      <c r="E458" s="1" t="str">
        <f ca="1">IFERROR(__xludf.DUMMYFUNCTION("""COMPUTED_VALUE"""),"numeric")</f>
        <v>numeric</v>
      </c>
      <c r="F458" s="1"/>
      <c r="G458" s="1" t="str">
        <f ca="1">IFERROR(__xludf.DUMMYFUNCTION("""COMPUTED_VALUE"""),".na")</f>
        <v>.na</v>
      </c>
      <c r="H458" s="1"/>
      <c r="I458" s="1"/>
      <c r="J458" s="1"/>
      <c r="K458" s="1" t="str">
        <f ca="1">IFERROR(__xludf.DUMMYFUNCTION("""COMPUTED_VALUE"""),"undefined")</f>
        <v>undefined</v>
      </c>
      <c r="L458" s="1" t="str">
        <f ca="1">IFERROR(__xludf.DUMMYFUNCTION("""COMPUTED_VALUE"""),"10.3390/d10030100")</f>
        <v>10.3390/d10030100</v>
      </c>
      <c r="M458" s="1" t="str">
        <f ca="1">IFERROR(__xludf.DUMMYFUNCTION("""COMPUTED_VALUE"""),"Murillo-García_2018")</f>
        <v>Murillo-García_2018</v>
      </c>
    </row>
    <row r="459" spans="1:13" ht="13.2">
      <c r="A459" s="1" t="str">
        <f ca="1">IFERROR(__xludf.DUMMYFUNCTION("""COMPUTED_VALUE"""),"Posterior Skull width (PSW)")</f>
        <v>Posterior Skull width (PSW)</v>
      </c>
      <c r="B459" s="1" t="str">
        <f ca="1">IFERROR(__xludf.DUMMYFUNCTION("""COMPUTED_VALUE"""),"Morphological traits")</f>
        <v>Morphological traits</v>
      </c>
      <c r="C459" s="1"/>
      <c r="D459" s="1"/>
      <c r="E459" s="1" t="str">
        <f ca="1">IFERROR(__xludf.DUMMYFUNCTION("""COMPUTED_VALUE"""),"numeric")</f>
        <v>numeric</v>
      </c>
      <c r="F459" s="1"/>
      <c r="G459" s="1" t="str">
        <f ca="1">IFERROR(__xludf.DUMMYFUNCTION("""COMPUTED_VALUE"""),".na")</f>
        <v>.na</v>
      </c>
      <c r="H459" s="1"/>
      <c r="I459" s="1"/>
      <c r="J459" s="1"/>
      <c r="K459" s="1" t="str">
        <f ca="1">IFERROR(__xludf.DUMMYFUNCTION("""COMPUTED_VALUE"""),"undefined")</f>
        <v>undefined</v>
      </c>
      <c r="L459" s="1" t="str">
        <f ca="1">IFERROR(__xludf.DUMMYFUNCTION("""COMPUTED_VALUE"""),"10.3390/d10030100")</f>
        <v>10.3390/d10030100</v>
      </c>
      <c r="M459" s="1" t="str">
        <f ca="1">IFERROR(__xludf.DUMMYFUNCTION("""COMPUTED_VALUE"""),"Murillo-García_2018")</f>
        <v>Murillo-García_2018</v>
      </c>
    </row>
    <row r="460" spans="1:13" ht="13.2">
      <c r="A460" s="1" t="str">
        <f ca="1">IFERROR(__xludf.DUMMYFUNCTION("""COMPUTED_VALUE"""),"Palatal Width at canines (PW)")</f>
        <v>Palatal Width at canines (PW)</v>
      </c>
      <c r="B460" s="1" t="str">
        <f ca="1">IFERROR(__xludf.DUMMYFUNCTION("""COMPUTED_VALUE"""),"Morphological traits")</f>
        <v>Morphological traits</v>
      </c>
      <c r="C460" s="1"/>
      <c r="D460" s="1"/>
      <c r="E460" s="1" t="str">
        <f ca="1">IFERROR(__xludf.DUMMYFUNCTION("""COMPUTED_VALUE"""),"numeric")</f>
        <v>numeric</v>
      </c>
      <c r="F460" s="1"/>
      <c r="G460" s="1" t="str">
        <f ca="1">IFERROR(__xludf.DUMMYFUNCTION("""COMPUTED_VALUE"""),".na")</f>
        <v>.na</v>
      </c>
      <c r="H460" s="1"/>
      <c r="I460" s="1"/>
      <c r="J460" s="1"/>
      <c r="K460" s="1" t="str">
        <f ca="1">IFERROR(__xludf.DUMMYFUNCTION("""COMPUTED_VALUE"""),"undefined")</f>
        <v>undefined</v>
      </c>
      <c r="L460" s="1" t="str">
        <f ca="1">IFERROR(__xludf.DUMMYFUNCTION("""COMPUTED_VALUE"""),"10.3390/d10030100")</f>
        <v>10.3390/d10030100</v>
      </c>
      <c r="M460" s="1" t="str">
        <f ca="1">IFERROR(__xludf.DUMMYFUNCTION("""COMPUTED_VALUE"""),"Murillo-García_2018")</f>
        <v>Murillo-García_2018</v>
      </c>
    </row>
    <row r="461" spans="1:13" ht="13.2">
      <c r="A461" s="1" t="str">
        <f ca="1">IFERROR(__xludf.DUMMYFUNCTION("""COMPUTED_VALUE"""),"Palatal Width at first molar (PW1)")</f>
        <v>Palatal Width at first molar (PW1)</v>
      </c>
      <c r="B461" s="1" t="str">
        <f ca="1">IFERROR(__xludf.DUMMYFUNCTION("""COMPUTED_VALUE"""),"Morphological traits")</f>
        <v>Morphological traits</v>
      </c>
      <c r="C461" s="1"/>
      <c r="D461" s="1"/>
      <c r="E461" s="1" t="str">
        <f ca="1">IFERROR(__xludf.DUMMYFUNCTION("""COMPUTED_VALUE"""),"numeric")</f>
        <v>numeric</v>
      </c>
      <c r="F461" s="1"/>
      <c r="G461" s="1" t="str">
        <f ca="1">IFERROR(__xludf.DUMMYFUNCTION("""COMPUTED_VALUE"""),".na")</f>
        <v>.na</v>
      </c>
      <c r="H461" s="1"/>
      <c r="I461" s="1"/>
      <c r="J461" s="1"/>
      <c r="K461" s="1" t="str">
        <f ca="1">IFERROR(__xludf.DUMMYFUNCTION("""COMPUTED_VALUE"""),"undefined")</f>
        <v>undefined</v>
      </c>
      <c r="L461" s="1" t="str">
        <f ca="1">IFERROR(__xludf.DUMMYFUNCTION("""COMPUTED_VALUE"""),"10.3390/d10030100")</f>
        <v>10.3390/d10030100</v>
      </c>
      <c r="M461" s="1" t="str">
        <f ca="1">IFERROR(__xludf.DUMMYFUNCTION("""COMPUTED_VALUE"""),"Murillo-García_2018")</f>
        <v>Murillo-García_2018</v>
      </c>
    </row>
    <row r="462" spans="1:13" ht="13.2">
      <c r="A462" s="1" t="str">
        <f ca="1">IFERROR(__xludf.DUMMYFUNCTION("""COMPUTED_VALUE"""),"Total Palate Length (TPL)")</f>
        <v>Total Palate Length (TPL)</v>
      </c>
      <c r="B462" s="1" t="str">
        <f ca="1">IFERROR(__xludf.DUMMYFUNCTION("""COMPUTED_VALUE"""),"Morphological traits")</f>
        <v>Morphological traits</v>
      </c>
      <c r="C462" s="1"/>
      <c r="D462" s="1"/>
      <c r="E462" s="1" t="str">
        <f ca="1">IFERROR(__xludf.DUMMYFUNCTION("""COMPUTED_VALUE"""),"numeric")</f>
        <v>numeric</v>
      </c>
      <c r="F462" s="1"/>
      <c r="G462" s="1" t="str">
        <f ca="1">IFERROR(__xludf.DUMMYFUNCTION("""COMPUTED_VALUE"""),".na")</f>
        <v>.na</v>
      </c>
      <c r="H462" s="1"/>
      <c r="I462" s="1"/>
      <c r="J462" s="1"/>
      <c r="K462" s="1" t="str">
        <f ca="1">IFERROR(__xludf.DUMMYFUNCTION("""COMPUTED_VALUE"""),"undefined")</f>
        <v>undefined</v>
      </c>
      <c r="L462" s="1" t="str">
        <f ca="1">IFERROR(__xludf.DUMMYFUNCTION("""COMPUTED_VALUE"""),"10.3390/d10030100")</f>
        <v>10.3390/d10030100</v>
      </c>
      <c r="M462" s="1" t="str">
        <f ca="1">IFERROR(__xludf.DUMMYFUNCTION("""COMPUTED_VALUE"""),"Murillo-García_2018")</f>
        <v>Murillo-García_2018</v>
      </c>
    </row>
    <row r="463" spans="1:13" ht="13.2">
      <c r="A463" s="1" t="str">
        <f ca="1">IFERROR(__xludf.DUMMYFUNCTION("""COMPUTED_VALUE"""),"Anterior Skull Length (ASL)")</f>
        <v>Anterior Skull Length (ASL)</v>
      </c>
      <c r="B463" s="1" t="str">
        <f ca="1">IFERROR(__xludf.DUMMYFUNCTION("""COMPUTED_VALUE"""),"Morphological traits")</f>
        <v>Morphological traits</v>
      </c>
      <c r="C463" s="1"/>
      <c r="D463" s="1"/>
      <c r="E463" s="1" t="str">
        <f ca="1">IFERROR(__xludf.DUMMYFUNCTION("""COMPUTED_VALUE"""),"numeric")</f>
        <v>numeric</v>
      </c>
      <c r="F463" s="1"/>
      <c r="G463" s="1" t="str">
        <f ca="1">IFERROR(__xludf.DUMMYFUNCTION("""COMPUTED_VALUE"""),".na")</f>
        <v>.na</v>
      </c>
      <c r="H463" s="1"/>
      <c r="I463" s="1"/>
      <c r="J463" s="1"/>
      <c r="K463" s="1" t="str">
        <f ca="1">IFERROR(__xludf.DUMMYFUNCTION("""COMPUTED_VALUE"""),"undefined")</f>
        <v>undefined</v>
      </c>
      <c r="L463" s="1" t="str">
        <f ca="1">IFERROR(__xludf.DUMMYFUNCTION("""COMPUTED_VALUE"""),"10.3390/d10030100")</f>
        <v>10.3390/d10030100</v>
      </c>
      <c r="M463" s="1" t="str">
        <f ca="1">IFERROR(__xludf.DUMMYFUNCTION("""COMPUTED_VALUE"""),"Murillo-García_2018")</f>
        <v>Murillo-García_2018</v>
      </c>
    </row>
    <row r="464" spans="1:13" ht="13.2">
      <c r="A464" s="1" t="str">
        <f ca="1">IFERROR(__xludf.DUMMYFUNCTION("""COMPUTED_VALUE"""),"Post-Palatal length (PPL)")</f>
        <v>Post-Palatal length (PPL)</v>
      </c>
      <c r="B464" s="1" t="str">
        <f ca="1">IFERROR(__xludf.DUMMYFUNCTION("""COMPUTED_VALUE"""),"Morphological traits")</f>
        <v>Morphological traits</v>
      </c>
      <c r="C464" s="1"/>
      <c r="D464" s="1"/>
      <c r="E464" s="1" t="str">
        <f ca="1">IFERROR(__xludf.DUMMYFUNCTION("""COMPUTED_VALUE"""),"numeric")</f>
        <v>numeric</v>
      </c>
      <c r="F464" s="1"/>
      <c r="G464" s="1" t="str">
        <f ca="1">IFERROR(__xludf.DUMMYFUNCTION("""COMPUTED_VALUE"""),".na")</f>
        <v>.na</v>
      </c>
      <c r="H464" s="1"/>
      <c r="I464" s="1"/>
      <c r="J464" s="1"/>
      <c r="K464" s="1" t="str">
        <f ca="1">IFERROR(__xludf.DUMMYFUNCTION("""COMPUTED_VALUE"""),"undefined")</f>
        <v>undefined</v>
      </c>
      <c r="L464" s="1" t="str">
        <f ca="1">IFERROR(__xludf.DUMMYFUNCTION("""COMPUTED_VALUE"""),"10.3390/d10030100")</f>
        <v>10.3390/d10030100</v>
      </c>
      <c r="M464" s="1" t="str">
        <f ca="1">IFERROR(__xludf.DUMMYFUNCTION("""COMPUTED_VALUE"""),"Murillo-García_2018")</f>
        <v>Murillo-García_2018</v>
      </c>
    </row>
    <row r="465" spans="1:13" ht="13.2">
      <c r="A465" s="1" t="str">
        <f ca="1">IFERROR(__xludf.DUMMYFUNCTION("""COMPUTED_VALUE"""),"Maxillary Toothrow Length (MTL)")</f>
        <v>Maxillary Toothrow Length (MTL)</v>
      </c>
      <c r="B465" s="1" t="str">
        <f ca="1">IFERROR(__xludf.DUMMYFUNCTION("""COMPUTED_VALUE"""),"Morphological traits")</f>
        <v>Morphological traits</v>
      </c>
      <c r="C465" s="1"/>
      <c r="D465" s="1"/>
      <c r="E465" s="1" t="str">
        <f ca="1">IFERROR(__xludf.DUMMYFUNCTION("""COMPUTED_VALUE"""),"numeric")</f>
        <v>numeric</v>
      </c>
      <c r="F465" s="1"/>
      <c r="G465" s="1" t="str">
        <f ca="1">IFERROR(__xludf.DUMMYFUNCTION("""COMPUTED_VALUE"""),".na")</f>
        <v>.na</v>
      </c>
      <c r="H465" s="1"/>
      <c r="I465" s="1"/>
      <c r="J465" s="1"/>
      <c r="K465" s="1" t="str">
        <f ca="1">IFERROR(__xludf.DUMMYFUNCTION("""COMPUTED_VALUE"""),"undefined")</f>
        <v>undefined</v>
      </c>
      <c r="L465" s="1" t="str">
        <f ca="1">IFERROR(__xludf.DUMMYFUNCTION("""COMPUTED_VALUE"""),"10.3390/d10030100")</f>
        <v>10.3390/d10030100</v>
      </c>
      <c r="M465" s="1" t="str">
        <f ca="1">IFERROR(__xludf.DUMMYFUNCTION("""COMPUTED_VALUE"""),"Murillo-García_2018")</f>
        <v>Murillo-García_2018</v>
      </c>
    </row>
    <row r="466" spans="1:13" ht="13.2">
      <c r="A466" s="1" t="str">
        <f ca="1">IFERROR(__xludf.DUMMYFUNCTION("""COMPUTED_VALUE"""),"Dentary Depth under first molar (DD)")</f>
        <v>Dentary Depth under first molar (DD)</v>
      </c>
      <c r="B466" s="1" t="str">
        <f ca="1">IFERROR(__xludf.DUMMYFUNCTION("""COMPUTED_VALUE"""),"Morphological traits")</f>
        <v>Morphological traits</v>
      </c>
      <c r="C466" s="1"/>
      <c r="D466" s="1"/>
      <c r="E466" s="1" t="str">
        <f ca="1">IFERROR(__xludf.DUMMYFUNCTION("""COMPUTED_VALUE"""),"numeric")</f>
        <v>numeric</v>
      </c>
      <c r="F466" s="1"/>
      <c r="G466" s="1" t="str">
        <f ca="1">IFERROR(__xludf.DUMMYFUNCTION("""COMPUTED_VALUE"""),".na")</f>
        <v>.na</v>
      </c>
      <c r="H466" s="1"/>
      <c r="I466" s="1"/>
      <c r="J466" s="1"/>
      <c r="K466" s="1" t="str">
        <f ca="1">IFERROR(__xludf.DUMMYFUNCTION("""COMPUTED_VALUE"""),"undefined")</f>
        <v>undefined</v>
      </c>
      <c r="L466" s="1" t="str">
        <f ca="1">IFERROR(__xludf.DUMMYFUNCTION("""COMPUTED_VALUE"""),"10.3390/d10030100")</f>
        <v>10.3390/d10030100</v>
      </c>
      <c r="M466" s="1" t="str">
        <f ca="1">IFERROR(__xludf.DUMMYFUNCTION("""COMPUTED_VALUE"""),"Murillo-García_2018")</f>
        <v>Murillo-García_2018</v>
      </c>
    </row>
    <row r="467" spans="1:13" ht="13.2">
      <c r="A467" s="1" t="str">
        <f ca="1">IFERROR(__xludf.DUMMYFUNCTION("""COMPUTED_VALUE"""),"Coronoid Process Height (CPH)")</f>
        <v>Coronoid Process Height (CPH)</v>
      </c>
      <c r="B467" s="1" t="str">
        <f ca="1">IFERROR(__xludf.DUMMYFUNCTION("""COMPUTED_VALUE"""),"Morphological traits")</f>
        <v>Morphological traits</v>
      </c>
      <c r="C467" s="1"/>
      <c r="D467" s="1"/>
      <c r="E467" s="1" t="str">
        <f ca="1">IFERROR(__xludf.DUMMYFUNCTION("""COMPUTED_VALUE"""),"numeric")</f>
        <v>numeric</v>
      </c>
      <c r="F467" s="1"/>
      <c r="G467" s="1" t="str">
        <f ca="1">IFERROR(__xludf.DUMMYFUNCTION("""COMPUTED_VALUE"""),".na")</f>
        <v>.na</v>
      </c>
      <c r="H467" s="1"/>
      <c r="I467" s="1"/>
      <c r="J467" s="1"/>
      <c r="K467" s="1" t="str">
        <f ca="1">IFERROR(__xludf.DUMMYFUNCTION("""COMPUTED_VALUE"""),"undefined")</f>
        <v>undefined</v>
      </c>
      <c r="L467" s="1" t="str">
        <f ca="1">IFERROR(__xludf.DUMMYFUNCTION("""COMPUTED_VALUE"""),"10.3390/d10030100")</f>
        <v>10.3390/d10030100</v>
      </c>
      <c r="M467" s="1" t="str">
        <f ca="1">IFERROR(__xludf.DUMMYFUNCTION("""COMPUTED_VALUE"""),"Murillo-García_2018")</f>
        <v>Murillo-García_2018</v>
      </c>
    </row>
    <row r="468" spans="1:13" ht="13.2">
      <c r="A468" s="1" t="str">
        <f ca="1">IFERROR(__xludf.DUMMYFUNCTION("""COMPUTED_VALUE"""),"Condyle height (CH)")</f>
        <v>Condyle height (CH)</v>
      </c>
      <c r="B468" s="1" t="str">
        <f ca="1">IFERROR(__xludf.DUMMYFUNCTION("""COMPUTED_VALUE"""),"Morphological traits")</f>
        <v>Morphological traits</v>
      </c>
      <c r="C468" s="1"/>
      <c r="D468" s="1"/>
      <c r="E468" s="1" t="str">
        <f ca="1">IFERROR(__xludf.DUMMYFUNCTION("""COMPUTED_VALUE"""),"numeric")</f>
        <v>numeric</v>
      </c>
      <c r="F468" s="1"/>
      <c r="G468" s="1" t="str">
        <f ca="1">IFERROR(__xludf.DUMMYFUNCTION("""COMPUTED_VALUE"""),".na")</f>
        <v>.na</v>
      </c>
      <c r="H468" s="1"/>
      <c r="I468" s="1"/>
      <c r="J468" s="1"/>
      <c r="K468" s="1" t="str">
        <f ca="1">IFERROR(__xludf.DUMMYFUNCTION("""COMPUTED_VALUE"""),"undefined")</f>
        <v>undefined</v>
      </c>
      <c r="L468" s="1" t="str">
        <f ca="1">IFERROR(__xludf.DUMMYFUNCTION("""COMPUTED_VALUE"""),"10.3390/d10030100")</f>
        <v>10.3390/d10030100</v>
      </c>
      <c r="M468" s="1" t="str">
        <f ca="1">IFERROR(__xludf.DUMMYFUNCTION("""COMPUTED_VALUE"""),"Murillo-García_2018")</f>
        <v>Murillo-García_2018</v>
      </c>
    </row>
    <row r="469" spans="1:13" ht="13.2">
      <c r="A469" s="1" t="str">
        <f ca="1">IFERROR(__xludf.DUMMYFUNCTION("""COMPUTED_VALUE"""),"Condyle to Canine bite point distance (CC)")</f>
        <v>Condyle to Canine bite point distance (CC)</v>
      </c>
      <c r="B469" s="1" t="str">
        <f ca="1">IFERROR(__xludf.DUMMYFUNCTION("""COMPUTED_VALUE"""),"Morphological traits")</f>
        <v>Morphological traits</v>
      </c>
      <c r="C469" s="1"/>
      <c r="D469" s="1"/>
      <c r="E469" s="1" t="str">
        <f ca="1">IFERROR(__xludf.DUMMYFUNCTION("""COMPUTED_VALUE"""),"numeric")</f>
        <v>numeric</v>
      </c>
      <c r="F469" s="1"/>
      <c r="G469" s="1" t="str">
        <f ca="1">IFERROR(__xludf.DUMMYFUNCTION("""COMPUTED_VALUE"""),".na")</f>
        <v>.na</v>
      </c>
      <c r="H469" s="1"/>
      <c r="I469" s="1"/>
      <c r="J469" s="1"/>
      <c r="K469" s="1" t="str">
        <f ca="1">IFERROR(__xludf.DUMMYFUNCTION("""COMPUTED_VALUE"""),"undefined")</f>
        <v>undefined</v>
      </c>
      <c r="L469" s="1" t="str">
        <f ca="1">IFERROR(__xludf.DUMMYFUNCTION("""COMPUTED_VALUE"""),"10.3390/d10030100")</f>
        <v>10.3390/d10030100</v>
      </c>
      <c r="M469" s="1" t="str">
        <f ca="1">IFERROR(__xludf.DUMMYFUNCTION("""COMPUTED_VALUE"""),"Murillo-García_2018")</f>
        <v>Murillo-García_2018</v>
      </c>
    </row>
    <row r="470" spans="1:13" ht="13.2">
      <c r="A470" s="1" t="str">
        <f ca="1">IFERROR(__xludf.DUMMYFUNCTION("""COMPUTED_VALUE"""),"Condyle to first molar point distance (Cm1)")</f>
        <v>Condyle to first molar point distance (Cm1)</v>
      </c>
      <c r="B470" s="1" t="str">
        <f ca="1">IFERROR(__xludf.DUMMYFUNCTION("""COMPUTED_VALUE"""),"Morphological traits")</f>
        <v>Morphological traits</v>
      </c>
      <c r="C470" s="1"/>
      <c r="D470" s="1"/>
      <c r="E470" s="1" t="str">
        <f ca="1">IFERROR(__xludf.DUMMYFUNCTION("""COMPUTED_VALUE"""),"numeric")</f>
        <v>numeric</v>
      </c>
      <c r="F470" s="1"/>
      <c r="G470" s="1" t="str">
        <f ca="1">IFERROR(__xludf.DUMMYFUNCTION("""COMPUTED_VALUE"""),".na")</f>
        <v>.na</v>
      </c>
      <c r="H470" s="1"/>
      <c r="I470" s="1"/>
      <c r="J470" s="1"/>
      <c r="K470" s="1" t="str">
        <f ca="1">IFERROR(__xludf.DUMMYFUNCTION("""COMPUTED_VALUE"""),"undefined")</f>
        <v>undefined</v>
      </c>
      <c r="L470" s="1" t="str">
        <f ca="1">IFERROR(__xludf.DUMMYFUNCTION("""COMPUTED_VALUE"""),"10.3390/d10030100")</f>
        <v>10.3390/d10030100</v>
      </c>
      <c r="M470" s="1" t="str">
        <f ca="1">IFERROR(__xludf.DUMMYFUNCTION("""COMPUTED_VALUE"""),"Murillo-García_2018")</f>
        <v>Murillo-García_2018</v>
      </c>
    </row>
    <row r="471" spans="1:13" ht="13.2">
      <c r="A471" s="1" t="str">
        <f ca="1">IFERROR(__xludf.DUMMYFUNCTION("""COMPUTED_VALUE"""),"Condyle to last molar point distance (Cm3)")</f>
        <v>Condyle to last molar point distance (Cm3)</v>
      </c>
      <c r="B471" s="1" t="str">
        <f ca="1">IFERROR(__xludf.DUMMYFUNCTION("""COMPUTED_VALUE"""),"Morphological traits")</f>
        <v>Morphological traits</v>
      </c>
      <c r="C471" s="1"/>
      <c r="D471" s="1"/>
      <c r="E471" s="1" t="str">
        <f ca="1">IFERROR(__xludf.DUMMYFUNCTION("""COMPUTED_VALUE"""),"numeric")</f>
        <v>numeric</v>
      </c>
      <c r="F471" s="1"/>
      <c r="G471" s="1" t="str">
        <f ca="1">IFERROR(__xludf.DUMMYFUNCTION("""COMPUTED_VALUE"""),".na")</f>
        <v>.na</v>
      </c>
      <c r="H471" s="1"/>
      <c r="I471" s="1"/>
      <c r="J471" s="1"/>
      <c r="K471" s="1" t="str">
        <f ca="1">IFERROR(__xludf.DUMMYFUNCTION("""COMPUTED_VALUE"""),"undefined")</f>
        <v>undefined</v>
      </c>
      <c r="L471" s="1" t="str">
        <f ca="1">IFERROR(__xludf.DUMMYFUNCTION("""COMPUTED_VALUE"""),"10.3390/d10030100")</f>
        <v>10.3390/d10030100</v>
      </c>
      <c r="M471" s="1" t="str">
        <f ca="1">IFERROR(__xludf.DUMMYFUNCTION("""COMPUTED_VALUE"""),"Murillo-García_2018")</f>
        <v>Murillo-García_2018</v>
      </c>
    </row>
    <row r="472" spans="1:13" ht="13.2">
      <c r="A472" s="1" t="str">
        <f ca="1">IFERROR(__xludf.DUMMYFUNCTION("""COMPUTED_VALUE"""),"Total Dentary Length (TDL)")</f>
        <v>Total Dentary Length (TDL)</v>
      </c>
      <c r="B472" s="1" t="str">
        <f ca="1">IFERROR(__xludf.DUMMYFUNCTION("""COMPUTED_VALUE"""),"Morphological traits")</f>
        <v>Morphological traits</v>
      </c>
      <c r="C472" s="1"/>
      <c r="D472" s="1"/>
      <c r="E472" s="1" t="str">
        <f ca="1">IFERROR(__xludf.DUMMYFUNCTION("""COMPUTED_VALUE"""),"numeric")</f>
        <v>numeric</v>
      </c>
      <c r="F472" s="1"/>
      <c r="G472" s="1" t="str">
        <f ca="1">IFERROR(__xludf.DUMMYFUNCTION("""COMPUTED_VALUE"""),".na")</f>
        <v>.na</v>
      </c>
      <c r="H472" s="1"/>
      <c r="I472" s="1"/>
      <c r="J472" s="1"/>
      <c r="K472" s="1" t="str">
        <f ca="1">IFERROR(__xludf.DUMMYFUNCTION("""COMPUTED_VALUE"""),"undefined")</f>
        <v>undefined</v>
      </c>
      <c r="L472" s="1" t="str">
        <f ca="1">IFERROR(__xludf.DUMMYFUNCTION("""COMPUTED_VALUE"""),"10.3390/d10030100")</f>
        <v>10.3390/d10030100</v>
      </c>
      <c r="M472" s="1" t="str">
        <f ca="1">IFERROR(__xludf.DUMMYFUNCTION("""COMPUTED_VALUE"""),"Murillo-García_2018")</f>
        <v>Murillo-García_2018</v>
      </c>
    </row>
    <row r="473" spans="1:13" ht="13.2">
      <c r="A473" s="1" t="str">
        <f ca="1">IFERROR(__xludf.DUMMYFUNCTION("""COMPUTED_VALUE"""),"Condyle-Coronoid Length (CCL)")</f>
        <v>Condyle-Coronoid Length (CCL)</v>
      </c>
      <c r="B473" s="1" t="str">
        <f ca="1">IFERROR(__xludf.DUMMYFUNCTION("""COMPUTED_VALUE"""),"Morphological traits")</f>
        <v>Morphological traits</v>
      </c>
      <c r="C473" s="1"/>
      <c r="D473" s="1"/>
      <c r="E473" s="1" t="str">
        <f ca="1">IFERROR(__xludf.DUMMYFUNCTION("""COMPUTED_VALUE"""),"numeric")</f>
        <v>numeric</v>
      </c>
      <c r="F473" s="1"/>
      <c r="G473" s="1" t="str">
        <f ca="1">IFERROR(__xludf.DUMMYFUNCTION("""COMPUTED_VALUE"""),".na")</f>
        <v>.na</v>
      </c>
      <c r="H473" s="1"/>
      <c r="I473" s="1"/>
      <c r="J473" s="1"/>
      <c r="K473" s="1" t="str">
        <f ca="1">IFERROR(__xludf.DUMMYFUNCTION("""COMPUTED_VALUE"""),"undefined")</f>
        <v>undefined</v>
      </c>
      <c r="L473" s="1" t="str">
        <f ca="1">IFERROR(__xludf.DUMMYFUNCTION("""COMPUTED_VALUE"""),"10.3390/d10030100")</f>
        <v>10.3390/d10030100</v>
      </c>
      <c r="M473" s="1" t="str">
        <f ca="1">IFERROR(__xludf.DUMMYFUNCTION("""COMPUTED_VALUE"""),"Murillo-García_2018")</f>
        <v>Murillo-García_2018</v>
      </c>
    </row>
    <row r="474" spans="1:13" ht="13.2">
      <c r="A474" s="1" t="str">
        <f ca="1">IFERROR(__xludf.DUMMYFUNCTION("""COMPUTED_VALUE"""),"Coronoid-Angular Length (CAL)")</f>
        <v>Coronoid-Angular Length (CAL)</v>
      </c>
      <c r="B474" s="1" t="str">
        <f ca="1">IFERROR(__xludf.DUMMYFUNCTION("""COMPUTED_VALUE"""),"Morphological traits")</f>
        <v>Morphological traits</v>
      </c>
      <c r="C474" s="1"/>
      <c r="D474" s="1"/>
      <c r="E474" s="1" t="str">
        <f ca="1">IFERROR(__xludf.DUMMYFUNCTION("""COMPUTED_VALUE"""),"numeric")</f>
        <v>numeric</v>
      </c>
      <c r="F474" s="1"/>
      <c r="G474" s="1" t="str">
        <f ca="1">IFERROR(__xludf.DUMMYFUNCTION("""COMPUTED_VALUE"""),".na")</f>
        <v>.na</v>
      </c>
      <c r="H474" s="1"/>
      <c r="I474" s="1"/>
      <c r="J474" s="1"/>
      <c r="K474" s="1" t="str">
        <f ca="1">IFERROR(__xludf.DUMMYFUNCTION("""COMPUTED_VALUE"""),"undefined")</f>
        <v>undefined</v>
      </c>
      <c r="L474" s="1" t="str">
        <f ca="1">IFERROR(__xludf.DUMMYFUNCTION("""COMPUTED_VALUE"""),"10.3390/d10030100")</f>
        <v>10.3390/d10030100</v>
      </c>
      <c r="M474" s="1" t="str">
        <f ca="1">IFERROR(__xludf.DUMMYFUNCTION("""COMPUTED_VALUE"""),"Murillo-García_2018")</f>
        <v>Murillo-García_2018</v>
      </c>
    </row>
    <row r="475" spans="1:13" ht="13.2">
      <c r="A475" s="1" t="str">
        <f ca="1">IFERROR(__xludf.DUMMYFUNCTION("""COMPUTED_VALUE"""),"Mandibular toothrow length (MAN)")</f>
        <v>Mandibular toothrow length (MAN)</v>
      </c>
      <c r="B475" s="1" t="str">
        <f ca="1">IFERROR(__xludf.DUMMYFUNCTION("""COMPUTED_VALUE"""),"Morphological traits")</f>
        <v>Morphological traits</v>
      </c>
      <c r="C475" s="1"/>
      <c r="D475" s="1"/>
      <c r="E475" s="1" t="str">
        <f ca="1">IFERROR(__xludf.DUMMYFUNCTION("""COMPUTED_VALUE"""),"numeric")</f>
        <v>numeric</v>
      </c>
      <c r="F475" s="1"/>
      <c r="G475" s="1" t="str">
        <f ca="1">IFERROR(__xludf.DUMMYFUNCTION("""COMPUTED_VALUE"""),".na")</f>
        <v>.na</v>
      </c>
      <c r="H475" s="1"/>
      <c r="I475" s="1"/>
      <c r="J475" s="1"/>
      <c r="K475" s="1" t="str">
        <f ca="1">IFERROR(__xludf.DUMMYFUNCTION("""COMPUTED_VALUE"""),"undefined")</f>
        <v>undefined</v>
      </c>
      <c r="L475" s="1" t="str">
        <f ca="1">IFERROR(__xludf.DUMMYFUNCTION("""COMPUTED_VALUE"""),"10.3390/d10030100")</f>
        <v>10.3390/d10030100</v>
      </c>
      <c r="M475" s="1" t="str">
        <f ca="1">IFERROR(__xludf.DUMMYFUNCTION("""COMPUTED_VALUE"""),"Murillo-García_2018")</f>
        <v>Murillo-García_2018</v>
      </c>
    </row>
    <row r="476" spans="1:13" ht="13.2">
      <c r="A476" s="1" t="str">
        <f ca="1">IFERROR(__xludf.DUMMYFUNCTION("""COMPUTED_VALUE"""),"Ability to fly")</f>
        <v>Ability to fly</v>
      </c>
      <c r="B476" s="1"/>
      <c r="C476" s="1"/>
      <c r="D476" s="1"/>
      <c r="E476" s="1" t="str">
        <f ca="1">IFERROR(__xludf.DUMMYFUNCTION("""COMPUTED_VALUE"""),"categorical")</f>
        <v>categorical</v>
      </c>
      <c r="F476" s="1" t="str">
        <f ca="1">IFERROR(__xludf.DUMMYFUNCTION("""COMPUTED_VALUE"""),".na")</f>
        <v>.na</v>
      </c>
      <c r="G476" s="1" t="str">
        <f ca="1">IFERROR(__xludf.DUMMYFUNCTION("""COMPUTED_VALUE"""),"edge, gleaner, open")</f>
        <v>edge, gleaner, open</v>
      </c>
      <c r="H476" s="1" t="str">
        <f ca="1">IFERROR(__xludf.DUMMYFUNCTION("""COMPUTED_VALUE"""),".na")</f>
        <v>.na</v>
      </c>
      <c r="I476" s="1" t="str">
        <f ca="1">IFERROR(__xludf.DUMMYFUNCTION("""COMPUTED_VALUE"""),".na")</f>
        <v>.na</v>
      </c>
      <c r="J476" s="1"/>
      <c r="K476" s="1" t="str">
        <f ca="1">IFERROR(__xludf.DUMMYFUNCTION("""COMPUTED_VALUE"""),"response")</f>
        <v>response</v>
      </c>
      <c r="L476" s="1" t="str">
        <f ca="1">IFERROR(__xludf.DUMMYFUNCTION("""COMPUTED_VALUE"""),"10.1016/j.foreco.2018.02.028")</f>
        <v>10.1016/j.foreco.2018.02.028</v>
      </c>
      <c r="M476" s="1" t="str">
        <f ca="1">IFERROR(__xludf.DUMMYFUNCTION("""COMPUTED_VALUE"""),"Renner_2018")</f>
        <v>Renner_2018</v>
      </c>
    </row>
    <row r="477" spans="1:13" ht="13.2">
      <c r="A477" s="1" t="str">
        <f ca="1">IFERROR(__xludf.DUMMYFUNCTION("""COMPUTED_VALUE"""),"body mass")</f>
        <v>body mass</v>
      </c>
      <c r="B477" s="1"/>
      <c r="C477" s="1"/>
      <c r="D477" s="1"/>
      <c r="E477" s="1" t="str">
        <f ca="1">IFERROR(__xludf.DUMMYFUNCTION("""COMPUTED_VALUE"""),"numeric")</f>
        <v>numeric</v>
      </c>
      <c r="F477" s="1"/>
      <c r="G477" s="1" t="str">
        <f ca="1">IFERROR(__xludf.DUMMYFUNCTION("""COMPUTED_VALUE"""),".na")</f>
        <v>.na</v>
      </c>
      <c r="H477" s="1"/>
      <c r="I477" s="1"/>
      <c r="J477" s="1"/>
      <c r="K477" s="1" t="str">
        <f ca="1">IFERROR(__xludf.DUMMYFUNCTION("""COMPUTED_VALUE"""),"response")</f>
        <v>response</v>
      </c>
      <c r="L477" s="1" t="str">
        <f ca="1">IFERROR(__xludf.DUMMYFUNCTION("""COMPUTED_VALUE"""),"10.1016/j.biocon.2017.12.036")</f>
        <v>10.1016/j.biocon.2017.12.036</v>
      </c>
      <c r="M477" s="1" t="str">
        <f ca="1">IFERROR(__xludf.DUMMYFUNCTION("""COMPUTED_VALUE"""),"Farneda_2018")</f>
        <v>Farneda_2018</v>
      </c>
    </row>
    <row r="478" spans="1:13" ht="13.2">
      <c r="A478" s="1" t="str">
        <f ca="1">IFERROR(__xludf.DUMMYFUNCTION("""COMPUTED_VALUE"""),"trophic level")</f>
        <v>trophic level</v>
      </c>
      <c r="B478" s="1"/>
      <c r="C478" s="1"/>
      <c r="D478" s="1"/>
      <c r="E478" s="1" t="str">
        <f ca="1">IFERROR(__xludf.DUMMYFUNCTION("""COMPUTED_VALUE"""),"categorical")</f>
        <v>categorical</v>
      </c>
      <c r="F478" s="1" t="str">
        <f ca="1">IFERROR(__xludf.DUMMYFUNCTION("""COMPUTED_VALUE"""),".na")</f>
        <v>.na</v>
      </c>
      <c r="G478" s="1" t="str">
        <f ca="1">IFERROR(__xludf.DUMMYFUNCTION("""COMPUTED_VALUE"""),"animalivorous, phytophagous")</f>
        <v>animalivorous, phytophagous</v>
      </c>
      <c r="H478" s="1" t="str">
        <f ca="1">IFERROR(__xludf.DUMMYFUNCTION("""COMPUTED_VALUE"""),".na")</f>
        <v>.na</v>
      </c>
      <c r="I478" s="1" t="str">
        <f ca="1">IFERROR(__xludf.DUMMYFUNCTION("""COMPUTED_VALUE"""),".na")</f>
        <v>.na</v>
      </c>
      <c r="J478" s="1"/>
      <c r="K478" s="1" t="str">
        <f ca="1">IFERROR(__xludf.DUMMYFUNCTION("""COMPUTED_VALUE"""),"response")</f>
        <v>response</v>
      </c>
      <c r="L478" s="1" t="str">
        <f ca="1">IFERROR(__xludf.DUMMYFUNCTION("""COMPUTED_VALUE"""),"10.1016/j.biocon.2017.12.036")</f>
        <v>10.1016/j.biocon.2017.12.036</v>
      </c>
      <c r="M478" s="1" t="str">
        <f ca="1">IFERROR(__xludf.DUMMYFUNCTION("""COMPUTED_VALUE"""),"Farneda_2018")</f>
        <v>Farneda_2018</v>
      </c>
    </row>
    <row r="479" spans="1:13" ht="13.2">
      <c r="A479" s="1" t="str">
        <f ca="1">IFERROR(__xludf.DUMMYFUNCTION("""COMPUTED_VALUE"""),"dietary specialization")</f>
        <v>dietary specialization</v>
      </c>
      <c r="B479" s="1"/>
      <c r="C479" s="1"/>
      <c r="D479" s="1"/>
      <c r="E479" s="1" t="str">
        <f ca="1">IFERROR(__xludf.DUMMYFUNCTION("""COMPUTED_VALUE"""),"categorical")</f>
        <v>categorical</v>
      </c>
      <c r="F479" s="1" t="str">
        <f ca="1">IFERROR(__xludf.DUMMYFUNCTION("""COMPUTED_VALUE"""),".na")</f>
        <v>.na</v>
      </c>
      <c r="G479" s="1" t="str">
        <f ca="1">IFERROR(__xludf.DUMMYFUNCTION("""COMPUTED_VALUE"""),"low, intermediate, high")</f>
        <v>low, intermediate, high</v>
      </c>
      <c r="H479" s="1" t="str">
        <f ca="1">IFERROR(__xludf.DUMMYFUNCTION("""COMPUTED_VALUE"""),".na")</f>
        <v>.na</v>
      </c>
      <c r="I479" s="1" t="str">
        <f ca="1">IFERROR(__xludf.DUMMYFUNCTION("""COMPUTED_VALUE"""),".na")</f>
        <v>.na</v>
      </c>
      <c r="J479" s="1"/>
      <c r="K479" s="1" t="str">
        <f ca="1">IFERROR(__xludf.DUMMYFUNCTION("""COMPUTED_VALUE"""),"response")</f>
        <v>response</v>
      </c>
      <c r="L479" s="1" t="str">
        <f ca="1">IFERROR(__xludf.DUMMYFUNCTION("""COMPUTED_VALUE"""),"10.1016/j.biocon.2017.12.036")</f>
        <v>10.1016/j.biocon.2017.12.036</v>
      </c>
      <c r="M479" s="1" t="str">
        <f ca="1">IFERROR(__xludf.DUMMYFUNCTION("""COMPUTED_VALUE"""),"Farneda_2018")</f>
        <v>Farneda_2018</v>
      </c>
    </row>
    <row r="480" spans="1:13" ht="13.2">
      <c r="A480" s="1" t="str">
        <f ca="1">IFERROR(__xludf.DUMMYFUNCTION("""COMPUTED_VALUE"""),"vertical stratification")</f>
        <v>vertical stratification</v>
      </c>
      <c r="B480" s="1"/>
      <c r="C480" s="1"/>
      <c r="D480" s="1"/>
      <c r="E480" s="1" t="str">
        <f ca="1">IFERROR(__xludf.DUMMYFUNCTION("""COMPUTED_VALUE"""),"categorical")</f>
        <v>categorical</v>
      </c>
      <c r="F480" s="1" t="str">
        <f ca="1">IFERROR(__xludf.DUMMYFUNCTION("""COMPUTED_VALUE"""),".na")</f>
        <v>.na</v>
      </c>
      <c r="G480" s="1" t="str">
        <f ca="1">IFERROR(__xludf.DUMMYFUNCTION("""COMPUTED_VALUE"""),"canopy, oportunistic, understorey")</f>
        <v>canopy, oportunistic, understorey</v>
      </c>
      <c r="H480" s="1" t="str">
        <f ca="1">IFERROR(__xludf.DUMMYFUNCTION("""COMPUTED_VALUE"""),".na")</f>
        <v>.na</v>
      </c>
      <c r="I480" s="1" t="str">
        <f ca="1">IFERROR(__xludf.DUMMYFUNCTION("""COMPUTED_VALUE"""),".na")</f>
        <v>.na</v>
      </c>
      <c r="J480" s="1"/>
      <c r="K480" s="1" t="str">
        <f ca="1">IFERROR(__xludf.DUMMYFUNCTION("""COMPUTED_VALUE"""),"response")</f>
        <v>response</v>
      </c>
      <c r="L480" s="1" t="str">
        <f ca="1">IFERROR(__xludf.DUMMYFUNCTION("""COMPUTED_VALUE"""),"10.1016/j.biocon.2017.12.036")</f>
        <v>10.1016/j.biocon.2017.12.036</v>
      </c>
      <c r="M480" s="1" t="str">
        <f ca="1">IFERROR(__xludf.DUMMYFUNCTION("""COMPUTED_VALUE"""),"Farneda_2018")</f>
        <v>Farneda_2018</v>
      </c>
    </row>
    <row r="481" spans="1:13" ht="13.2">
      <c r="A481" s="1" t="str">
        <f ca="1">IFERROR(__xludf.DUMMYFUNCTION("""COMPUTED_VALUE"""),"aspect ratio")</f>
        <v>aspect ratio</v>
      </c>
      <c r="B481" s="1" t="str">
        <f ca="1">IFERROR(__xludf.DUMMYFUNCTION("""COMPUTED_VALUE"""),"wing morphology")</f>
        <v>wing morphology</v>
      </c>
      <c r="C481" s="1"/>
      <c r="D481" s="1"/>
      <c r="E481" s="1" t="str">
        <f ca="1">IFERROR(__xludf.DUMMYFUNCTION("""COMPUTED_VALUE"""),"numeric")</f>
        <v>numeric</v>
      </c>
      <c r="F481" s="1"/>
      <c r="G481" s="1" t="str">
        <f ca="1">IFERROR(__xludf.DUMMYFUNCTION("""COMPUTED_VALUE"""),".na")</f>
        <v>.na</v>
      </c>
      <c r="H481" s="1"/>
      <c r="I481" s="1"/>
      <c r="J481" s="1"/>
      <c r="K481" s="1" t="str">
        <f ca="1">IFERROR(__xludf.DUMMYFUNCTION("""COMPUTED_VALUE"""),"response")</f>
        <v>response</v>
      </c>
      <c r="L481" s="1" t="str">
        <f ca="1">IFERROR(__xludf.DUMMYFUNCTION("""COMPUTED_VALUE"""),"10.1016/j.biocon.2017.12.036")</f>
        <v>10.1016/j.biocon.2017.12.036</v>
      </c>
      <c r="M481" s="1" t="str">
        <f ca="1">IFERROR(__xludf.DUMMYFUNCTION("""COMPUTED_VALUE"""),"Farneda_2018")</f>
        <v>Farneda_2018</v>
      </c>
    </row>
    <row r="482" spans="1:13" ht="13.2">
      <c r="A482" s="1" t="str">
        <f ca="1">IFERROR(__xludf.DUMMYFUNCTION("""COMPUTED_VALUE"""),"relative wing loading")</f>
        <v>relative wing loading</v>
      </c>
      <c r="B482" s="1" t="str">
        <f ca="1">IFERROR(__xludf.DUMMYFUNCTION("""COMPUTED_VALUE"""),"wing morphology")</f>
        <v>wing morphology</v>
      </c>
      <c r="C482" s="1"/>
      <c r="D482" s="1"/>
      <c r="E482" s="1" t="str">
        <f ca="1">IFERROR(__xludf.DUMMYFUNCTION("""COMPUTED_VALUE"""),"numeric")</f>
        <v>numeric</v>
      </c>
      <c r="F482" s="1"/>
      <c r="G482" s="1" t="str">
        <f ca="1">IFERROR(__xludf.DUMMYFUNCTION("""COMPUTED_VALUE"""),".na")</f>
        <v>.na</v>
      </c>
      <c r="H482" s="1"/>
      <c r="I482" s="1"/>
      <c r="J482" s="1"/>
      <c r="K482" s="1" t="str">
        <f ca="1">IFERROR(__xludf.DUMMYFUNCTION("""COMPUTED_VALUE"""),"response")</f>
        <v>response</v>
      </c>
      <c r="L482" s="1" t="str">
        <f ca="1">IFERROR(__xludf.DUMMYFUNCTION("""COMPUTED_VALUE"""),"10.1016/j.biocon.2017.12.036")</f>
        <v>10.1016/j.biocon.2017.12.036</v>
      </c>
      <c r="M482" s="1" t="str">
        <f ca="1">IFERROR(__xludf.DUMMYFUNCTION("""COMPUTED_VALUE"""),"Farneda_2018")</f>
        <v>Farneda_2018</v>
      </c>
    </row>
    <row r="483" spans="1:13" ht="13.2">
      <c r="A483" s="1" t="str">
        <f ca="1">IFERROR(__xludf.DUMMYFUNCTION("""COMPUTED_VALUE"""),"Foraging guild")</f>
        <v>Foraging guild</v>
      </c>
      <c r="B483" s="1"/>
      <c r="C483" s="1"/>
      <c r="D483" s="1"/>
      <c r="E483" s="1" t="str">
        <f ca="1">IFERROR(__xludf.DUMMYFUNCTION("""COMPUTED_VALUE"""),"categorical")</f>
        <v>categorical</v>
      </c>
      <c r="F483" s="1" t="str">
        <f ca="1">IFERROR(__xludf.DUMMYFUNCTION("""COMPUTED_VALUE"""),".na")</f>
        <v>.na</v>
      </c>
      <c r="G483" s="1" t="str">
        <f ca="1">IFERROR(__xludf.DUMMYFUNCTION("""COMPUTED_VALUE"""),"edge, open, clutter")</f>
        <v>edge, open, clutter</v>
      </c>
      <c r="H483" s="1" t="str">
        <f ca="1">IFERROR(__xludf.DUMMYFUNCTION("""COMPUTED_VALUE"""),".na")</f>
        <v>.na</v>
      </c>
      <c r="I483" s="1" t="str">
        <f ca="1">IFERROR(__xludf.DUMMYFUNCTION("""COMPUTED_VALUE"""),".na")</f>
        <v>.na</v>
      </c>
      <c r="J483" s="1"/>
      <c r="K483" s="1" t="str">
        <f ca="1">IFERROR(__xludf.DUMMYFUNCTION("""COMPUTED_VALUE"""),"undefined")</f>
        <v>undefined</v>
      </c>
      <c r="L483" s="1" t="str">
        <f ca="1">IFERROR(__xludf.DUMMYFUNCTION("""COMPUTED_VALUE"""),"10.4404/hystrix-00016-2017")</f>
        <v>10.4404/hystrix-00016-2017</v>
      </c>
      <c r="M483" s="1" t="str">
        <f ca="1">IFERROR(__xludf.DUMMYFUNCTION("""COMPUTED_VALUE"""),"Monadjem_2018")</f>
        <v>Monadjem_2018</v>
      </c>
    </row>
    <row r="484" spans="1:13" ht="13.2">
      <c r="A484" s="1" t="str">
        <f ca="1">IFERROR(__xludf.DUMMYFUNCTION("""COMPUTED_VALUE"""),"diet")</f>
        <v>diet</v>
      </c>
      <c r="B484" s="1"/>
      <c r="C484" s="1"/>
      <c r="D484" s="1"/>
      <c r="E484" s="1" t="str">
        <f ca="1">IFERROR(__xludf.DUMMYFUNCTION("""COMPUTED_VALUE"""),"categorical")</f>
        <v>categorical</v>
      </c>
      <c r="F484" s="1" t="str">
        <f ca="1">IFERROR(__xludf.DUMMYFUNCTION("""COMPUTED_VALUE"""),".na")</f>
        <v>.na</v>
      </c>
      <c r="G484" s="1" t="str">
        <f ca="1">IFERROR(__xludf.DUMMYFUNCTION("""COMPUTED_VALUE"""),"insectivore, nectivore, carnivore")</f>
        <v>insectivore, nectivore, carnivore</v>
      </c>
      <c r="H484" s="1" t="str">
        <f ca="1">IFERROR(__xludf.DUMMYFUNCTION("""COMPUTED_VALUE"""),".na")</f>
        <v>.na</v>
      </c>
      <c r="I484" s="1" t="str">
        <f ca="1">IFERROR(__xludf.DUMMYFUNCTION("""COMPUTED_VALUE"""),".na")</f>
        <v>.na</v>
      </c>
      <c r="J484" s="1"/>
      <c r="K484" s="1" t="str">
        <f ca="1">IFERROR(__xludf.DUMMYFUNCTION("""COMPUTED_VALUE"""),"undefined")</f>
        <v>undefined</v>
      </c>
      <c r="L484" s="1" t="str">
        <f ca="1">IFERROR(__xludf.DUMMYFUNCTION("""COMPUTED_VALUE"""),"10.4404/hystrix-00016-2017")</f>
        <v>10.4404/hystrix-00016-2017</v>
      </c>
      <c r="M484" s="1" t="str">
        <f ca="1">IFERROR(__xludf.DUMMYFUNCTION("""COMPUTED_VALUE"""),"Monadjem_2018")</f>
        <v>Monadjem_2018</v>
      </c>
    </row>
    <row r="485" spans="1:13" ht="13.2">
      <c r="A485" s="1" t="str">
        <f ca="1">IFERROR(__xludf.DUMMYFUNCTION("""COMPUTED_VALUE"""),"mass")</f>
        <v>mass</v>
      </c>
      <c r="B485" s="1" t="str">
        <f ca="1">IFERROR(__xludf.DUMMYFUNCTION("""COMPUTED_VALUE"""),"Size")</f>
        <v>Size</v>
      </c>
      <c r="C485" s="1"/>
      <c r="D485" s="1"/>
      <c r="E485" s="1" t="str">
        <f ca="1">IFERROR(__xludf.DUMMYFUNCTION("""COMPUTED_VALUE"""),"numeric")</f>
        <v>numeric</v>
      </c>
      <c r="F485" s="1" t="str">
        <f ca="1">IFERROR(__xludf.DUMMYFUNCTION("""COMPUTED_VALUE"""),"g")</f>
        <v>g</v>
      </c>
      <c r="G485" s="1" t="str">
        <f ca="1">IFERROR(__xludf.DUMMYFUNCTION("""COMPUTED_VALUE"""),".na")</f>
        <v>.na</v>
      </c>
      <c r="H485" s="1"/>
      <c r="I485" s="1"/>
      <c r="J485" s="1"/>
      <c r="K485" s="1" t="str">
        <f ca="1">IFERROR(__xludf.DUMMYFUNCTION("""COMPUTED_VALUE"""),"undefined")</f>
        <v>undefined</v>
      </c>
      <c r="L485" s="1" t="str">
        <f ca="1">IFERROR(__xludf.DUMMYFUNCTION("""COMPUTED_VALUE"""),"10.4404/hystrix-00016-2017")</f>
        <v>10.4404/hystrix-00016-2017</v>
      </c>
      <c r="M485" s="1" t="str">
        <f ca="1">IFERROR(__xludf.DUMMYFUNCTION("""COMPUTED_VALUE"""),"Monadjem_2018")</f>
        <v>Monadjem_2018</v>
      </c>
    </row>
    <row r="486" spans="1:13" ht="13.2">
      <c r="A486" s="1" t="str">
        <f ca="1">IFERROR(__xludf.DUMMYFUNCTION("""COMPUTED_VALUE"""),"wing loading")</f>
        <v>wing loading</v>
      </c>
      <c r="B486" s="1" t="str">
        <f ca="1">IFERROR(__xludf.DUMMYFUNCTION("""COMPUTED_VALUE"""),"Wing morphology")</f>
        <v>Wing morphology</v>
      </c>
      <c r="C486" s="1"/>
      <c r="D486" s="1"/>
      <c r="E486" s="1" t="str">
        <f ca="1">IFERROR(__xludf.DUMMYFUNCTION("""COMPUTED_VALUE"""),"numeric")</f>
        <v>numeric</v>
      </c>
      <c r="F486" s="1" t="str">
        <f ca="1">IFERROR(__xludf.DUMMYFUNCTION("""COMPUTED_VALUE"""),"N/m2")</f>
        <v>N/m2</v>
      </c>
      <c r="G486" s="1" t="str">
        <f ca="1">IFERROR(__xludf.DUMMYFUNCTION("""COMPUTED_VALUE"""),".na")</f>
        <v>.na</v>
      </c>
      <c r="H486" s="1"/>
      <c r="I486" s="1"/>
      <c r="J486" s="1"/>
      <c r="K486" s="1" t="str">
        <f ca="1">IFERROR(__xludf.DUMMYFUNCTION("""COMPUTED_VALUE"""),"undefined")</f>
        <v>undefined</v>
      </c>
      <c r="L486" s="1" t="str">
        <f ca="1">IFERROR(__xludf.DUMMYFUNCTION("""COMPUTED_VALUE"""),"10.4404/hystrix-00016-2017")</f>
        <v>10.4404/hystrix-00016-2017</v>
      </c>
      <c r="M486" s="1" t="str">
        <f ca="1">IFERROR(__xludf.DUMMYFUNCTION("""COMPUTED_VALUE"""),"Monadjem_2018")</f>
        <v>Monadjem_2018</v>
      </c>
    </row>
    <row r="487" spans="1:13" ht="13.2">
      <c r="A487" s="1" t="str">
        <f ca="1">IFERROR(__xludf.DUMMYFUNCTION("""COMPUTED_VALUE"""),"aspect ratio")</f>
        <v>aspect ratio</v>
      </c>
      <c r="B487" s="1" t="str">
        <f ca="1">IFERROR(__xludf.DUMMYFUNCTION("""COMPUTED_VALUE"""),"Wing morphology")</f>
        <v>Wing morphology</v>
      </c>
      <c r="C487" s="1"/>
      <c r="D487" s="1"/>
      <c r="E487" s="1" t="str">
        <f ca="1">IFERROR(__xludf.DUMMYFUNCTION("""COMPUTED_VALUE"""),"numeric")</f>
        <v>numeric</v>
      </c>
      <c r="F487" s="1"/>
      <c r="G487" s="1" t="str">
        <f ca="1">IFERROR(__xludf.DUMMYFUNCTION("""COMPUTED_VALUE"""),".na")</f>
        <v>.na</v>
      </c>
      <c r="H487" s="1"/>
      <c r="I487" s="1"/>
      <c r="J487" s="1"/>
      <c r="K487" s="1" t="str">
        <f ca="1">IFERROR(__xludf.DUMMYFUNCTION("""COMPUTED_VALUE"""),"undefined")</f>
        <v>undefined</v>
      </c>
      <c r="L487" s="1" t="str">
        <f ca="1">IFERROR(__xludf.DUMMYFUNCTION("""COMPUTED_VALUE"""),"10.4404/hystrix-00016-2017")</f>
        <v>10.4404/hystrix-00016-2017</v>
      </c>
      <c r="M487" s="1" t="str">
        <f ca="1">IFERROR(__xludf.DUMMYFUNCTION("""COMPUTED_VALUE"""),"Monadjem_2018")</f>
        <v>Monadjem_2018</v>
      </c>
    </row>
    <row r="488" spans="1:13" ht="13.2">
      <c r="A488" s="1" t="str">
        <f ca="1">IFERROR(__xludf.DUMMYFUNCTION("""COMPUTED_VALUE"""),"peak frequency")</f>
        <v>peak frequency</v>
      </c>
      <c r="B488" s="1" t="str">
        <f ca="1">IFERROR(__xludf.DUMMYFUNCTION("""COMPUTED_VALUE"""),"echolocation")</f>
        <v>echolocation</v>
      </c>
      <c r="C488" s="1"/>
      <c r="D488" s="1"/>
      <c r="E488" s="1" t="str">
        <f ca="1">IFERROR(__xludf.DUMMYFUNCTION("""COMPUTED_VALUE"""),"numeric")</f>
        <v>numeric</v>
      </c>
      <c r="F488" s="1" t="str">
        <f ca="1">IFERROR(__xludf.DUMMYFUNCTION("""COMPUTED_VALUE"""),"kHz")</f>
        <v>kHz</v>
      </c>
      <c r="G488" s="1" t="str">
        <f ca="1">IFERROR(__xludf.DUMMYFUNCTION("""COMPUTED_VALUE"""),".na")</f>
        <v>.na</v>
      </c>
      <c r="H488" s="1"/>
      <c r="I488" s="1"/>
      <c r="J488" s="1"/>
      <c r="K488" s="1" t="str">
        <f ca="1">IFERROR(__xludf.DUMMYFUNCTION("""COMPUTED_VALUE"""),"undefined")</f>
        <v>undefined</v>
      </c>
      <c r="L488" s="1" t="str">
        <f ca="1">IFERROR(__xludf.DUMMYFUNCTION("""COMPUTED_VALUE"""),"10.4404/hystrix-00016-2017")</f>
        <v>10.4404/hystrix-00016-2017</v>
      </c>
      <c r="M488" s="1" t="str">
        <f ca="1">IFERROR(__xludf.DUMMYFUNCTION("""COMPUTED_VALUE"""),"Monadjem_2018")</f>
        <v>Monadjem_2018</v>
      </c>
    </row>
    <row r="489" spans="1:13" ht="13.2">
      <c r="A489" s="1" t="str">
        <f ca="1">IFERROR(__xludf.DUMMYFUNCTION("""COMPUTED_VALUE"""),"roost site")</f>
        <v>roost site</v>
      </c>
      <c r="B489" s="1"/>
      <c r="C489" s="1"/>
      <c r="D489" s="1"/>
      <c r="E489" s="1" t="str">
        <f ca="1">IFERROR(__xludf.DUMMYFUNCTION("""COMPUTED_VALUE"""),"categorical")</f>
        <v>categorical</v>
      </c>
      <c r="F489" s="1" t="str">
        <f ca="1">IFERROR(__xludf.DUMMYFUNCTION("""COMPUTED_VALUE"""),".na")</f>
        <v>.na</v>
      </c>
      <c r="G489" s="1" t="str">
        <f ca="1">IFERROR(__xludf.DUMMYFUNCTION("""COMPUTED_VALUE"""),"cave, crevice, tree")</f>
        <v>cave, crevice, tree</v>
      </c>
      <c r="H489" s="1" t="str">
        <f ca="1">IFERROR(__xludf.DUMMYFUNCTION("""COMPUTED_VALUE"""),".na")</f>
        <v>.na</v>
      </c>
      <c r="I489" s="1" t="str">
        <f ca="1">IFERROR(__xludf.DUMMYFUNCTION("""COMPUTED_VALUE"""),".na")</f>
        <v>.na</v>
      </c>
      <c r="J489" s="1"/>
      <c r="K489" s="1" t="str">
        <f ca="1">IFERROR(__xludf.DUMMYFUNCTION("""COMPUTED_VALUE"""),"undefined")</f>
        <v>undefined</v>
      </c>
      <c r="L489" s="1" t="str">
        <f ca="1">IFERROR(__xludf.DUMMYFUNCTION("""COMPUTED_VALUE"""),"10.4404/hystrix-00016-2017")</f>
        <v>10.4404/hystrix-00016-2017</v>
      </c>
      <c r="M489" s="1" t="str">
        <f ca="1">IFERROR(__xludf.DUMMYFUNCTION("""COMPUTED_VALUE"""),"Monadjem_2018")</f>
        <v>Monadjem_2018</v>
      </c>
    </row>
    <row r="490" spans="1:13" ht="13.2">
      <c r="A490" s="1" t="str">
        <f ca="1">IFERROR(__xludf.DUMMYFUNCTION("""COMPUTED_VALUE"""),"Foraging guild ")</f>
        <v xml:space="preserve">Foraging guild </v>
      </c>
      <c r="B490" s="1"/>
      <c r="C490" s="1"/>
      <c r="D490" s="1"/>
      <c r="E490" s="1" t="str">
        <f ca="1">IFERROR(__xludf.DUMMYFUNCTION("""COMPUTED_VALUE"""),"categorical")</f>
        <v>categorical</v>
      </c>
      <c r="F490" s="1" t="str">
        <f ca="1">IFERROR(__xludf.DUMMYFUNCTION("""COMPUTED_VALUE"""),".na")</f>
        <v>.na</v>
      </c>
      <c r="G490" s="1" t="str">
        <f ca="1">IFERROR(__xludf.DUMMYFUNCTION("""COMPUTED_VALUE"""),"Open-space foragers-1, Edge-space foragers-2, Narrow-space foragers-3")</f>
        <v>Open-space foragers-1, Edge-space foragers-2, Narrow-space foragers-3</v>
      </c>
      <c r="H490" s="1" t="str">
        <f ca="1">IFERROR(__xludf.DUMMYFUNCTION("""COMPUTED_VALUE"""),".na")</f>
        <v>.na</v>
      </c>
      <c r="I490" s="1" t="str">
        <f ca="1">IFERROR(__xludf.DUMMYFUNCTION("""COMPUTED_VALUE"""),".na")</f>
        <v>.na</v>
      </c>
      <c r="J490" s="1" t="str">
        <f ca="1">IFERROR(__xludf.DUMMYFUNCTION("""COMPUTED_VALUE"""),"Use of the aerosphere by each species, requiring adaptations in wing shape and echolocation calls")</f>
        <v>Use of the aerosphere by each species, requiring adaptations in wing shape and echolocation calls</v>
      </c>
      <c r="K490" s="1" t="str">
        <f ca="1">IFERROR(__xludf.DUMMYFUNCTION("""COMPUTED_VALUE"""),"response")</f>
        <v>response</v>
      </c>
      <c r="L490" s="1" t="str">
        <f ca="1">IFERROR(__xludf.DUMMYFUNCTION("""COMPUTED_VALUE"""),"10.4404/hystrix-00020-2017")</f>
        <v>10.4404/hystrix-00020-2017</v>
      </c>
      <c r="M490" s="1" t="str">
        <f ca="1">IFERROR(__xludf.DUMMYFUNCTION("""COMPUTED_VALUE"""),"Pereira_2018")</f>
        <v>Pereira_2018</v>
      </c>
    </row>
    <row r="491" spans="1:13" ht="13.2">
      <c r="A491" s="1" t="str">
        <f ca="1">IFERROR(__xludf.DUMMYFUNCTION("""COMPUTED_VALUE"""),"Main Feeding Habits")</f>
        <v>Main Feeding Habits</v>
      </c>
      <c r="B491" s="1"/>
      <c r="C491" s="1"/>
      <c r="D491" s="1"/>
      <c r="E491" s="1" t="str">
        <f ca="1">IFERROR(__xludf.DUMMYFUNCTION("""COMPUTED_VALUE"""),"categorical")</f>
        <v>categorical</v>
      </c>
      <c r="F491" s="1" t="str">
        <f ca="1">IFERROR(__xludf.DUMMYFUNCTION("""COMPUTED_VALUE"""),".na")</f>
        <v>.na</v>
      </c>
      <c r="G491" s="1" t="str">
        <f ca="1">IFERROR(__xludf.DUMMYFUNCTION("""COMPUTED_VALUE"""),"Frugivory (F)-1, Nectarivory (N)-2, Insectivory (I)-3, Carnivory (C)-4, Omnivory (O)-5, Sanguinivory (S)-6, F+N-7, F+I-8, F+C-9; N+I-10, F+N+I-11, F+I+C-12")</f>
        <v>Frugivory (F)-1, Nectarivory (N)-2, Insectivory (I)-3, Carnivory (C)-4, Omnivory (O)-5, Sanguinivory (S)-6, F+N-7, F+I-8, F+C-9; N+I-10, F+N+I-11, F+I+C-12</v>
      </c>
      <c r="H491" s="1" t="str">
        <f ca="1">IFERROR(__xludf.DUMMYFUNCTION("""COMPUTED_VALUE"""),".na")</f>
        <v>.na</v>
      </c>
      <c r="I491" s="1" t="str">
        <f ca="1">IFERROR(__xludf.DUMMYFUNCTION("""COMPUTED_VALUE"""),".na")</f>
        <v>.na</v>
      </c>
      <c r="J491" s="1" t="str">
        <f ca="1">IFERROR(__xludf.DUMMYFUNCTION("""COMPUTED_VALUE"""),"Main types of dietary items")</f>
        <v>Main types of dietary items</v>
      </c>
      <c r="K491" s="1" t="str">
        <f ca="1">IFERROR(__xludf.DUMMYFUNCTION("""COMPUTED_VALUE"""),"response")</f>
        <v>response</v>
      </c>
      <c r="L491" s="1" t="str">
        <f ca="1">IFERROR(__xludf.DUMMYFUNCTION("""COMPUTED_VALUE"""),"10.4404/hystrix-00020-2017")</f>
        <v>10.4404/hystrix-00020-2017</v>
      </c>
      <c r="M491" s="1" t="str">
        <f ca="1">IFERROR(__xludf.DUMMYFUNCTION("""COMPUTED_VALUE"""),"Pereira_2018")</f>
        <v>Pereira_2018</v>
      </c>
    </row>
    <row r="492" spans="1:13" ht="13.2">
      <c r="A492" s="1" t="str">
        <f ca="1">IFERROR(__xludf.DUMMYFUNCTION("""COMPUTED_VALUE"""),"Main trophic level ")</f>
        <v xml:space="preserve">Main trophic level </v>
      </c>
      <c r="B492" s="1"/>
      <c r="C492" s="1"/>
      <c r="D492" s="1"/>
      <c r="E492" s="1" t="str">
        <f ca="1">IFERROR(__xludf.DUMMYFUNCTION("""COMPUTED_VALUE"""),"categorical")</f>
        <v>categorical</v>
      </c>
      <c r="F492" s="1" t="str">
        <f ca="1">IFERROR(__xludf.DUMMYFUNCTION("""COMPUTED_VALUE"""),".na")</f>
        <v>.na</v>
      </c>
      <c r="G492" s="1" t="str">
        <f ca="1">IFERROR(__xludf.DUMMYFUNCTION("""COMPUTED_VALUE"""),"Phytophagous-1, Insectivorous-2, Carnivorous-3, Omnivorous-4")</f>
        <v>Phytophagous-1, Insectivorous-2, Carnivorous-3, Omnivorous-4</v>
      </c>
      <c r="H492" s="1" t="str">
        <f ca="1">IFERROR(__xludf.DUMMYFUNCTION("""COMPUTED_VALUE"""),".na")</f>
        <v>.na</v>
      </c>
      <c r="I492" s="1" t="str">
        <f ca="1">IFERROR(__xludf.DUMMYFUNCTION("""COMPUTED_VALUE"""),".na")</f>
        <v>.na</v>
      </c>
      <c r="J492" s="1" t="str">
        <f ca="1">IFERROR(__xludf.DUMMYFUNCTION("""COMPUTED_VALUE"""),"Four general categories, based on the information of the guilds")</f>
        <v>Four general categories, based on the information of the guilds</v>
      </c>
      <c r="K492" s="1" t="str">
        <f ca="1">IFERROR(__xludf.DUMMYFUNCTION("""COMPUTED_VALUE"""),"response")</f>
        <v>response</v>
      </c>
      <c r="L492" s="1" t="str">
        <f ca="1">IFERROR(__xludf.DUMMYFUNCTION("""COMPUTED_VALUE"""),"10.4404/hystrix-00020-2017")</f>
        <v>10.4404/hystrix-00020-2017</v>
      </c>
      <c r="M492" s="1" t="str">
        <f ca="1">IFERROR(__xludf.DUMMYFUNCTION("""COMPUTED_VALUE"""),"Pereira_2018")</f>
        <v>Pereira_2018</v>
      </c>
    </row>
    <row r="493" spans="1:13" ht="13.2">
      <c r="A493" s="1" t="str">
        <f ca="1">IFERROR(__xludf.DUMMYFUNCTION("""COMPUTED_VALUE"""),"Forearm length ")</f>
        <v xml:space="preserve">Forearm length </v>
      </c>
      <c r="B493" s="1"/>
      <c r="C493" s="1"/>
      <c r="D493" s="1"/>
      <c r="E493" s="1" t="str">
        <f ca="1">IFERROR(__xludf.DUMMYFUNCTION("""COMPUTED_VALUE"""),"numeric")</f>
        <v>numeric</v>
      </c>
      <c r="F493" s="1"/>
      <c r="G493" s="1" t="str">
        <f ca="1">IFERROR(__xludf.DUMMYFUNCTION("""COMPUTED_VALUE"""),".na")</f>
        <v>.na</v>
      </c>
      <c r="H493" s="1"/>
      <c r="I493" s="1"/>
      <c r="J493" s="1" t="str">
        <f ca="1">IFERROR(__xludf.DUMMYFUNCTION("""COMPUTED_VALUE"""),"Average forearm length of each species captured / literature data")</f>
        <v>Average forearm length of each species captured / literature data</v>
      </c>
      <c r="K493" s="1" t="str">
        <f ca="1">IFERROR(__xludf.DUMMYFUNCTION("""COMPUTED_VALUE"""),"response")</f>
        <v>response</v>
      </c>
      <c r="L493" s="1" t="str">
        <f ca="1">IFERROR(__xludf.DUMMYFUNCTION("""COMPUTED_VALUE"""),"10.4404/hystrix-00020-2017")</f>
        <v>10.4404/hystrix-00020-2017</v>
      </c>
      <c r="M493" s="1" t="str">
        <f ca="1">IFERROR(__xludf.DUMMYFUNCTION("""COMPUTED_VALUE"""),"Pereira_2018")</f>
        <v>Pereira_2018</v>
      </c>
    </row>
    <row r="494" spans="1:13" ht="13.2">
      <c r="A494" s="1" t="str">
        <f ca="1">IFERROR(__xludf.DUMMYFUNCTION("""COMPUTED_VALUE"""),"body mass")</f>
        <v>body mass</v>
      </c>
      <c r="B494" s="1"/>
      <c r="C494" s="1"/>
      <c r="D494" s="1"/>
      <c r="E494" s="1" t="str">
        <f ca="1">IFERROR(__xludf.DUMMYFUNCTION("""COMPUTED_VALUE"""),"numeric")</f>
        <v>numeric</v>
      </c>
      <c r="F494" s="1"/>
      <c r="G494" s="1" t="str">
        <f ca="1">IFERROR(__xludf.DUMMYFUNCTION("""COMPUTED_VALUE"""),".na")</f>
        <v>.na</v>
      </c>
      <c r="H494" s="1"/>
      <c r="I494" s="1"/>
      <c r="J494" s="1" t="str">
        <f ca="1">IFERROR(__xludf.DUMMYFUNCTION("""COMPUTED_VALUE"""),"Average body mass of each species captured / literature data")</f>
        <v>Average body mass of each species captured / literature data</v>
      </c>
      <c r="K494" s="1" t="str">
        <f ca="1">IFERROR(__xludf.DUMMYFUNCTION("""COMPUTED_VALUE"""),"response")</f>
        <v>response</v>
      </c>
      <c r="L494" s="1" t="str">
        <f ca="1">IFERROR(__xludf.DUMMYFUNCTION("""COMPUTED_VALUE"""),"10.4404/hystrix-00020-2017")</f>
        <v>10.4404/hystrix-00020-2017</v>
      </c>
      <c r="M494" s="1" t="str">
        <f ca="1">IFERROR(__xludf.DUMMYFUNCTION("""COMPUTED_VALUE"""),"Pereira_2018")</f>
        <v>Pereira_2018</v>
      </c>
    </row>
    <row r="495" spans="1:13" ht="13.2">
      <c r="A495" s="1" t="str">
        <f ca="1">IFERROR(__xludf.DUMMYFUNCTION("""COMPUTED_VALUE"""),"Aspect ratio")</f>
        <v>Aspect ratio</v>
      </c>
      <c r="B495" s="1"/>
      <c r="C495" s="1"/>
      <c r="D495" s="1"/>
      <c r="E495" s="1" t="str">
        <f ca="1">IFERROR(__xludf.DUMMYFUNCTION("""COMPUTED_VALUE"""),"numeric")</f>
        <v>numeric</v>
      </c>
      <c r="F495" s="1"/>
      <c r="G495" s="1" t="str">
        <f ca="1">IFERROR(__xludf.DUMMYFUNCTION("""COMPUTED_VALUE"""),".na")</f>
        <v>.na</v>
      </c>
      <c r="H495" s="1"/>
      <c r="I495" s="1"/>
      <c r="J495" s="1" t="str">
        <f ca="1">IFERROR(__xludf.DUMMYFUNCTION("""COMPUTED_VALUE"""),"Average aspect ratio – wingspan (cm)/area (cm2) –captures / literature data")</f>
        <v>Average aspect ratio – wingspan (cm)/area (cm2) –captures / literature data</v>
      </c>
      <c r="K495" s="1" t="str">
        <f ca="1">IFERROR(__xludf.DUMMYFUNCTION("""COMPUTED_VALUE"""),"response")</f>
        <v>response</v>
      </c>
      <c r="L495" s="1" t="str">
        <f ca="1">IFERROR(__xludf.DUMMYFUNCTION("""COMPUTED_VALUE"""),"10.4404/hystrix-00020-2017")</f>
        <v>10.4404/hystrix-00020-2017</v>
      </c>
      <c r="M495" s="1" t="str">
        <f ca="1">IFERROR(__xludf.DUMMYFUNCTION("""COMPUTED_VALUE"""),"Pereira_2018")</f>
        <v>Pereira_2018</v>
      </c>
    </row>
    <row r="496" spans="1:13" ht="13.2">
      <c r="A496" s="1" t="str">
        <f ca="1">IFERROR(__xludf.DUMMYFUNCTION("""COMPUTED_VALUE"""),"Wing load")</f>
        <v>Wing load</v>
      </c>
      <c r="B496" s="1"/>
      <c r="C496" s="1"/>
      <c r="D496" s="1"/>
      <c r="E496" s="1" t="str">
        <f ca="1">IFERROR(__xludf.DUMMYFUNCTION("""COMPUTED_VALUE"""),"numeric")</f>
        <v>numeric</v>
      </c>
      <c r="F496" s="1"/>
      <c r="G496" s="1" t="str">
        <f ca="1">IFERROR(__xludf.DUMMYFUNCTION("""COMPUTED_VALUE"""),".na")</f>
        <v>.na</v>
      </c>
      <c r="H496" s="1"/>
      <c r="I496" s="1"/>
      <c r="J496" s="1" t="str">
        <f ca="1">IFERROR(__xludf.DUMMYFUNCTION("""COMPUTED_VALUE"""),"Average relative wing loading - weight (g)/ wing area (cm2) – of each captures / literature data")</f>
        <v>Average relative wing loading - weight (g)/ wing area (cm2) – of each captures / literature data</v>
      </c>
      <c r="K496" s="1" t="str">
        <f ca="1">IFERROR(__xludf.DUMMYFUNCTION("""COMPUTED_VALUE"""),"response")</f>
        <v>response</v>
      </c>
      <c r="L496" s="1" t="str">
        <f ca="1">IFERROR(__xludf.DUMMYFUNCTION("""COMPUTED_VALUE"""),"10.4404/hystrix-00020-2017")</f>
        <v>10.4404/hystrix-00020-2017</v>
      </c>
      <c r="M496" s="1" t="str">
        <f ca="1">IFERROR(__xludf.DUMMYFUNCTION("""COMPUTED_VALUE"""),"Pereira_2018")</f>
        <v>Pereira_2018</v>
      </c>
    </row>
    <row r="497" spans="1:13" ht="13.2">
      <c r="A497" s="1" t="str">
        <f ca="1">IFERROR(__xludf.DUMMYFUNCTION("""COMPUTED_VALUE"""),"diet")</f>
        <v>diet</v>
      </c>
      <c r="B497" s="1"/>
      <c r="C497" s="1"/>
      <c r="D497" s="1"/>
      <c r="E497" s="1" t="str">
        <f ca="1">IFERROR(__xludf.DUMMYFUNCTION("""COMPUTED_VALUE"""),"categorical")</f>
        <v>categorical</v>
      </c>
      <c r="F497" s="1" t="str">
        <f ca="1">IFERROR(__xludf.DUMMYFUNCTION("""COMPUTED_VALUE"""),".na")</f>
        <v>.na</v>
      </c>
      <c r="G497" s="1" t="str">
        <f ca="1">IFERROR(__xludf.DUMMYFUNCTION("""COMPUTED_VALUE"""),"F = fruit, N = nectar, I = invertebrates, V = vertebrates, B = blood")</f>
        <v>F = fruit, N = nectar, I = invertebrates, V = vertebrates, B = blood</v>
      </c>
      <c r="H497" s="1" t="str">
        <f ca="1">IFERROR(__xludf.DUMMYFUNCTION("""COMPUTED_VALUE"""),".na")</f>
        <v>.na</v>
      </c>
      <c r="I497" s="1" t="str">
        <f ca="1">IFERROR(__xludf.DUMMYFUNCTION("""COMPUTED_VALUE"""),".na")</f>
        <v>.na</v>
      </c>
      <c r="J497" s="1"/>
      <c r="K497" s="1" t="str">
        <f ca="1">IFERROR(__xludf.DUMMYFUNCTION("""COMPUTED_VALUE"""),"response")</f>
        <v>response</v>
      </c>
      <c r="L497" s="1" t="str">
        <f ca="1">IFERROR(__xludf.DUMMYFUNCTION("""COMPUTED_VALUE"""),"10.1111/btp.12501")</f>
        <v>10.1111/btp.12501</v>
      </c>
      <c r="M497" s="1" t="str">
        <f ca="1">IFERROR(__xludf.DUMMYFUNCTION("""COMPUTED_VALUE"""),"Presley_2018")</f>
        <v>Presley_2018</v>
      </c>
    </row>
    <row r="498" spans="1:13" ht="13.2">
      <c r="A498" s="1" t="str">
        <f ca="1">IFERROR(__xludf.DUMMYFUNCTION("""COMPUTED_VALUE"""),"foraging location")</f>
        <v>foraging location</v>
      </c>
      <c r="B498" s="1"/>
      <c r="C498" s="1"/>
      <c r="D498" s="1"/>
      <c r="E498" s="1" t="str">
        <f ca="1">IFERROR(__xludf.DUMMYFUNCTION("""COMPUTED_VALUE"""),"categorical")</f>
        <v>categorical</v>
      </c>
      <c r="F498" s="1" t="str">
        <f ca="1">IFERROR(__xludf.DUMMYFUNCTION("""COMPUTED_VALUE"""),".na")</f>
        <v>.na</v>
      </c>
      <c r="G498" s="1" t="str">
        <f ca="1">IFERROR(__xludf.DUMMYFUNCTION("""COMPUTED_VALUE"""),"C = forest canopy, S = forest subcanopy, U = forest understory")</f>
        <v>C = forest canopy, S = forest subcanopy, U = forest understory</v>
      </c>
      <c r="H498" s="1" t="str">
        <f ca="1">IFERROR(__xludf.DUMMYFUNCTION("""COMPUTED_VALUE"""),".na")</f>
        <v>.na</v>
      </c>
      <c r="I498" s="1" t="str">
        <f ca="1">IFERROR(__xludf.DUMMYFUNCTION("""COMPUTED_VALUE"""),".na")</f>
        <v>.na</v>
      </c>
      <c r="J498" s="1"/>
      <c r="K498" s="1" t="str">
        <f ca="1">IFERROR(__xludf.DUMMYFUNCTION("""COMPUTED_VALUE"""),"response")</f>
        <v>response</v>
      </c>
      <c r="L498" s="1" t="str">
        <f ca="1">IFERROR(__xludf.DUMMYFUNCTION("""COMPUTED_VALUE"""),"10.1111/btp.12501")</f>
        <v>10.1111/btp.12501</v>
      </c>
      <c r="M498" s="1" t="str">
        <f ca="1">IFERROR(__xludf.DUMMYFUNCTION("""COMPUTED_VALUE"""),"Presley_2018")</f>
        <v>Presley_2018</v>
      </c>
    </row>
    <row r="499" spans="1:13" ht="13.2">
      <c r="A499" s="1" t="str">
        <f ca="1">IFERROR(__xludf.DUMMYFUNCTION("""COMPUTED_VALUE"""),"foraging strategy")</f>
        <v>foraging strategy</v>
      </c>
      <c r="B499" s="1"/>
      <c r="C499" s="1"/>
      <c r="D499" s="1"/>
      <c r="E499" s="1" t="str">
        <f ca="1">IFERROR(__xludf.DUMMYFUNCTION("""COMPUTED_VALUE"""),"categorical")</f>
        <v>categorical</v>
      </c>
      <c r="F499" s="1" t="str">
        <f ca="1">IFERROR(__xludf.DUMMYFUNCTION("""COMPUTED_VALUE"""),".na")</f>
        <v>.na</v>
      </c>
      <c r="G499" s="1" t="str">
        <f ca="1">IFERROR(__xludf.DUMMYFUNCTION("""COMPUTED_VALUE"""),"P = pounce, G = glean, H = hover")</f>
        <v>P = pounce, G = glean, H = hover</v>
      </c>
      <c r="H499" s="1" t="str">
        <f ca="1">IFERROR(__xludf.DUMMYFUNCTION("""COMPUTED_VALUE"""),".na")</f>
        <v>.na</v>
      </c>
      <c r="I499" s="1" t="str">
        <f ca="1">IFERROR(__xludf.DUMMYFUNCTION("""COMPUTED_VALUE"""),".na")</f>
        <v>.na</v>
      </c>
      <c r="J499" s="1"/>
      <c r="K499" s="1" t="str">
        <f ca="1">IFERROR(__xludf.DUMMYFUNCTION("""COMPUTED_VALUE"""),"response")</f>
        <v>response</v>
      </c>
      <c r="L499" s="1" t="str">
        <f ca="1">IFERROR(__xludf.DUMMYFUNCTION("""COMPUTED_VALUE"""),"10.1111/btp.12501")</f>
        <v>10.1111/btp.12501</v>
      </c>
      <c r="M499" s="1" t="str">
        <f ca="1">IFERROR(__xludf.DUMMYFUNCTION("""COMPUTED_VALUE"""),"Presley_2018")</f>
        <v>Presley_2018</v>
      </c>
    </row>
    <row r="500" spans="1:13" ht="13.2">
      <c r="A500" s="1" t="str">
        <f ca="1">IFERROR(__xludf.DUMMYFUNCTION("""COMPUTED_VALUE"""),"body mass")</f>
        <v>body mass</v>
      </c>
      <c r="B500" s="1" t="str">
        <f ca="1">IFERROR(__xludf.DUMMYFUNCTION("""COMPUTED_VALUE"""),"body size")</f>
        <v>body size</v>
      </c>
      <c r="C500" s="1"/>
      <c r="D500" s="1"/>
      <c r="E500" s="1" t="str">
        <f ca="1">IFERROR(__xludf.DUMMYFUNCTION("""COMPUTED_VALUE"""),"numeric")</f>
        <v>numeric</v>
      </c>
      <c r="F500" s="1"/>
      <c r="G500" s="1" t="str">
        <f ca="1">IFERROR(__xludf.DUMMYFUNCTION("""COMPUTED_VALUE"""),".na")</f>
        <v>.na</v>
      </c>
      <c r="H500" s="1"/>
      <c r="I500" s="1"/>
      <c r="J500" s="1"/>
      <c r="K500" s="1" t="str">
        <f ca="1">IFERROR(__xludf.DUMMYFUNCTION("""COMPUTED_VALUE"""),"response")</f>
        <v>response</v>
      </c>
      <c r="L500" s="1" t="str">
        <f ca="1">IFERROR(__xludf.DUMMYFUNCTION("""COMPUTED_VALUE"""),"10.1111/btp.12501")</f>
        <v>10.1111/btp.12501</v>
      </c>
      <c r="M500" s="1" t="str">
        <f ca="1">IFERROR(__xludf.DUMMYFUNCTION("""COMPUTED_VALUE"""),"Presley_2018")</f>
        <v>Presley_2018</v>
      </c>
    </row>
    <row r="501" spans="1:13" ht="13.2">
      <c r="A501" s="1" t="str">
        <f ca="1">IFERROR(__xludf.DUMMYFUNCTION("""COMPUTED_VALUE"""),"forearm length")</f>
        <v>forearm length</v>
      </c>
      <c r="B501" s="1" t="str">
        <f ca="1">IFERROR(__xludf.DUMMYFUNCTION("""COMPUTED_VALUE"""),"body size")</f>
        <v>body size</v>
      </c>
      <c r="C501" s="1"/>
      <c r="D501" s="1"/>
      <c r="E501" s="1" t="str">
        <f ca="1">IFERROR(__xludf.DUMMYFUNCTION("""COMPUTED_VALUE"""),"numeric")</f>
        <v>numeric</v>
      </c>
      <c r="F501" s="1"/>
      <c r="G501" s="1" t="str">
        <f ca="1">IFERROR(__xludf.DUMMYFUNCTION("""COMPUTED_VALUE"""),".na")</f>
        <v>.na</v>
      </c>
      <c r="H501" s="1"/>
      <c r="I501" s="1"/>
      <c r="J501" s="1"/>
      <c r="K501" s="1" t="str">
        <f ca="1">IFERROR(__xludf.DUMMYFUNCTION("""COMPUTED_VALUE"""),"response")</f>
        <v>response</v>
      </c>
      <c r="L501" s="1" t="str">
        <f ca="1">IFERROR(__xludf.DUMMYFUNCTION("""COMPUTED_VALUE"""),"10.1111/btp.12501")</f>
        <v>10.1111/btp.12501</v>
      </c>
      <c r="M501" s="1" t="str">
        <f ca="1">IFERROR(__xludf.DUMMYFUNCTION("""COMPUTED_VALUE"""),"Presley_2018")</f>
        <v>Presley_2018</v>
      </c>
    </row>
    <row r="502" spans="1:13" ht="13.2">
      <c r="A502" s="1" t="str">
        <f ca="1">IFERROR(__xludf.DUMMYFUNCTION("""COMPUTED_VALUE"""),"greatest length of skull")</f>
        <v>greatest length of skull</v>
      </c>
      <c r="B502" s="1" t="str">
        <f ca="1">IFERROR(__xludf.DUMMYFUNCTION("""COMPUTED_VALUE"""),"masticatory mode")</f>
        <v>masticatory mode</v>
      </c>
      <c r="C502" s="1"/>
      <c r="D502" s="1"/>
      <c r="E502" s="1" t="str">
        <f ca="1">IFERROR(__xludf.DUMMYFUNCTION("""COMPUTED_VALUE"""),"numeric")</f>
        <v>numeric</v>
      </c>
      <c r="F502" s="1"/>
      <c r="G502" s="1" t="str">
        <f ca="1">IFERROR(__xludf.DUMMYFUNCTION("""COMPUTED_VALUE"""),".na")</f>
        <v>.na</v>
      </c>
      <c r="H502" s="1"/>
      <c r="I502" s="1"/>
      <c r="J502" s="1"/>
      <c r="K502" s="1" t="str">
        <f ca="1">IFERROR(__xludf.DUMMYFUNCTION("""COMPUTED_VALUE"""),"response")</f>
        <v>response</v>
      </c>
      <c r="L502" s="1" t="str">
        <f ca="1">IFERROR(__xludf.DUMMYFUNCTION("""COMPUTED_VALUE"""),"10.1111/btp.12501")</f>
        <v>10.1111/btp.12501</v>
      </c>
      <c r="M502" s="1" t="str">
        <f ca="1">IFERROR(__xludf.DUMMYFUNCTION("""COMPUTED_VALUE"""),"Presley_2018")</f>
        <v>Presley_2018</v>
      </c>
    </row>
    <row r="503" spans="1:13" ht="13.2">
      <c r="A503" s="1" t="str">
        <f ca="1">IFERROR(__xludf.DUMMYFUNCTION("""COMPUTED_VALUE"""),"condylobasal length")</f>
        <v>condylobasal length</v>
      </c>
      <c r="B503" s="1" t="str">
        <f ca="1">IFERROR(__xludf.DUMMYFUNCTION("""COMPUTED_VALUE"""),"masticatory mode")</f>
        <v>masticatory mode</v>
      </c>
      <c r="C503" s="1"/>
      <c r="D503" s="1"/>
      <c r="E503" s="1" t="str">
        <f ca="1">IFERROR(__xludf.DUMMYFUNCTION("""COMPUTED_VALUE"""),"numeric")</f>
        <v>numeric</v>
      </c>
      <c r="F503" s="1"/>
      <c r="G503" s="1" t="str">
        <f ca="1">IFERROR(__xludf.DUMMYFUNCTION("""COMPUTED_VALUE"""),".na")</f>
        <v>.na</v>
      </c>
      <c r="H503" s="1"/>
      <c r="I503" s="1"/>
      <c r="J503" s="1"/>
      <c r="K503" s="1" t="str">
        <f ca="1">IFERROR(__xludf.DUMMYFUNCTION("""COMPUTED_VALUE"""),"response")</f>
        <v>response</v>
      </c>
      <c r="L503" s="1" t="str">
        <f ca="1">IFERROR(__xludf.DUMMYFUNCTION("""COMPUTED_VALUE"""),"10.1111/btp.12501")</f>
        <v>10.1111/btp.12501</v>
      </c>
      <c r="M503" s="1" t="str">
        <f ca="1">IFERROR(__xludf.DUMMYFUNCTION("""COMPUTED_VALUE"""),"Presley_2018")</f>
        <v>Presley_2018</v>
      </c>
    </row>
    <row r="504" spans="1:13" ht="13.2">
      <c r="A504" s="1" t="str">
        <f ca="1">IFERROR(__xludf.DUMMYFUNCTION("""COMPUTED_VALUE"""),"maxillary tooth row length")</f>
        <v>maxillary tooth row length</v>
      </c>
      <c r="B504" s="1" t="str">
        <f ca="1">IFERROR(__xludf.DUMMYFUNCTION("""COMPUTED_VALUE"""),"masticatory mode")</f>
        <v>masticatory mode</v>
      </c>
      <c r="C504" s="1"/>
      <c r="D504" s="1"/>
      <c r="E504" s="1" t="str">
        <f ca="1">IFERROR(__xludf.DUMMYFUNCTION("""COMPUTED_VALUE"""),"numeric")</f>
        <v>numeric</v>
      </c>
      <c r="F504" s="1"/>
      <c r="G504" s="1" t="str">
        <f ca="1">IFERROR(__xludf.DUMMYFUNCTION("""COMPUTED_VALUE"""),".na")</f>
        <v>.na</v>
      </c>
      <c r="H504" s="1"/>
      <c r="I504" s="1"/>
      <c r="J504" s="1"/>
      <c r="K504" s="1" t="str">
        <f ca="1">IFERROR(__xludf.DUMMYFUNCTION("""COMPUTED_VALUE"""),"response")</f>
        <v>response</v>
      </c>
      <c r="L504" s="1" t="str">
        <f ca="1">IFERROR(__xludf.DUMMYFUNCTION("""COMPUTED_VALUE"""),"10.1111/btp.12501")</f>
        <v>10.1111/btp.12501</v>
      </c>
      <c r="M504" s="1" t="str">
        <f ca="1">IFERROR(__xludf.DUMMYFUNCTION("""COMPUTED_VALUE"""),"Presley_2018")</f>
        <v>Presley_2018</v>
      </c>
    </row>
    <row r="505" spans="1:13" ht="13.2">
      <c r="A505" s="1" t="str">
        <f ca="1">IFERROR(__xludf.DUMMYFUNCTION("""COMPUTED_VALUE"""),"breadth across upper molars")</f>
        <v>breadth across upper molars</v>
      </c>
      <c r="B505" s="1" t="str">
        <f ca="1">IFERROR(__xludf.DUMMYFUNCTION("""COMPUTED_VALUE"""),"masticatory mode")</f>
        <v>masticatory mode</v>
      </c>
      <c r="C505" s="1"/>
      <c r="D505" s="1"/>
      <c r="E505" s="1" t="str">
        <f ca="1">IFERROR(__xludf.DUMMYFUNCTION("""COMPUTED_VALUE"""),"numeric")</f>
        <v>numeric</v>
      </c>
      <c r="F505" s="1"/>
      <c r="G505" s="1" t="str">
        <f ca="1">IFERROR(__xludf.DUMMYFUNCTION("""COMPUTED_VALUE"""),".na")</f>
        <v>.na</v>
      </c>
      <c r="H505" s="1"/>
      <c r="I505" s="1"/>
      <c r="J505" s="1"/>
      <c r="K505" s="1" t="str">
        <f ca="1">IFERROR(__xludf.DUMMYFUNCTION("""COMPUTED_VALUE"""),"response")</f>
        <v>response</v>
      </c>
      <c r="L505" s="1" t="str">
        <f ca="1">IFERROR(__xludf.DUMMYFUNCTION("""COMPUTED_VALUE"""),"10.1111/btp.12501")</f>
        <v>10.1111/btp.12501</v>
      </c>
      <c r="M505" s="1" t="str">
        <f ca="1">IFERROR(__xludf.DUMMYFUNCTION("""COMPUTED_VALUE"""),"Presley_2018")</f>
        <v>Presley_2018</v>
      </c>
    </row>
    <row r="506" spans="1:13" ht="13.2">
      <c r="A506" s="1" t="str">
        <f ca="1">IFERROR(__xludf.DUMMYFUNCTION("""COMPUTED_VALUE"""),"post-orbital constriction")</f>
        <v>post-orbital constriction</v>
      </c>
      <c r="B506" s="1" t="str">
        <f ca="1">IFERROR(__xludf.DUMMYFUNCTION("""COMPUTED_VALUE"""),"masticatory mode")</f>
        <v>masticatory mode</v>
      </c>
      <c r="C506" s="1"/>
      <c r="D506" s="1"/>
      <c r="E506" s="1" t="str">
        <f ca="1">IFERROR(__xludf.DUMMYFUNCTION("""COMPUTED_VALUE"""),"numeric")</f>
        <v>numeric</v>
      </c>
      <c r="F506" s="1"/>
      <c r="G506" s="1" t="str">
        <f ca="1">IFERROR(__xludf.DUMMYFUNCTION("""COMPUTED_VALUE"""),".na")</f>
        <v>.na</v>
      </c>
      <c r="H506" s="1"/>
      <c r="I506" s="1"/>
      <c r="J506" s="1"/>
      <c r="K506" s="1" t="str">
        <f ca="1">IFERROR(__xludf.DUMMYFUNCTION("""COMPUTED_VALUE"""),"response")</f>
        <v>response</v>
      </c>
      <c r="L506" s="1" t="str">
        <f ca="1">IFERROR(__xludf.DUMMYFUNCTION("""COMPUTED_VALUE"""),"10.1111/btp.12501")</f>
        <v>10.1111/btp.12501</v>
      </c>
      <c r="M506" s="1" t="str">
        <f ca="1">IFERROR(__xludf.DUMMYFUNCTION("""COMPUTED_VALUE"""),"Presley_2018")</f>
        <v>Presley_2018</v>
      </c>
    </row>
    <row r="507" spans="1:13" ht="13.2">
      <c r="A507" s="1" t="str">
        <f ca="1">IFERROR(__xludf.DUMMYFUNCTION("""COMPUTED_VALUE"""),"breadth of braincase")</f>
        <v>breadth of braincase</v>
      </c>
      <c r="B507" s="1" t="str">
        <f ca="1">IFERROR(__xludf.DUMMYFUNCTION("""COMPUTED_VALUE"""),"masticatory mode")</f>
        <v>masticatory mode</v>
      </c>
      <c r="C507" s="1"/>
      <c r="D507" s="1"/>
      <c r="E507" s="1" t="str">
        <f ca="1">IFERROR(__xludf.DUMMYFUNCTION("""COMPUTED_VALUE"""),"numeric")</f>
        <v>numeric</v>
      </c>
      <c r="F507" s="1"/>
      <c r="G507" s="1" t="str">
        <f ca="1">IFERROR(__xludf.DUMMYFUNCTION("""COMPUTED_VALUE"""),".na")</f>
        <v>.na</v>
      </c>
      <c r="H507" s="1"/>
      <c r="I507" s="1"/>
      <c r="J507" s="1"/>
      <c r="K507" s="1" t="str">
        <f ca="1">IFERROR(__xludf.DUMMYFUNCTION("""COMPUTED_VALUE"""),"response")</f>
        <v>response</v>
      </c>
      <c r="L507" s="1" t="str">
        <f ca="1">IFERROR(__xludf.DUMMYFUNCTION("""COMPUTED_VALUE"""),"10.1111/btp.12501")</f>
        <v>10.1111/btp.12501</v>
      </c>
      <c r="M507" s="1" t="str">
        <f ca="1">IFERROR(__xludf.DUMMYFUNCTION("""COMPUTED_VALUE"""),"Presley_2018")</f>
        <v>Presley_2018</v>
      </c>
    </row>
    <row r="508" spans="1:13" ht="13.2">
      <c r="A508" s="1" t="str">
        <f ca="1">IFERROR(__xludf.DUMMYFUNCTION("""COMPUTED_VALUE"""),"wing aspect ratio")</f>
        <v>wing aspect ratio</v>
      </c>
      <c r="B508" s="1" t="str">
        <f ca="1">IFERROR(__xludf.DUMMYFUNCTION("""COMPUTED_VALUE"""),"aerodynamics")</f>
        <v>aerodynamics</v>
      </c>
      <c r="C508" s="1"/>
      <c r="D508" s="1"/>
      <c r="E508" s="1" t="str">
        <f ca="1">IFERROR(__xludf.DUMMYFUNCTION("""COMPUTED_VALUE"""),"numeric")</f>
        <v>numeric</v>
      </c>
      <c r="F508" s="1"/>
      <c r="G508" s="1" t="str">
        <f ca="1">IFERROR(__xludf.DUMMYFUNCTION("""COMPUTED_VALUE"""),".na")</f>
        <v>.na</v>
      </c>
      <c r="H508" s="1"/>
      <c r="I508" s="1"/>
      <c r="J508" s="1"/>
      <c r="K508" s="1" t="str">
        <f ca="1">IFERROR(__xludf.DUMMYFUNCTION("""COMPUTED_VALUE"""),"response")</f>
        <v>response</v>
      </c>
      <c r="L508" s="1" t="str">
        <f ca="1">IFERROR(__xludf.DUMMYFUNCTION("""COMPUTED_VALUE"""),"10.1111/btp.12501")</f>
        <v>10.1111/btp.12501</v>
      </c>
      <c r="M508" s="1" t="str">
        <f ca="1">IFERROR(__xludf.DUMMYFUNCTION("""COMPUTED_VALUE"""),"Presley_2018")</f>
        <v>Presley_2018</v>
      </c>
    </row>
    <row r="509" spans="1:13" ht="13.2">
      <c r="A509" s="1" t="str">
        <f ca="1">IFERROR(__xludf.DUMMYFUNCTION("""COMPUTED_VALUE"""),"wing loading")</f>
        <v>wing loading</v>
      </c>
      <c r="B509" s="1" t="str">
        <f ca="1">IFERROR(__xludf.DUMMYFUNCTION("""COMPUTED_VALUE"""),"aerodynamics")</f>
        <v>aerodynamics</v>
      </c>
      <c r="C509" s="1"/>
      <c r="D509" s="1"/>
      <c r="E509" s="1" t="str">
        <f ca="1">IFERROR(__xludf.DUMMYFUNCTION("""COMPUTED_VALUE"""),"numeric")</f>
        <v>numeric</v>
      </c>
      <c r="F509" s="1"/>
      <c r="G509" s="1" t="str">
        <f ca="1">IFERROR(__xludf.DUMMYFUNCTION("""COMPUTED_VALUE"""),".na")</f>
        <v>.na</v>
      </c>
      <c r="H509" s="1"/>
      <c r="I509" s="1"/>
      <c r="J509" s="1"/>
      <c r="K509" s="1" t="str">
        <f ca="1">IFERROR(__xludf.DUMMYFUNCTION("""COMPUTED_VALUE"""),"response")</f>
        <v>response</v>
      </c>
      <c r="L509" s="1" t="str">
        <f ca="1">IFERROR(__xludf.DUMMYFUNCTION("""COMPUTED_VALUE"""),"10.1111/btp.12501")</f>
        <v>10.1111/btp.12501</v>
      </c>
      <c r="M509" s="1" t="str">
        <f ca="1">IFERROR(__xludf.DUMMYFUNCTION("""COMPUTED_VALUE"""),"Presley_2018")</f>
        <v>Presley_2018</v>
      </c>
    </row>
    <row r="510" spans="1:13" ht="13.2">
      <c r="A510" s="1" t="str">
        <f ca="1">IFERROR(__xludf.DUMMYFUNCTION("""COMPUTED_VALUE"""),"FA = Forearm length")</f>
        <v>FA = Forearm length</v>
      </c>
      <c r="B510" s="1"/>
      <c r="C510" s="1"/>
      <c r="D510" s="1"/>
      <c r="E510" s="1" t="str">
        <f ca="1">IFERROR(__xludf.DUMMYFUNCTION("""COMPUTED_VALUE"""),"numeric")</f>
        <v>numeric</v>
      </c>
      <c r="F510" s="1"/>
      <c r="G510" s="1" t="str">
        <f ca="1">IFERROR(__xludf.DUMMYFUNCTION("""COMPUTED_VALUE"""),".na")</f>
        <v>.na</v>
      </c>
      <c r="H510" s="1"/>
      <c r="I510" s="1"/>
      <c r="J510" s="1"/>
      <c r="K510" s="1" t="str">
        <f ca="1">IFERROR(__xludf.DUMMYFUNCTION("""COMPUTED_VALUE"""),"undefined")</f>
        <v>undefined</v>
      </c>
      <c r="L510" s="1" t="str">
        <f ca="1">IFERROR(__xludf.DUMMYFUNCTION("""COMPUTED_VALUE"""),"10.3161/15081109ACC2017.19.2.005")</f>
        <v>10.3161/15081109ACC2017.19.2.005</v>
      </c>
      <c r="M510" s="1" t="str">
        <f ca="1">IFERROR(__xludf.DUMMYFUNCTION("""COMPUTED_VALUE"""),"Reardon_2017")</f>
        <v>Reardon_2017</v>
      </c>
    </row>
    <row r="511" spans="1:13" ht="13.2">
      <c r="A511" s="1" t="str">
        <f ca="1">IFERROR(__xludf.DUMMYFUNCTION("""COMPUTED_VALUE"""),"GSL = Greatest skull length")</f>
        <v>GSL = Greatest skull length</v>
      </c>
      <c r="B511" s="1"/>
      <c r="C511" s="1"/>
      <c r="D511" s="1"/>
      <c r="E511" s="1" t="str">
        <f ca="1">IFERROR(__xludf.DUMMYFUNCTION("""COMPUTED_VALUE"""),"numeric")</f>
        <v>numeric</v>
      </c>
      <c r="F511" s="1"/>
      <c r="G511" s="1" t="str">
        <f ca="1">IFERROR(__xludf.DUMMYFUNCTION("""COMPUTED_VALUE"""),".na")</f>
        <v>.na</v>
      </c>
      <c r="H511" s="1"/>
      <c r="I511" s="1"/>
      <c r="J511" s="1"/>
      <c r="K511" s="1" t="str">
        <f ca="1">IFERROR(__xludf.DUMMYFUNCTION("""COMPUTED_VALUE"""),"undefined")</f>
        <v>undefined</v>
      </c>
      <c r="L511" s="1" t="str">
        <f ca="1">IFERROR(__xludf.DUMMYFUNCTION("""COMPUTED_VALUE"""),"10.3161/15081109ACC2017.19.2.005")</f>
        <v>10.3161/15081109ACC2017.19.2.005</v>
      </c>
      <c r="M511" s="1" t="str">
        <f ca="1">IFERROR(__xludf.DUMMYFUNCTION("""COMPUTED_VALUE"""),"Reardon_2017")</f>
        <v>Reardon_2017</v>
      </c>
    </row>
    <row r="512" spans="1:13" ht="13.2">
      <c r="A512" s="1" t="str">
        <f ca="1">IFERROR(__xludf.DUMMYFUNCTION("""COMPUTED_VALUE"""),"TL = Total length")</f>
        <v>TL = Total length</v>
      </c>
      <c r="B512" s="1"/>
      <c r="C512" s="1"/>
      <c r="D512" s="1"/>
      <c r="E512" s="1" t="str">
        <f ca="1">IFERROR(__xludf.DUMMYFUNCTION("""COMPUTED_VALUE"""),"numeric")</f>
        <v>numeric</v>
      </c>
      <c r="F512" s="1"/>
      <c r="G512" s="1" t="str">
        <f ca="1">IFERROR(__xludf.DUMMYFUNCTION("""COMPUTED_VALUE"""),".na")</f>
        <v>.na</v>
      </c>
      <c r="H512" s="1"/>
      <c r="I512" s="1"/>
      <c r="J512" s="1"/>
      <c r="K512" s="1" t="str">
        <f ca="1">IFERROR(__xludf.DUMMYFUNCTION("""COMPUTED_VALUE"""),"undefined")</f>
        <v>undefined</v>
      </c>
      <c r="L512" s="1" t="str">
        <f ca="1">IFERROR(__xludf.DUMMYFUNCTION("""COMPUTED_VALUE"""),"10.3161/15081109ACC2017.19.2.005")</f>
        <v>10.3161/15081109ACC2017.19.2.005</v>
      </c>
      <c r="M512" s="1" t="str">
        <f ca="1">IFERROR(__xludf.DUMMYFUNCTION("""COMPUTED_VALUE"""),"Reardon_2017")</f>
        <v>Reardon_2017</v>
      </c>
    </row>
    <row r="513" spans="1:13" ht="13.2">
      <c r="A513" s="1" t="str">
        <f ca="1">IFERROR(__xludf.DUMMYFUNCTION("""COMPUTED_VALUE"""),"T = Tail length")</f>
        <v>T = Tail length</v>
      </c>
      <c r="B513" s="1"/>
      <c r="C513" s="1"/>
      <c r="D513" s="1"/>
      <c r="E513" s="1" t="str">
        <f ca="1">IFERROR(__xludf.DUMMYFUNCTION("""COMPUTED_VALUE"""),"numeric")</f>
        <v>numeric</v>
      </c>
      <c r="F513" s="1"/>
      <c r="G513" s="1" t="str">
        <f ca="1">IFERROR(__xludf.DUMMYFUNCTION("""COMPUTED_VALUE"""),".na")</f>
        <v>.na</v>
      </c>
      <c r="H513" s="1"/>
      <c r="I513" s="1"/>
      <c r="J513" s="1"/>
      <c r="K513" s="1" t="str">
        <f ca="1">IFERROR(__xludf.DUMMYFUNCTION("""COMPUTED_VALUE"""),"undefined")</f>
        <v>undefined</v>
      </c>
      <c r="L513" s="1" t="str">
        <f ca="1">IFERROR(__xludf.DUMMYFUNCTION("""COMPUTED_VALUE"""),"10.3161/15081109ACC2017.19.2.005")</f>
        <v>10.3161/15081109ACC2017.19.2.005</v>
      </c>
      <c r="M513" s="1" t="str">
        <f ca="1">IFERROR(__xludf.DUMMYFUNCTION("""COMPUTED_VALUE"""),"Reardon_2017")</f>
        <v>Reardon_2017</v>
      </c>
    </row>
    <row r="514" spans="1:13" ht="13.2">
      <c r="A514" s="1" t="str">
        <f ca="1">IFERROR(__xludf.DUMMYFUNCTION("""COMPUTED_VALUE"""),"E = Ear length")</f>
        <v>E = Ear length</v>
      </c>
      <c r="B514" s="1"/>
      <c r="C514" s="1"/>
      <c r="D514" s="1"/>
      <c r="E514" s="1" t="str">
        <f ca="1">IFERROR(__xludf.DUMMYFUNCTION("""COMPUTED_VALUE"""),"numeric")</f>
        <v>numeric</v>
      </c>
      <c r="F514" s="1"/>
      <c r="G514" s="1" t="str">
        <f ca="1">IFERROR(__xludf.DUMMYFUNCTION("""COMPUTED_VALUE"""),".na")</f>
        <v>.na</v>
      </c>
      <c r="H514" s="1"/>
      <c r="I514" s="1"/>
      <c r="J514" s="1"/>
      <c r="K514" s="1" t="str">
        <f ca="1">IFERROR(__xludf.DUMMYFUNCTION("""COMPUTED_VALUE"""),"undefined")</f>
        <v>undefined</v>
      </c>
      <c r="L514" s="1" t="str">
        <f ca="1">IFERROR(__xludf.DUMMYFUNCTION("""COMPUTED_VALUE"""),"10.3161/15081109ACC2017.19.2.005")</f>
        <v>10.3161/15081109ACC2017.19.2.005</v>
      </c>
      <c r="M514" s="1" t="str">
        <f ca="1">IFERROR(__xludf.DUMMYFUNCTION("""COMPUTED_VALUE"""),"Reardon_2017")</f>
        <v>Reardon_2017</v>
      </c>
    </row>
    <row r="515" spans="1:13" ht="13.2">
      <c r="A515" s="1" t="str">
        <f ca="1">IFERROR(__xludf.DUMMYFUNCTION("""COMPUTED_VALUE"""),"CI = Condylo-incisive length")</f>
        <v>CI = Condylo-incisive length</v>
      </c>
      <c r="B515" s="1"/>
      <c r="C515" s="1"/>
      <c r="D515" s="1"/>
      <c r="E515" s="1" t="str">
        <f ca="1">IFERROR(__xludf.DUMMYFUNCTION("""COMPUTED_VALUE"""),"numeric")</f>
        <v>numeric</v>
      </c>
      <c r="F515" s="1"/>
      <c r="G515" s="1" t="str">
        <f ca="1">IFERROR(__xludf.DUMMYFUNCTION("""COMPUTED_VALUE"""),".na")</f>
        <v>.na</v>
      </c>
      <c r="H515" s="1"/>
      <c r="I515" s="1"/>
      <c r="J515" s="1"/>
      <c r="K515" s="1" t="str">
        <f ca="1">IFERROR(__xludf.DUMMYFUNCTION("""COMPUTED_VALUE"""),"undefined")</f>
        <v>undefined</v>
      </c>
      <c r="L515" s="1" t="str">
        <f ca="1">IFERROR(__xludf.DUMMYFUNCTION("""COMPUTED_VALUE"""),"10.3161/15081109ACC2017.19.2.005")</f>
        <v>10.3161/15081109ACC2017.19.2.005</v>
      </c>
      <c r="M515" s="1" t="str">
        <f ca="1">IFERROR(__xludf.DUMMYFUNCTION("""COMPUTED_VALUE"""),"Reardon_2017")</f>
        <v>Reardon_2017</v>
      </c>
    </row>
    <row r="516" spans="1:13" ht="13.2">
      <c r="A516" s="1" t="str">
        <f ca="1">IFERROR(__xludf.DUMMYFUNCTION("""COMPUTED_VALUE"""),"CC = Condylo-canine length")</f>
        <v>CC = Condylo-canine length</v>
      </c>
      <c r="B516" s="1"/>
      <c r="C516" s="1"/>
      <c r="D516" s="1"/>
      <c r="E516" s="1" t="str">
        <f ca="1">IFERROR(__xludf.DUMMYFUNCTION("""COMPUTED_VALUE"""),"numeric")</f>
        <v>numeric</v>
      </c>
      <c r="F516" s="1"/>
      <c r="G516" s="1" t="str">
        <f ca="1">IFERROR(__xludf.DUMMYFUNCTION("""COMPUTED_VALUE"""),".na")</f>
        <v>.na</v>
      </c>
      <c r="H516" s="1"/>
      <c r="I516" s="1"/>
      <c r="J516" s="1"/>
      <c r="K516" s="1" t="str">
        <f ca="1">IFERROR(__xludf.DUMMYFUNCTION("""COMPUTED_VALUE"""),"undefined")</f>
        <v>undefined</v>
      </c>
      <c r="L516" s="1" t="str">
        <f ca="1">IFERROR(__xludf.DUMMYFUNCTION("""COMPUTED_VALUE"""),"10.3161/15081109ACC2017.19.2.005")</f>
        <v>10.3161/15081109ACC2017.19.2.005</v>
      </c>
      <c r="M516" s="1" t="str">
        <f ca="1">IFERROR(__xludf.DUMMYFUNCTION("""COMPUTED_VALUE"""),"Reardon_2017")</f>
        <v>Reardon_2017</v>
      </c>
    </row>
    <row r="517" spans="1:13" ht="13.2">
      <c r="A517" s="1" t="str">
        <f ca="1">IFERROR(__xludf.DUMMYFUNCTION("""COMPUTED_VALUE"""),"Zyg = Zygomatic breadth")</f>
        <v>Zyg = Zygomatic breadth</v>
      </c>
      <c r="B517" s="1"/>
      <c r="C517" s="1"/>
      <c r="D517" s="1"/>
      <c r="E517" s="1" t="str">
        <f ca="1">IFERROR(__xludf.DUMMYFUNCTION("""COMPUTED_VALUE"""),"numeric")</f>
        <v>numeric</v>
      </c>
      <c r="F517" s="1"/>
      <c r="G517" s="1" t="str">
        <f ca="1">IFERROR(__xludf.DUMMYFUNCTION("""COMPUTED_VALUE"""),".na")</f>
        <v>.na</v>
      </c>
      <c r="H517" s="1"/>
      <c r="I517" s="1"/>
      <c r="J517" s="1"/>
      <c r="K517" s="1" t="str">
        <f ca="1">IFERROR(__xludf.DUMMYFUNCTION("""COMPUTED_VALUE"""),"undefined")</f>
        <v>undefined</v>
      </c>
      <c r="L517" s="1" t="str">
        <f ca="1">IFERROR(__xludf.DUMMYFUNCTION("""COMPUTED_VALUE"""),"10.3161/15081109ACC2017.19.2.005")</f>
        <v>10.3161/15081109ACC2017.19.2.005</v>
      </c>
      <c r="M517" s="1" t="str">
        <f ca="1">IFERROR(__xludf.DUMMYFUNCTION("""COMPUTED_VALUE"""),"Reardon_2017")</f>
        <v>Reardon_2017</v>
      </c>
    </row>
    <row r="518" spans="1:13" ht="13.2">
      <c r="A518" s="1" t="str">
        <f ca="1">IFERROR(__xludf.DUMMYFUNCTION("""COMPUTED_VALUE"""),"Mast = Mastoid breadth")</f>
        <v>Mast = Mastoid breadth</v>
      </c>
      <c r="B518" s="1"/>
      <c r="C518" s="1"/>
      <c r="D518" s="1"/>
      <c r="E518" s="1" t="str">
        <f ca="1">IFERROR(__xludf.DUMMYFUNCTION("""COMPUTED_VALUE"""),"numeric")</f>
        <v>numeric</v>
      </c>
      <c r="F518" s="1"/>
      <c r="G518" s="1" t="str">
        <f ca="1">IFERROR(__xludf.DUMMYFUNCTION("""COMPUTED_VALUE"""),".na")</f>
        <v>.na</v>
      </c>
      <c r="H518" s="1"/>
      <c r="I518" s="1"/>
      <c r="J518" s="1"/>
      <c r="K518" s="1" t="str">
        <f ca="1">IFERROR(__xludf.DUMMYFUNCTION("""COMPUTED_VALUE"""),"undefined")</f>
        <v>undefined</v>
      </c>
      <c r="L518" s="1" t="str">
        <f ca="1">IFERROR(__xludf.DUMMYFUNCTION("""COMPUTED_VALUE"""),"10.3161/15081109ACC2017.19.2.005")</f>
        <v>10.3161/15081109ACC2017.19.2.005</v>
      </c>
      <c r="M518" s="1" t="str">
        <f ca="1">IFERROR(__xludf.DUMMYFUNCTION("""COMPUTED_VALUE"""),"Reardon_2017")</f>
        <v>Reardon_2017</v>
      </c>
    </row>
    <row r="519" spans="1:13" ht="13.2">
      <c r="A519" s="1" t="str">
        <f ca="1">IFERROR(__xludf.DUMMYFUNCTION("""COMPUTED_VALUE"""),"Brain = Breadth of brain case")</f>
        <v>Brain = Breadth of brain case</v>
      </c>
      <c r="B519" s="1"/>
      <c r="C519" s="1"/>
      <c r="D519" s="1"/>
      <c r="E519" s="1" t="str">
        <f ca="1">IFERROR(__xludf.DUMMYFUNCTION("""COMPUTED_VALUE"""),"numeric")</f>
        <v>numeric</v>
      </c>
      <c r="F519" s="1"/>
      <c r="G519" s="1" t="str">
        <f ca="1">IFERROR(__xludf.DUMMYFUNCTION("""COMPUTED_VALUE"""),".na")</f>
        <v>.na</v>
      </c>
      <c r="H519" s="1"/>
      <c r="I519" s="1"/>
      <c r="J519" s="1"/>
      <c r="K519" s="1" t="str">
        <f ca="1">IFERROR(__xludf.DUMMYFUNCTION("""COMPUTED_VALUE"""),"undefined")</f>
        <v>undefined</v>
      </c>
      <c r="L519" s="1" t="str">
        <f ca="1">IFERROR(__xludf.DUMMYFUNCTION("""COMPUTED_VALUE"""),"10.3161/15081109ACC2017.19.2.005")</f>
        <v>10.3161/15081109ACC2017.19.2.005</v>
      </c>
      <c r="M519" s="1" t="str">
        <f ca="1">IFERROR(__xludf.DUMMYFUNCTION("""COMPUTED_VALUE"""),"Reardon_2017")</f>
        <v>Reardon_2017</v>
      </c>
    </row>
    <row r="520" spans="1:13" ht="13.2">
      <c r="A520" s="1" t="str">
        <f ca="1">IFERROR(__xludf.DUMMYFUNCTION("""COMPUTED_VALUE"""),"Inter = Narrowest breadth of skull")</f>
        <v>Inter = Narrowest breadth of skull</v>
      </c>
      <c r="B520" s="1"/>
      <c r="C520" s="1"/>
      <c r="D520" s="1"/>
      <c r="E520" s="1" t="str">
        <f ca="1">IFERROR(__xludf.DUMMYFUNCTION("""COMPUTED_VALUE"""),"numeric")</f>
        <v>numeric</v>
      </c>
      <c r="F520" s="1"/>
      <c r="G520" s="1" t="str">
        <f ca="1">IFERROR(__xludf.DUMMYFUNCTION("""COMPUTED_VALUE"""),".na")</f>
        <v>.na</v>
      </c>
      <c r="H520" s="1"/>
      <c r="I520" s="1"/>
      <c r="J520" s="1"/>
      <c r="K520" s="1" t="str">
        <f ca="1">IFERROR(__xludf.DUMMYFUNCTION("""COMPUTED_VALUE"""),"undefined")</f>
        <v>undefined</v>
      </c>
      <c r="L520" s="1" t="str">
        <f ca="1">IFERROR(__xludf.DUMMYFUNCTION("""COMPUTED_VALUE"""),"10.3161/15081109ACC2017.19.2.005")</f>
        <v>10.3161/15081109ACC2017.19.2.005</v>
      </c>
      <c r="M520" s="1" t="str">
        <f ca="1">IFERROR(__xludf.DUMMYFUNCTION("""COMPUTED_VALUE"""),"Reardon_2017")</f>
        <v>Reardon_2017</v>
      </c>
    </row>
    <row r="521" spans="1:13" ht="13.2">
      <c r="A521" s="1" t="str">
        <f ca="1">IFERROR(__xludf.DUMMYFUNCTION("""COMPUTED_VALUE"""),"Mand = Mandibular length")</f>
        <v>Mand = Mandibular length</v>
      </c>
      <c r="B521" s="1"/>
      <c r="C521" s="1"/>
      <c r="D521" s="1"/>
      <c r="E521" s="1" t="str">
        <f ca="1">IFERROR(__xludf.DUMMYFUNCTION("""COMPUTED_VALUE"""),"numeric")</f>
        <v>numeric</v>
      </c>
      <c r="F521" s="1"/>
      <c r="G521" s="1" t="str">
        <f ca="1">IFERROR(__xludf.DUMMYFUNCTION("""COMPUTED_VALUE"""),".na")</f>
        <v>.na</v>
      </c>
      <c r="H521" s="1"/>
      <c r="I521" s="1"/>
      <c r="J521" s="1"/>
      <c r="K521" s="1" t="str">
        <f ca="1">IFERROR(__xludf.DUMMYFUNCTION("""COMPUTED_VALUE"""),"undefined")</f>
        <v>undefined</v>
      </c>
      <c r="L521" s="1" t="str">
        <f ca="1">IFERROR(__xludf.DUMMYFUNCTION("""COMPUTED_VALUE"""),"10.3161/15081109ACC2017.19.2.005")</f>
        <v>10.3161/15081109ACC2017.19.2.005</v>
      </c>
      <c r="M521" s="1" t="str">
        <f ca="1">IFERROR(__xludf.DUMMYFUNCTION("""COMPUTED_VALUE"""),"Reardon_2017")</f>
        <v>Reardon_2017</v>
      </c>
    </row>
    <row r="522" spans="1:13" ht="13.2">
      <c r="A522" s="1" t="str">
        <f ca="1">IFERROR(__xludf.DUMMYFUNCTION("""COMPUTED_VALUE"""),"Mc-m3 = Mandibular tooth row length")</f>
        <v>Mc-m3 = Mandibular tooth row length</v>
      </c>
      <c r="B522" s="1"/>
      <c r="C522" s="1"/>
      <c r="D522" s="1"/>
      <c r="E522" s="1" t="str">
        <f ca="1">IFERROR(__xludf.DUMMYFUNCTION("""COMPUTED_VALUE"""),"numeric")</f>
        <v>numeric</v>
      </c>
      <c r="F522" s="1"/>
      <c r="G522" s="1" t="str">
        <f ca="1">IFERROR(__xludf.DUMMYFUNCTION("""COMPUTED_VALUE"""),".na")</f>
        <v>.na</v>
      </c>
      <c r="H522" s="1"/>
      <c r="I522" s="1"/>
      <c r="J522" s="1"/>
      <c r="K522" s="1" t="str">
        <f ca="1">IFERROR(__xludf.DUMMYFUNCTION("""COMPUTED_VALUE"""),"undefined")</f>
        <v>undefined</v>
      </c>
      <c r="L522" s="1" t="str">
        <f ca="1">IFERROR(__xludf.DUMMYFUNCTION("""COMPUTED_VALUE"""),"10.3161/15081109ACC2017.19.2.005")</f>
        <v>10.3161/15081109ACC2017.19.2.005</v>
      </c>
      <c r="M522" s="1" t="str">
        <f ca="1">IFERROR(__xludf.DUMMYFUNCTION("""COMPUTED_VALUE"""),"Reardon_2017")</f>
        <v>Reardon_2017</v>
      </c>
    </row>
    <row r="523" spans="1:13" ht="13.2">
      <c r="A523" s="1" t="str">
        <f ca="1">IFERROR(__xludf.DUMMYFUNCTION("""COMPUTED_VALUE"""),"c-m3 = Length of upper tooth row")</f>
        <v>c-m3 = Length of upper tooth row</v>
      </c>
      <c r="B523" s="1"/>
      <c r="C523" s="1"/>
      <c r="D523" s="1"/>
      <c r="E523" s="1" t="str">
        <f ca="1">IFERROR(__xludf.DUMMYFUNCTION("""COMPUTED_VALUE"""),"numeric")</f>
        <v>numeric</v>
      </c>
      <c r="F523" s="1"/>
      <c r="G523" s="1" t="str">
        <f ca="1">IFERROR(__xludf.DUMMYFUNCTION("""COMPUTED_VALUE"""),".na")</f>
        <v>.na</v>
      </c>
      <c r="H523" s="1"/>
      <c r="I523" s="1"/>
      <c r="J523" s="1"/>
      <c r="K523" s="1" t="str">
        <f ca="1">IFERROR(__xludf.DUMMYFUNCTION("""COMPUTED_VALUE"""),"undefined")</f>
        <v>undefined</v>
      </c>
      <c r="L523" s="1" t="str">
        <f ca="1">IFERROR(__xludf.DUMMYFUNCTION("""COMPUTED_VALUE"""),"10.3161/15081109ACC2017.19.2.005")</f>
        <v>10.3161/15081109ACC2017.19.2.005</v>
      </c>
      <c r="M523" s="1" t="str">
        <f ca="1">IFERROR(__xludf.DUMMYFUNCTION("""COMPUTED_VALUE"""),"Reardon_2017")</f>
        <v>Reardon_2017</v>
      </c>
    </row>
    <row r="524" spans="1:13" ht="13.2">
      <c r="A524" s="1" t="str">
        <f ca="1">IFERROR(__xludf.DUMMYFUNCTION("""COMPUTED_VALUE"""),"c-c = Width across the upper canines")</f>
        <v>c-c = Width across the upper canines</v>
      </c>
      <c r="B524" s="1"/>
      <c r="C524" s="1"/>
      <c r="D524" s="1"/>
      <c r="E524" s="1" t="str">
        <f ca="1">IFERROR(__xludf.DUMMYFUNCTION("""COMPUTED_VALUE"""),"numeric")</f>
        <v>numeric</v>
      </c>
      <c r="F524" s="1"/>
      <c r="G524" s="1" t="str">
        <f ca="1">IFERROR(__xludf.DUMMYFUNCTION("""COMPUTED_VALUE"""),".na")</f>
        <v>.na</v>
      </c>
      <c r="H524" s="1"/>
      <c r="I524" s="1"/>
      <c r="J524" s="1"/>
      <c r="K524" s="1" t="str">
        <f ca="1">IFERROR(__xludf.DUMMYFUNCTION("""COMPUTED_VALUE"""),"undefined")</f>
        <v>undefined</v>
      </c>
      <c r="L524" s="1" t="str">
        <f ca="1">IFERROR(__xludf.DUMMYFUNCTION("""COMPUTED_VALUE"""),"10.3161/15081109ACC2017.19.2.005")</f>
        <v>10.3161/15081109ACC2017.19.2.005</v>
      </c>
      <c r="M524" s="1" t="str">
        <f ca="1">IFERROR(__xludf.DUMMYFUNCTION("""COMPUTED_VALUE"""),"Reardon_2017")</f>
        <v>Reardon_2017</v>
      </c>
    </row>
    <row r="525" spans="1:13" ht="13.2">
      <c r="A525" s="1" t="str">
        <f ca="1">IFERROR(__xludf.DUMMYFUNCTION("""COMPUTED_VALUE"""),"m3-m3 = Width across the upper molars")</f>
        <v>m3-m3 = Width across the upper molars</v>
      </c>
      <c r="B525" s="1"/>
      <c r="C525" s="1"/>
      <c r="D525" s="1"/>
      <c r="E525" s="1" t="str">
        <f ca="1">IFERROR(__xludf.DUMMYFUNCTION("""COMPUTED_VALUE"""),"numeric")</f>
        <v>numeric</v>
      </c>
      <c r="F525" s="1"/>
      <c r="G525" s="1" t="str">
        <f ca="1">IFERROR(__xludf.DUMMYFUNCTION("""COMPUTED_VALUE"""),".na")</f>
        <v>.na</v>
      </c>
      <c r="H525" s="1"/>
      <c r="I525" s="1"/>
      <c r="J525" s="1"/>
      <c r="K525" s="1" t="str">
        <f ca="1">IFERROR(__xludf.DUMMYFUNCTION("""COMPUTED_VALUE"""),"undefined")</f>
        <v>undefined</v>
      </c>
      <c r="L525" s="1" t="str">
        <f ca="1">IFERROR(__xludf.DUMMYFUNCTION("""COMPUTED_VALUE"""),"10.3161/15081109ACC2017.19.2.005")</f>
        <v>10.3161/15081109ACC2017.19.2.005</v>
      </c>
      <c r="M525" s="1" t="str">
        <f ca="1">IFERROR(__xludf.DUMMYFUNCTION("""COMPUTED_VALUE"""),"Reardon_2017")</f>
        <v>Reardon_2017</v>
      </c>
    </row>
    <row r="526" spans="1:13" ht="13.2">
      <c r="A526" s="1" t="str">
        <f ca="1">IFERROR(__xludf.DUMMYFUNCTION("""COMPUTED_VALUE"""),"ecolocation strategy")</f>
        <v>ecolocation strategy</v>
      </c>
      <c r="B526" s="1"/>
      <c r="C526" s="1"/>
      <c r="D526" s="1"/>
      <c r="E526" s="1" t="str">
        <f ca="1">IFERROR(__xludf.DUMMYFUNCTION("""COMPUTED_VALUE"""),"categorical")</f>
        <v>categorical</v>
      </c>
      <c r="F526" s="1" t="str">
        <f ca="1">IFERROR(__xludf.DUMMYFUNCTION("""COMPUTED_VALUE"""),".na")</f>
        <v>.na</v>
      </c>
      <c r="G526" s="1" t="str">
        <f ca="1">IFERROR(__xludf.DUMMYFUNCTION("""COMPUTED_VALUE"""),"high-duty cycle echolocation (HDC), low-duty cycle nasal echolocation (LDCN), low-duty cycle mouth echolocation (LDCM)")</f>
        <v>high-duty cycle echolocation (HDC), low-duty cycle nasal echolocation (LDCN), low-duty cycle mouth echolocation (LDCM)</v>
      </c>
      <c r="H526" s="1" t="str">
        <f ca="1">IFERROR(__xludf.DUMMYFUNCTION("""COMPUTED_VALUE"""),".na")</f>
        <v>.na</v>
      </c>
      <c r="I526" s="1" t="str">
        <f ca="1">IFERROR(__xludf.DUMMYFUNCTION("""COMPUTED_VALUE"""),".na")</f>
        <v>.na</v>
      </c>
      <c r="J526" s="1" t="str">
        <f ca="1">IFERROR(__xludf.DUMMYFUNCTION("""COMPUTED_VALUE"""),"We also classified bats to one of three echolocation strategies — high-duty cycle echolocation (HDC), low-duty cycle nasal echolocation (LDCN) or low-duty cycle mouth echolocation (LDCM) (Monadjem et al., 2010; Lazure and Fenton, 2011).")</f>
        <v>We also classified bats to one of three echolocation strategies — high-duty cycle echolocation (HDC), low-duty cycle nasal echolocation (LDCN) or low-duty cycle mouth echolocation (LDCM) (Monadjem et al., 2010; Lazure and Fenton, 2011).</v>
      </c>
      <c r="K526" s="1" t="str">
        <f ca="1">IFERROR(__xludf.DUMMYFUNCTION("""COMPUTED_VALUE"""),"undefined")</f>
        <v>undefined</v>
      </c>
      <c r="L526" s="1" t="str">
        <f ca="1">IFERROR(__xludf.DUMMYFUNCTION("""COMPUTED_VALUE"""),"10.3161/15081109ACC2017.19.2.005")</f>
        <v>10.3161/15081109ACC2017.19.2.005</v>
      </c>
      <c r="M526" s="1" t="str">
        <f ca="1">IFERROR(__xludf.DUMMYFUNCTION("""COMPUTED_VALUE"""),"Reardon_2017")</f>
        <v>Reardon_2017</v>
      </c>
    </row>
    <row r="527" spans="1:13" ht="13.2">
      <c r="A527" s="1" t="str">
        <f ca="1">IFERROR(__xludf.DUMMYFUNCTION("""COMPUTED_VALUE"""),"foraging guild")</f>
        <v>foraging guild</v>
      </c>
      <c r="B527" s="1"/>
      <c r="C527" s="1"/>
      <c r="D527" s="1"/>
      <c r="E527" s="1" t="str">
        <f ca="1">IFERROR(__xludf.DUMMYFUNCTION("""COMPUTED_VALUE"""),"categorical")</f>
        <v>categorical</v>
      </c>
      <c r="F527" s="1" t="str">
        <f ca="1">IFERROR(__xludf.DUMMYFUNCTION("""COMPUTED_VALUE"""),".na")</f>
        <v>.na</v>
      </c>
      <c r="G527" s="1" t="str">
        <f ca="1">IFERROR(__xludf.DUMMYFUNCTION("""COMPUTED_VALUE"""),"AI = aerial insectivore, HI = high flying insectivores, GO = gleaning omnivores, CF = canopy frugivores, UF = understory frugivores, N = nectarivores, S = sanguinivores, P = piscivores")</f>
        <v>AI = aerial insectivore, HI = high flying insectivores, GO = gleaning omnivores, CF = canopy frugivores, UF = understory frugivores, N = nectarivores, S = sanguinivores, P = piscivores</v>
      </c>
      <c r="H527" s="1" t="str">
        <f ca="1">IFERROR(__xludf.DUMMYFUNCTION("""COMPUTED_VALUE"""),".na")</f>
        <v>.na</v>
      </c>
      <c r="I527" s="1" t="str">
        <f ca="1">IFERROR(__xludf.DUMMYFUNCTION("""COMPUTED_VALUE"""),".na")</f>
        <v>.na</v>
      </c>
      <c r="J527" s="1"/>
      <c r="K527" s="1" t="str">
        <f ca="1">IFERROR(__xludf.DUMMYFUNCTION("""COMPUTED_VALUE"""),"response")</f>
        <v>response</v>
      </c>
      <c r="L527" s="1" t="str">
        <f ca="1">IFERROR(__xludf.DUMMYFUNCTION("""COMPUTED_VALUE"""),"10.1111/2041-210X.12696")</f>
        <v>10.1111/2041-210X.12696</v>
      </c>
      <c r="M527" s="1" t="str">
        <f ca="1">IFERROR(__xludf.DUMMYFUNCTION("""COMPUTED_VALUE"""),"Scheiner_2017")</f>
        <v>Scheiner_2017</v>
      </c>
    </row>
    <row r="528" spans="1:13" ht="13.2">
      <c r="A528" s="1" t="str">
        <f ca="1">IFERROR(__xludf.DUMMYFUNCTION("""COMPUTED_VALUE"""),"fruit")</f>
        <v>fruit</v>
      </c>
      <c r="B528" s="1" t="str">
        <f ca="1">IFERROR(__xludf.DUMMYFUNCTION("""COMPUTED_VALUE"""),"diet")</f>
        <v>diet</v>
      </c>
      <c r="C528" s="1"/>
      <c r="D528" s="1"/>
      <c r="E528" s="1" t="str">
        <f ca="1">IFERROR(__xludf.DUMMYFUNCTION("""COMPUTED_VALUE"""),"categorical")</f>
        <v>categorical</v>
      </c>
      <c r="F528" s="1" t="str">
        <f ca="1">IFERROR(__xludf.DUMMYFUNCTION("""COMPUTED_VALUE"""),".na")</f>
        <v>.na</v>
      </c>
      <c r="G528" s="1" t="str">
        <f ca="1">IFERROR(__xludf.DUMMYFUNCTION("""COMPUTED_VALUE"""),"1 = yes, 2 = no")</f>
        <v>1 = yes, 2 = no</v>
      </c>
      <c r="H528" s="1" t="str">
        <f ca="1">IFERROR(__xludf.DUMMYFUNCTION("""COMPUTED_VALUE"""),".na")</f>
        <v>.na</v>
      </c>
      <c r="I528" s="1" t="str">
        <f ca="1">IFERROR(__xludf.DUMMYFUNCTION("""COMPUTED_VALUE"""),".na")</f>
        <v>.na</v>
      </c>
      <c r="J528" s="1"/>
      <c r="K528" s="1" t="str">
        <f ca="1">IFERROR(__xludf.DUMMYFUNCTION("""COMPUTED_VALUE"""),"response")</f>
        <v>response</v>
      </c>
      <c r="L528" s="1" t="str">
        <f ca="1">IFERROR(__xludf.DUMMYFUNCTION("""COMPUTED_VALUE"""),"10.1111/2041-210X.12696")</f>
        <v>10.1111/2041-210X.12696</v>
      </c>
      <c r="M528" s="1" t="str">
        <f ca="1">IFERROR(__xludf.DUMMYFUNCTION("""COMPUTED_VALUE"""),"Scheiner_2017")</f>
        <v>Scheiner_2017</v>
      </c>
    </row>
    <row r="529" spans="1:13" ht="13.2">
      <c r="A529" s="1" t="str">
        <f ca="1">IFERROR(__xludf.DUMMYFUNCTION("""COMPUTED_VALUE"""),"nectar")</f>
        <v>nectar</v>
      </c>
      <c r="B529" s="1" t="str">
        <f ca="1">IFERROR(__xludf.DUMMYFUNCTION("""COMPUTED_VALUE"""),"diet")</f>
        <v>diet</v>
      </c>
      <c r="C529" s="1"/>
      <c r="D529" s="1"/>
      <c r="E529" s="1" t="str">
        <f ca="1">IFERROR(__xludf.DUMMYFUNCTION("""COMPUTED_VALUE"""),"categorical")</f>
        <v>categorical</v>
      </c>
      <c r="F529" s="1" t="str">
        <f ca="1">IFERROR(__xludf.DUMMYFUNCTION("""COMPUTED_VALUE"""),".na")</f>
        <v>.na</v>
      </c>
      <c r="G529" s="1" t="str">
        <f ca="1">IFERROR(__xludf.DUMMYFUNCTION("""COMPUTED_VALUE"""),"1 = yes, 2 = no")</f>
        <v>1 = yes, 2 = no</v>
      </c>
      <c r="H529" s="1" t="str">
        <f ca="1">IFERROR(__xludf.DUMMYFUNCTION("""COMPUTED_VALUE"""),".na")</f>
        <v>.na</v>
      </c>
      <c r="I529" s="1" t="str">
        <f ca="1">IFERROR(__xludf.DUMMYFUNCTION("""COMPUTED_VALUE"""),".na")</f>
        <v>.na</v>
      </c>
      <c r="J529" s="1"/>
      <c r="K529" s="1" t="str">
        <f ca="1">IFERROR(__xludf.DUMMYFUNCTION("""COMPUTED_VALUE"""),"response")</f>
        <v>response</v>
      </c>
      <c r="L529" s="1" t="str">
        <f ca="1">IFERROR(__xludf.DUMMYFUNCTION("""COMPUTED_VALUE"""),"10.1111/2041-210X.12696")</f>
        <v>10.1111/2041-210X.12696</v>
      </c>
      <c r="M529" s="1" t="str">
        <f ca="1">IFERROR(__xludf.DUMMYFUNCTION("""COMPUTED_VALUE"""),"Scheiner_2017")</f>
        <v>Scheiner_2017</v>
      </c>
    </row>
    <row r="530" spans="1:13" ht="13.2">
      <c r="A530" s="1" t="str">
        <f ca="1">IFERROR(__xludf.DUMMYFUNCTION("""COMPUTED_VALUE"""),"invertebrates")</f>
        <v>invertebrates</v>
      </c>
      <c r="B530" s="1" t="str">
        <f ca="1">IFERROR(__xludf.DUMMYFUNCTION("""COMPUTED_VALUE"""),"diet")</f>
        <v>diet</v>
      </c>
      <c r="C530" s="1"/>
      <c r="D530" s="1"/>
      <c r="E530" s="1" t="str">
        <f ca="1">IFERROR(__xludf.DUMMYFUNCTION("""COMPUTED_VALUE"""),"categorical")</f>
        <v>categorical</v>
      </c>
      <c r="F530" s="1" t="str">
        <f ca="1">IFERROR(__xludf.DUMMYFUNCTION("""COMPUTED_VALUE"""),".na")</f>
        <v>.na</v>
      </c>
      <c r="G530" s="1" t="str">
        <f ca="1">IFERROR(__xludf.DUMMYFUNCTION("""COMPUTED_VALUE"""),"1 = yes, 2 = no")</f>
        <v>1 = yes, 2 = no</v>
      </c>
      <c r="H530" s="1" t="str">
        <f ca="1">IFERROR(__xludf.DUMMYFUNCTION("""COMPUTED_VALUE"""),".na")</f>
        <v>.na</v>
      </c>
      <c r="I530" s="1" t="str">
        <f ca="1">IFERROR(__xludf.DUMMYFUNCTION("""COMPUTED_VALUE"""),".na")</f>
        <v>.na</v>
      </c>
      <c r="J530" s="1"/>
      <c r="K530" s="1" t="str">
        <f ca="1">IFERROR(__xludf.DUMMYFUNCTION("""COMPUTED_VALUE"""),"response")</f>
        <v>response</v>
      </c>
      <c r="L530" s="1" t="str">
        <f ca="1">IFERROR(__xludf.DUMMYFUNCTION("""COMPUTED_VALUE"""),"10.1111/2041-210X.12696")</f>
        <v>10.1111/2041-210X.12696</v>
      </c>
      <c r="M530" s="1" t="str">
        <f ca="1">IFERROR(__xludf.DUMMYFUNCTION("""COMPUTED_VALUE"""),"Scheiner_2017")</f>
        <v>Scheiner_2017</v>
      </c>
    </row>
    <row r="531" spans="1:13" ht="13.2">
      <c r="A531" s="1" t="str">
        <f ca="1">IFERROR(__xludf.DUMMYFUNCTION("""COMPUTED_VALUE"""),"terrestrial vertebrates")</f>
        <v>terrestrial vertebrates</v>
      </c>
      <c r="B531" s="1" t="str">
        <f ca="1">IFERROR(__xludf.DUMMYFUNCTION("""COMPUTED_VALUE"""),"diet")</f>
        <v>diet</v>
      </c>
      <c r="C531" s="1"/>
      <c r="D531" s="1"/>
      <c r="E531" s="1" t="str">
        <f ca="1">IFERROR(__xludf.DUMMYFUNCTION("""COMPUTED_VALUE"""),"categorical")</f>
        <v>categorical</v>
      </c>
      <c r="F531" s="1" t="str">
        <f ca="1">IFERROR(__xludf.DUMMYFUNCTION("""COMPUTED_VALUE"""),".na")</f>
        <v>.na</v>
      </c>
      <c r="G531" s="1" t="str">
        <f ca="1">IFERROR(__xludf.DUMMYFUNCTION("""COMPUTED_VALUE"""),"1 = yes, 2 = no")</f>
        <v>1 = yes, 2 = no</v>
      </c>
      <c r="H531" s="1" t="str">
        <f ca="1">IFERROR(__xludf.DUMMYFUNCTION("""COMPUTED_VALUE"""),".na")</f>
        <v>.na</v>
      </c>
      <c r="I531" s="1" t="str">
        <f ca="1">IFERROR(__xludf.DUMMYFUNCTION("""COMPUTED_VALUE"""),".na")</f>
        <v>.na</v>
      </c>
      <c r="J531" s="1"/>
      <c r="K531" s="1" t="str">
        <f ca="1">IFERROR(__xludf.DUMMYFUNCTION("""COMPUTED_VALUE"""),"response")</f>
        <v>response</v>
      </c>
      <c r="L531" s="1" t="str">
        <f ca="1">IFERROR(__xludf.DUMMYFUNCTION("""COMPUTED_VALUE"""),"10.1111/2041-210X.12696")</f>
        <v>10.1111/2041-210X.12696</v>
      </c>
      <c r="M531" s="1" t="str">
        <f ca="1">IFERROR(__xludf.DUMMYFUNCTION("""COMPUTED_VALUE"""),"Scheiner_2017")</f>
        <v>Scheiner_2017</v>
      </c>
    </row>
    <row r="532" spans="1:13" ht="13.2">
      <c r="A532" s="1" t="str">
        <f ca="1">IFERROR(__xludf.DUMMYFUNCTION("""COMPUTED_VALUE"""),"fish")</f>
        <v>fish</v>
      </c>
      <c r="B532" s="1" t="str">
        <f ca="1">IFERROR(__xludf.DUMMYFUNCTION("""COMPUTED_VALUE"""),"diet")</f>
        <v>diet</v>
      </c>
      <c r="C532" s="1"/>
      <c r="D532" s="1"/>
      <c r="E532" s="1" t="str">
        <f ca="1">IFERROR(__xludf.DUMMYFUNCTION("""COMPUTED_VALUE"""),"categorical")</f>
        <v>categorical</v>
      </c>
      <c r="F532" s="1" t="str">
        <f ca="1">IFERROR(__xludf.DUMMYFUNCTION("""COMPUTED_VALUE"""),".na")</f>
        <v>.na</v>
      </c>
      <c r="G532" s="1" t="str">
        <f ca="1">IFERROR(__xludf.DUMMYFUNCTION("""COMPUTED_VALUE"""),"1 = yes, 2 = no")</f>
        <v>1 = yes, 2 = no</v>
      </c>
      <c r="H532" s="1" t="str">
        <f ca="1">IFERROR(__xludf.DUMMYFUNCTION("""COMPUTED_VALUE"""),".na")</f>
        <v>.na</v>
      </c>
      <c r="I532" s="1" t="str">
        <f ca="1">IFERROR(__xludf.DUMMYFUNCTION("""COMPUTED_VALUE"""),".na")</f>
        <v>.na</v>
      </c>
      <c r="J532" s="1"/>
      <c r="K532" s="1" t="str">
        <f ca="1">IFERROR(__xludf.DUMMYFUNCTION("""COMPUTED_VALUE"""),"response")</f>
        <v>response</v>
      </c>
      <c r="L532" s="1" t="str">
        <f ca="1">IFERROR(__xludf.DUMMYFUNCTION("""COMPUTED_VALUE"""),"10.1111/2041-210X.12696")</f>
        <v>10.1111/2041-210X.12696</v>
      </c>
      <c r="M532" s="1" t="str">
        <f ca="1">IFERROR(__xludf.DUMMYFUNCTION("""COMPUTED_VALUE"""),"Scheiner_2017")</f>
        <v>Scheiner_2017</v>
      </c>
    </row>
    <row r="533" spans="1:13" ht="13.2">
      <c r="A533" s="1" t="str">
        <f ca="1">IFERROR(__xludf.DUMMYFUNCTION("""COMPUTED_VALUE"""),"blood")</f>
        <v>blood</v>
      </c>
      <c r="B533" s="1" t="str">
        <f ca="1">IFERROR(__xludf.DUMMYFUNCTION("""COMPUTED_VALUE"""),"diet")</f>
        <v>diet</v>
      </c>
      <c r="C533" s="1"/>
      <c r="D533" s="1"/>
      <c r="E533" s="1" t="str">
        <f ca="1">IFERROR(__xludf.DUMMYFUNCTION("""COMPUTED_VALUE"""),"categorical")</f>
        <v>categorical</v>
      </c>
      <c r="F533" s="1" t="str">
        <f ca="1">IFERROR(__xludf.DUMMYFUNCTION("""COMPUTED_VALUE"""),".na")</f>
        <v>.na</v>
      </c>
      <c r="G533" s="1" t="str">
        <f ca="1">IFERROR(__xludf.DUMMYFUNCTION("""COMPUTED_VALUE"""),"1 = yes, 2 = no")</f>
        <v>1 = yes, 2 = no</v>
      </c>
      <c r="H533" s="1" t="str">
        <f ca="1">IFERROR(__xludf.DUMMYFUNCTION("""COMPUTED_VALUE"""),".na")</f>
        <v>.na</v>
      </c>
      <c r="I533" s="1" t="str">
        <f ca="1">IFERROR(__xludf.DUMMYFUNCTION("""COMPUTED_VALUE"""),".na")</f>
        <v>.na</v>
      </c>
      <c r="J533" s="1"/>
      <c r="K533" s="1" t="str">
        <f ca="1">IFERROR(__xludf.DUMMYFUNCTION("""COMPUTED_VALUE"""),"response")</f>
        <v>response</v>
      </c>
      <c r="L533" s="1" t="str">
        <f ca="1">IFERROR(__xludf.DUMMYFUNCTION("""COMPUTED_VALUE"""),"10.1111/2041-210X.12696")</f>
        <v>10.1111/2041-210X.12696</v>
      </c>
      <c r="M533" s="1" t="str">
        <f ca="1">IFERROR(__xludf.DUMMYFUNCTION("""COMPUTED_VALUE"""),"Scheiner_2017")</f>
        <v>Scheiner_2017</v>
      </c>
    </row>
    <row r="534" spans="1:13" ht="13.2">
      <c r="A534" s="1" t="str">
        <f ca="1">IFERROR(__xludf.DUMMYFUNCTION("""COMPUTED_VALUE"""),"open habitat")</f>
        <v>open habitat</v>
      </c>
      <c r="B534" s="1" t="str">
        <f ca="1">IFERROR(__xludf.DUMMYFUNCTION("""COMPUTED_VALUE"""),"foraging location")</f>
        <v>foraging location</v>
      </c>
      <c r="C534" s="1"/>
      <c r="D534" s="1"/>
      <c r="E534" s="1" t="str">
        <f ca="1">IFERROR(__xludf.DUMMYFUNCTION("""COMPUTED_VALUE"""),"categorical")</f>
        <v>categorical</v>
      </c>
      <c r="F534" s="1" t="str">
        <f ca="1">IFERROR(__xludf.DUMMYFUNCTION("""COMPUTED_VALUE"""),".na")</f>
        <v>.na</v>
      </c>
      <c r="G534" s="1" t="str">
        <f ca="1">IFERROR(__xludf.DUMMYFUNCTION("""COMPUTED_VALUE"""),"1 = yes, 2 = no")</f>
        <v>1 = yes, 2 = no</v>
      </c>
      <c r="H534" s="1" t="str">
        <f ca="1">IFERROR(__xludf.DUMMYFUNCTION("""COMPUTED_VALUE"""),".na")</f>
        <v>.na</v>
      </c>
      <c r="I534" s="1" t="str">
        <f ca="1">IFERROR(__xludf.DUMMYFUNCTION("""COMPUTED_VALUE"""),".na")</f>
        <v>.na</v>
      </c>
      <c r="J534" s="1"/>
      <c r="K534" s="1" t="str">
        <f ca="1">IFERROR(__xludf.DUMMYFUNCTION("""COMPUTED_VALUE"""),"response")</f>
        <v>response</v>
      </c>
      <c r="L534" s="1" t="str">
        <f ca="1">IFERROR(__xludf.DUMMYFUNCTION("""COMPUTED_VALUE"""),"10.1111/2041-210X.12696")</f>
        <v>10.1111/2041-210X.12696</v>
      </c>
      <c r="M534" s="1" t="str">
        <f ca="1">IFERROR(__xludf.DUMMYFUNCTION("""COMPUTED_VALUE"""),"Scheiner_2017")</f>
        <v>Scheiner_2017</v>
      </c>
    </row>
    <row r="535" spans="1:13" ht="13.2">
      <c r="A535" s="1" t="str">
        <f ca="1">IFERROR(__xludf.DUMMYFUNCTION("""COMPUTED_VALUE"""),"above water")</f>
        <v>above water</v>
      </c>
      <c r="B535" s="1" t="str">
        <f ca="1">IFERROR(__xludf.DUMMYFUNCTION("""COMPUTED_VALUE"""),"foraging location")</f>
        <v>foraging location</v>
      </c>
      <c r="C535" s="1"/>
      <c r="D535" s="1"/>
      <c r="E535" s="1" t="str">
        <f ca="1">IFERROR(__xludf.DUMMYFUNCTION("""COMPUTED_VALUE"""),"categorical")</f>
        <v>categorical</v>
      </c>
      <c r="F535" s="1" t="str">
        <f ca="1">IFERROR(__xludf.DUMMYFUNCTION("""COMPUTED_VALUE"""),".na")</f>
        <v>.na</v>
      </c>
      <c r="G535" s="1" t="str">
        <f ca="1">IFERROR(__xludf.DUMMYFUNCTION("""COMPUTED_VALUE"""),"1 = yes, 2 = no")</f>
        <v>1 = yes, 2 = no</v>
      </c>
      <c r="H535" s="1" t="str">
        <f ca="1">IFERROR(__xludf.DUMMYFUNCTION("""COMPUTED_VALUE"""),".na")</f>
        <v>.na</v>
      </c>
      <c r="I535" s="1" t="str">
        <f ca="1">IFERROR(__xludf.DUMMYFUNCTION("""COMPUTED_VALUE"""),".na")</f>
        <v>.na</v>
      </c>
      <c r="J535" s="1"/>
      <c r="K535" s="1" t="str">
        <f ca="1">IFERROR(__xludf.DUMMYFUNCTION("""COMPUTED_VALUE"""),"response")</f>
        <v>response</v>
      </c>
      <c r="L535" s="1" t="str">
        <f ca="1">IFERROR(__xludf.DUMMYFUNCTION("""COMPUTED_VALUE"""),"10.1111/2041-210X.12696")</f>
        <v>10.1111/2041-210X.12696</v>
      </c>
      <c r="M535" s="1" t="str">
        <f ca="1">IFERROR(__xludf.DUMMYFUNCTION("""COMPUTED_VALUE"""),"Scheiner_2017")</f>
        <v>Scheiner_2017</v>
      </c>
    </row>
    <row r="536" spans="1:13" ht="13.2">
      <c r="A536" s="1" t="str">
        <f ca="1">IFERROR(__xludf.DUMMYFUNCTION("""COMPUTED_VALUE"""),"above canopy")</f>
        <v>above canopy</v>
      </c>
      <c r="B536" s="1" t="str">
        <f ca="1">IFERROR(__xludf.DUMMYFUNCTION("""COMPUTED_VALUE"""),"foraging location")</f>
        <v>foraging location</v>
      </c>
      <c r="C536" s="1"/>
      <c r="D536" s="1"/>
      <c r="E536" s="1" t="str">
        <f ca="1">IFERROR(__xludf.DUMMYFUNCTION("""COMPUTED_VALUE"""),"categorical")</f>
        <v>categorical</v>
      </c>
      <c r="F536" s="1" t="str">
        <f ca="1">IFERROR(__xludf.DUMMYFUNCTION("""COMPUTED_VALUE"""),".na")</f>
        <v>.na</v>
      </c>
      <c r="G536" s="1" t="str">
        <f ca="1">IFERROR(__xludf.DUMMYFUNCTION("""COMPUTED_VALUE"""),"1 = yes, 2 = no")</f>
        <v>1 = yes, 2 = no</v>
      </c>
      <c r="H536" s="1" t="str">
        <f ca="1">IFERROR(__xludf.DUMMYFUNCTION("""COMPUTED_VALUE"""),".na")</f>
        <v>.na</v>
      </c>
      <c r="I536" s="1" t="str">
        <f ca="1">IFERROR(__xludf.DUMMYFUNCTION("""COMPUTED_VALUE"""),".na")</f>
        <v>.na</v>
      </c>
      <c r="J536" s="1"/>
      <c r="K536" s="1" t="str">
        <f ca="1">IFERROR(__xludf.DUMMYFUNCTION("""COMPUTED_VALUE"""),"response")</f>
        <v>response</v>
      </c>
      <c r="L536" s="1" t="str">
        <f ca="1">IFERROR(__xludf.DUMMYFUNCTION("""COMPUTED_VALUE"""),"10.1111/2041-210X.12696")</f>
        <v>10.1111/2041-210X.12696</v>
      </c>
      <c r="M536" s="1" t="str">
        <f ca="1">IFERROR(__xludf.DUMMYFUNCTION("""COMPUTED_VALUE"""),"Scheiner_2017")</f>
        <v>Scheiner_2017</v>
      </c>
    </row>
    <row r="537" spans="1:13" ht="13.2">
      <c r="A537" s="1" t="str">
        <f ca="1">IFERROR(__xludf.DUMMYFUNCTION("""COMPUTED_VALUE"""),"canopy")</f>
        <v>canopy</v>
      </c>
      <c r="B537" s="1" t="str">
        <f ca="1">IFERROR(__xludf.DUMMYFUNCTION("""COMPUTED_VALUE"""),"foraging location")</f>
        <v>foraging location</v>
      </c>
      <c r="C537" s="1"/>
      <c r="D537" s="1"/>
      <c r="E537" s="1" t="str">
        <f ca="1">IFERROR(__xludf.DUMMYFUNCTION("""COMPUTED_VALUE"""),"categorical")</f>
        <v>categorical</v>
      </c>
      <c r="F537" s="1" t="str">
        <f ca="1">IFERROR(__xludf.DUMMYFUNCTION("""COMPUTED_VALUE"""),".na")</f>
        <v>.na</v>
      </c>
      <c r="G537" s="1" t="str">
        <f ca="1">IFERROR(__xludf.DUMMYFUNCTION("""COMPUTED_VALUE"""),"1 = yes, 2 = no")</f>
        <v>1 = yes, 2 = no</v>
      </c>
      <c r="H537" s="1" t="str">
        <f ca="1">IFERROR(__xludf.DUMMYFUNCTION("""COMPUTED_VALUE"""),".na")</f>
        <v>.na</v>
      </c>
      <c r="I537" s="1" t="str">
        <f ca="1">IFERROR(__xludf.DUMMYFUNCTION("""COMPUTED_VALUE"""),".na")</f>
        <v>.na</v>
      </c>
      <c r="J537" s="1"/>
      <c r="K537" s="1" t="str">
        <f ca="1">IFERROR(__xludf.DUMMYFUNCTION("""COMPUTED_VALUE"""),"response")</f>
        <v>response</v>
      </c>
      <c r="L537" s="1" t="str">
        <f ca="1">IFERROR(__xludf.DUMMYFUNCTION("""COMPUTED_VALUE"""),"10.1111/2041-210X.12696")</f>
        <v>10.1111/2041-210X.12696</v>
      </c>
      <c r="M537" s="1" t="str">
        <f ca="1">IFERROR(__xludf.DUMMYFUNCTION("""COMPUTED_VALUE"""),"Scheiner_2017")</f>
        <v>Scheiner_2017</v>
      </c>
    </row>
    <row r="538" spans="1:13" ht="13.2">
      <c r="A538" s="1" t="str">
        <f ca="1">IFERROR(__xludf.DUMMYFUNCTION("""COMPUTED_VALUE"""),"subcanopy")</f>
        <v>subcanopy</v>
      </c>
      <c r="B538" s="1" t="str">
        <f ca="1">IFERROR(__xludf.DUMMYFUNCTION("""COMPUTED_VALUE"""),"foraging location")</f>
        <v>foraging location</v>
      </c>
      <c r="C538" s="1"/>
      <c r="D538" s="1"/>
      <c r="E538" s="1" t="str">
        <f ca="1">IFERROR(__xludf.DUMMYFUNCTION("""COMPUTED_VALUE"""),"categorical")</f>
        <v>categorical</v>
      </c>
      <c r="F538" s="1" t="str">
        <f ca="1">IFERROR(__xludf.DUMMYFUNCTION("""COMPUTED_VALUE"""),".na")</f>
        <v>.na</v>
      </c>
      <c r="G538" s="1" t="str">
        <f ca="1">IFERROR(__xludf.DUMMYFUNCTION("""COMPUTED_VALUE"""),"1 = yes, 2 = no")</f>
        <v>1 = yes, 2 = no</v>
      </c>
      <c r="H538" s="1" t="str">
        <f ca="1">IFERROR(__xludf.DUMMYFUNCTION("""COMPUTED_VALUE"""),".na")</f>
        <v>.na</v>
      </c>
      <c r="I538" s="1" t="str">
        <f ca="1">IFERROR(__xludf.DUMMYFUNCTION("""COMPUTED_VALUE"""),".na")</f>
        <v>.na</v>
      </c>
      <c r="J538" s="1"/>
      <c r="K538" s="1" t="str">
        <f ca="1">IFERROR(__xludf.DUMMYFUNCTION("""COMPUTED_VALUE"""),"response")</f>
        <v>response</v>
      </c>
      <c r="L538" s="1" t="str">
        <f ca="1">IFERROR(__xludf.DUMMYFUNCTION("""COMPUTED_VALUE"""),"10.1111/2041-210X.12696")</f>
        <v>10.1111/2041-210X.12696</v>
      </c>
      <c r="M538" s="1" t="str">
        <f ca="1">IFERROR(__xludf.DUMMYFUNCTION("""COMPUTED_VALUE"""),"Scheiner_2017")</f>
        <v>Scheiner_2017</v>
      </c>
    </row>
    <row r="539" spans="1:13" ht="13.2">
      <c r="A539" s="1" t="str">
        <f ca="1">IFERROR(__xludf.DUMMYFUNCTION("""COMPUTED_VALUE"""),"understory")</f>
        <v>understory</v>
      </c>
      <c r="B539" s="1" t="str">
        <f ca="1">IFERROR(__xludf.DUMMYFUNCTION("""COMPUTED_VALUE"""),"foraging location")</f>
        <v>foraging location</v>
      </c>
      <c r="C539" s="1"/>
      <c r="D539" s="1"/>
      <c r="E539" s="1" t="str">
        <f ca="1">IFERROR(__xludf.DUMMYFUNCTION("""COMPUTED_VALUE"""),"categorical")</f>
        <v>categorical</v>
      </c>
      <c r="F539" s="1" t="str">
        <f ca="1">IFERROR(__xludf.DUMMYFUNCTION("""COMPUTED_VALUE"""),".na")</f>
        <v>.na</v>
      </c>
      <c r="G539" s="1" t="str">
        <f ca="1">IFERROR(__xludf.DUMMYFUNCTION("""COMPUTED_VALUE"""),"1 = yes, 2 = no")</f>
        <v>1 = yes, 2 = no</v>
      </c>
      <c r="H539" s="1" t="str">
        <f ca="1">IFERROR(__xludf.DUMMYFUNCTION("""COMPUTED_VALUE"""),".na")</f>
        <v>.na</v>
      </c>
      <c r="I539" s="1" t="str">
        <f ca="1">IFERROR(__xludf.DUMMYFUNCTION("""COMPUTED_VALUE"""),".na")</f>
        <v>.na</v>
      </c>
      <c r="J539" s="1"/>
      <c r="K539" s="1" t="str">
        <f ca="1">IFERROR(__xludf.DUMMYFUNCTION("""COMPUTED_VALUE"""),"response")</f>
        <v>response</v>
      </c>
      <c r="L539" s="1" t="str">
        <f ca="1">IFERROR(__xludf.DUMMYFUNCTION("""COMPUTED_VALUE"""),"10.1111/2041-210X.12696")</f>
        <v>10.1111/2041-210X.12696</v>
      </c>
      <c r="M539" s="1" t="str">
        <f ca="1">IFERROR(__xludf.DUMMYFUNCTION("""COMPUTED_VALUE"""),"Scheiner_2017")</f>
        <v>Scheiner_2017</v>
      </c>
    </row>
    <row r="540" spans="1:13" ht="13.2">
      <c r="A540" s="1" t="str">
        <f ca="1">IFERROR(__xludf.DUMMYFUNCTION("""COMPUTED_VALUE"""),"aerial")</f>
        <v>aerial</v>
      </c>
      <c r="B540" s="1" t="str">
        <f ca="1">IFERROR(__xludf.DUMMYFUNCTION("""COMPUTED_VALUE"""),"foraging strategy")</f>
        <v>foraging strategy</v>
      </c>
      <c r="C540" s="1"/>
      <c r="D540" s="1"/>
      <c r="E540" s="1" t="str">
        <f ca="1">IFERROR(__xludf.DUMMYFUNCTION("""COMPUTED_VALUE"""),"categorical")</f>
        <v>categorical</v>
      </c>
      <c r="F540" s="1" t="str">
        <f ca="1">IFERROR(__xludf.DUMMYFUNCTION("""COMPUTED_VALUE"""),".na")</f>
        <v>.na</v>
      </c>
      <c r="G540" s="1" t="str">
        <f ca="1">IFERROR(__xludf.DUMMYFUNCTION("""COMPUTED_VALUE"""),"1 = yes, 2 = no")</f>
        <v>1 = yes, 2 = no</v>
      </c>
      <c r="H540" s="1" t="str">
        <f ca="1">IFERROR(__xludf.DUMMYFUNCTION("""COMPUTED_VALUE"""),".na")</f>
        <v>.na</v>
      </c>
      <c r="I540" s="1" t="str">
        <f ca="1">IFERROR(__xludf.DUMMYFUNCTION("""COMPUTED_VALUE"""),".na")</f>
        <v>.na</v>
      </c>
      <c r="J540" s="1"/>
      <c r="K540" s="1" t="str">
        <f ca="1">IFERROR(__xludf.DUMMYFUNCTION("""COMPUTED_VALUE"""),"response")</f>
        <v>response</v>
      </c>
      <c r="L540" s="1" t="str">
        <f ca="1">IFERROR(__xludf.DUMMYFUNCTION("""COMPUTED_VALUE"""),"10.1111/2041-210X.12696")</f>
        <v>10.1111/2041-210X.12696</v>
      </c>
      <c r="M540" s="1" t="str">
        <f ca="1">IFERROR(__xludf.DUMMYFUNCTION("""COMPUTED_VALUE"""),"Scheiner_2017")</f>
        <v>Scheiner_2017</v>
      </c>
    </row>
    <row r="541" spans="1:13" ht="13.2">
      <c r="A541" s="1" t="str">
        <f ca="1">IFERROR(__xludf.DUMMYFUNCTION("""COMPUTED_VALUE"""),"gleaning")</f>
        <v>gleaning</v>
      </c>
      <c r="B541" s="1" t="str">
        <f ca="1">IFERROR(__xludf.DUMMYFUNCTION("""COMPUTED_VALUE"""),"foraging strategy")</f>
        <v>foraging strategy</v>
      </c>
      <c r="C541" s="1"/>
      <c r="D541" s="1"/>
      <c r="E541" s="1" t="str">
        <f ca="1">IFERROR(__xludf.DUMMYFUNCTION("""COMPUTED_VALUE"""),"categorical")</f>
        <v>categorical</v>
      </c>
      <c r="F541" s="1" t="str">
        <f ca="1">IFERROR(__xludf.DUMMYFUNCTION("""COMPUTED_VALUE"""),".na")</f>
        <v>.na</v>
      </c>
      <c r="G541" s="1" t="str">
        <f ca="1">IFERROR(__xludf.DUMMYFUNCTION("""COMPUTED_VALUE"""),"1 = yes, 2 = no")</f>
        <v>1 = yes, 2 = no</v>
      </c>
      <c r="H541" s="1" t="str">
        <f ca="1">IFERROR(__xludf.DUMMYFUNCTION("""COMPUTED_VALUE"""),".na")</f>
        <v>.na</v>
      </c>
      <c r="I541" s="1" t="str">
        <f ca="1">IFERROR(__xludf.DUMMYFUNCTION("""COMPUTED_VALUE"""),".na")</f>
        <v>.na</v>
      </c>
      <c r="J541" s="1"/>
      <c r="K541" s="1" t="str">
        <f ca="1">IFERROR(__xludf.DUMMYFUNCTION("""COMPUTED_VALUE"""),"response")</f>
        <v>response</v>
      </c>
      <c r="L541" s="1" t="str">
        <f ca="1">IFERROR(__xludf.DUMMYFUNCTION("""COMPUTED_VALUE"""),"10.1111/2041-210X.12696")</f>
        <v>10.1111/2041-210X.12696</v>
      </c>
      <c r="M541" s="1" t="str">
        <f ca="1">IFERROR(__xludf.DUMMYFUNCTION("""COMPUTED_VALUE"""),"Scheiner_2017")</f>
        <v>Scheiner_2017</v>
      </c>
    </row>
    <row r="542" spans="1:13" ht="13.2">
      <c r="A542" s="1" t="str">
        <f ca="1">IFERROR(__xludf.DUMMYFUNCTION("""COMPUTED_VALUE"""),"hover")</f>
        <v>hover</v>
      </c>
      <c r="B542" s="1" t="str">
        <f ca="1">IFERROR(__xludf.DUMMYFUNCTION("""COMPUTED_VALUE"""),"foraging strategy")</f>
        <v>foraging strategy</v>
      </c>
      <c r="C542" s="1"/>
      <c r="D542" s="1"/>
      <c r="E542" s="1" t="str">
        <f ca="1">IFERROR(__xludf.DUMMYFUNCTION("""COMPUTED_VALUE"""),"categorical")</f>
        <v>categorical</v>
      </c>
      <c r="F542" s="1" t="str">
        <f ca="1">IFERROR(__xludf.DUMMYFUNCTION("""COMPUTED_VALUE"""),".na")</f>
        <v>.na</v>
      </c>
      <c r="G542" s="1" t="str">
        <f ca="1">IFERROR(__xludf.DUMMYFUNCTION("""COMPUTED_VALUE"""),"1 = yes, 2 = no")</f>
        <v>1 = yes, 2 = no</v>
      </c>
      <c r="H542" s="1" t="str">
        <f ca="1">IFERROR(__xludf.DUMMYFUNCTION("""COMPUTED_VALUE"""),".na")</f>
        <v>.na</v>
      </c>
      <c r="I542" s="1" t="str">
        <f ca="1">IFERROR(__xludf.DUMMYFUNCTION("""COMPUTED_VALUE"""),".na")</f>
        <v>.na</v>
      </c>
      <c r="J542" s="1"/>
      <c r="K542" s="1" t="str">
        <f ca="1">IFERROR(__xludf.DUMMYFUNCTION("""COMPUTED_VALUE"""),"response")</f>
        <v>response</v>
      </c>
      <c r="L542" s="1" t="str">
        <f ca="1">IFERROR(__xludf.DUMMYFUNCTION("""COMPUTED_VALUE"""),"10.1111/2041-210X.12696")</f>
        <v>10.1111/2041-210X.12696</v>
      </c>
      <c r="M542" s="1" t="str">
        <f ca="1">IFERROR(__xludf.DUMMYFUNCTION("""COMPUTED_VALUE"""),"Scheiner_2017")</f>
        <v>Scheiner_2017</v>
      </c>
    </row>
    <row r="543" spans="1:13" ht="13.2">
      <c r="A543" s="1" t="str">
        <f ca="1">IFERROR(__xludf.DUMMYFUNCTION("""COMPUTED_VALUE"""),"other")</f>
        <v>other</v>
      </c>
      <c r="B543" s="1" t="str">
        <f ca="1">IFERROR(__xludf.DUMMYFUNCTION("""COMPUTED_VALUE"""),"foraging strategy")</f>
        <v>foraging strategy</v>
      </c>
      <c r="C543" s="1"/>
      <c r="D543" s="1"/>
      <c r="E543" s="1" t="str">
        <f ca="1">IFERROR(__xludf.DUMMYFUNCTION("""COMPUTED_VALUE"""),"categorical")</f>
        <v>categorical</v>
      </c>
      <c r="F543" s="1" t="str">
        <f ca="1">IFERROR(__xludf.DUMMYFUNCTION("""COMPUTED_VALUE"""),".na")</f>
        <v>.na</v>
      </c>
      <c r="G543" s="1" t="str">
        <f ca="1">IFERROR(__xludf.DUMMYFUNCTION("""COMPUTED_VALUE"""),"1 = yes, 2 = no")</f>
        <v>1 = yes, 2 = no</v>
      </c>
      <c r="H543" s="1" t="str">
        <f ca="1">IFERROR(__xludf.DUMMYFUNCTION("""COMPUTED_VALUE"""),".na")</f>
        <v>.na</v>
      </c>
      <c r="I543" s="1" t="str">
        <f ca="1">IFERROR(__xludf.DUMMYFUNCTION("""COMPUTED_VALUE"""),".na")</f>
        <v>.na</v>
      </c>
      <c r="J543" s="1"/>
      <c r="K543" s="1" t="str">
        <f ca="1">IFERROR(__xludf.DUMMYFUNCTION("""COMPUTED_VALUE"""),"response")</f>
        <v>response</v>
      </c>
      <c r="L543" s="1" t="str">
        <f ca="1">IFERROR(__xludf.DUMMYFUNCTION("""COMPUTED_VALUE"""),"10.1111/2041-210X.12696")</f>
        <v>10.1111/2041-210X.12696</v>
      </c>
      <c r="M543" s="1" t="str">
        <f ca="1">IFERROR(__xludf.DUMMYFUNCTION("""COMPUTED_VALUE"""),"Scheiner_2017")</f>
        <v>Scheiner_2017</v>
      </c>
    </row>
    <row r="544" spans="1:13" ht="13.2">
      <c r="A544" s="1" t="str">
        <f ca="1">IFERROR(__xludf.DUMMYFUNCTION("""COMPUTED_VALUE"""),"mass")</f>
        <v>mass</v>
      </c>
      <c r="B544" s="1" t="str">
        <f ca="1">IFERROR(__xludf.DUMMYFUNCTION("""COMPUTED_VALUE"""),"body size")</f>
        <v>body size</v>
      </c>
      <c r="C544" s="1"/>
      <c r="D544" s="1"/>
      <c r="E544" s="1" t="str">
        <f ca="1">IFERROR(__xludf.DUMMYFUNCTION("""COMPUTED_VALUE"""),"numeric")</f>
        <v>numeric</v>
      </c>
      <c r="F544" s="1"/>
      <c r="G544" s="1" t="str">
        <f ca="1">IFERROR(__xludf.DUMMYFUNCTION("""COMPUTED_VALUE"""),".na")</f>
        <v>.na</v>
      </c>
      <c r="H544" s="1"/>
      <c r="I544" s="1"/>
      <c r="J544" s="1"/>
      <c r="K544" s="1" t="str">
        <f ca="1">IFERROR(__xludf.DUMMYFUNCTION("""COMPUTED_VALUE"""),"response")</f>
        <v>response</v>
      </c>
      <c r="L544" s="1" t="str">
        <f ca="1">IFERROR(__xludf.DUMMYFUNCTION("""COMPUTED_VALUE"""),"10.1111/2041-210X.12696")</f>
        <v>10.1111/2041-210X.12696</v>
      </c>
      <c r="M544" s="1" t="str">
        <f ca="1">IFERROR(__xludf.DUMMYFUNCTION("""COMPUTED_VALUE"""),"Scheiner_2017")</f>
        <v>Scheiner_2017</v>
      </c>
    </row>
    <row r="545" spans="1:13" ht="13.2">
      <c r="A545" s="1" t="str">
        <f ca="1">IFERROR(__xludf.DUMMYFUNCTION("""COMPUTED_VALUE"""),"forearm length")</f>
        <v>forearm length</v>
      </c>
      <c r="B545" s="1" t="str">
        <f ca="1">IFERROR(__xludf.DUMMYFUNCTION("""COMPUTED_VALUE"""),"body size")</f>
        <v>body size</v>
      </c>
      <c r="C545" s="1"/>
      <c r="D545" s="1"/>
      <c r="E545" s="1" t="str">
        <f ca="1">IFERROR(__xludf.DUMMYFUNCTION("""COMPUTED_VALUE"""),"numeric")</f>
        <v>numeric</v>
      </c>
      <c r="F545" s="1"/>
      <c r="G545" s="1" t="str">
        <f ca="1">IFERROR(__xludf.DUMMYFUNCTION("""COMPUTED_VALUE"""),".na")</f>
        <v>.na</v>
      </c>
      <c r="H545" s="1"/>
      <c r="I545" s="1"/>
      <c r="J545" s="1"/>
      <c r="K545" s="1" t="str">
        <f ca="1">IFERROR(__xludf.DUMMYFUNCTION("""COMPUTED_VALUE"""),"response")</f>
        <v>response</v>
      </c>
      <c r="L545" s="1" t="str">
        <f ca="1">IFERROR(__xludf.DUMMYFUNCTION("""COMPUTED_VALUE"""),"10.1111/2041-210X.12696")</f>
        <v>10.1111/2041-210X.12696</v>
      </c>
      <c r="M545" s="1" t="str">
        <f ca="1">IFERROR(__xludf.DUMMYFUNCTION("""COMPUTED_VALUE"""),"Scheiner_2017")</f>
        <v>Scheiner_2017</v>
      </c>
    </row>
    <row r="546" spans="1:13" ht="13.2">
      <c r="A546" s="1" t="str">
        <f ca="1">IFERROR(__xludf.DUMMYFUNCTION("""COMPUTED_VALUE"""),"greatest length of skull")</f>
        <v>greatest length of skull</v>
      </c>
      <c r="B546" s="1" t="str">
        <f ca="1">IFERROR(__xludf.DUMMYFUNCTION("""COMPUTED_VALUE"""),"masticatory mode")</f>
        <v>masticatory mode</v>
      </c>
      <c r="C546" s="1"/>
      <c r="D546" s="1"/>
      <c r="E546" s="1" t="str">
        <f ca="1">IFERROR(__xludf.DUMMYFUNCTION("""COMPUTED_VALUE"""),"numeric")</f>
        <v>numeric</v>
      </c>
      <c r="F546" s="1"/>
      <c r="G546" s="1" t="str">
        <f ca="1">IFERROR(__xludf.DUMMYFUNCTION("""COMPUTED_VALUE"""),".na")</f>
        <v>.na</v>
      </c>
      <c r="H546" s="1"/>
      <c r="I546" s="1"/>
      <c r="J546" s="1"/>
      <c r="K546" s="1" t="str">
        <f ca="1">IFERROR(__xludf.DUMMYFUNCTION("""COMPUTED_VALUE"""),"response")</f>
        <v>response</v>
      </c>
      <c r="L546" s="1" t="str">
        <f ca="1">IFERROR(__xludf.DUMMYFUNCTION("""COMPUTED_VALUE"""),"10.1111/2041-210X.12696")</f>
        <v>10.1111/2041-210X.12696</v>
      </c>
      <c r="M546" s="1" t="str">
        <f ca="1">IFERROR(__xludf.DUMMYFUNCTION("""COMPUTED_VALUE"""),"Scheiner_2017")</f>
        <v>Scheiner_2017</v>
      </c>
    </row>
    <row r="547" spans="1:13" ht="13.2">
      <c r="A547" s="1" t="str">
        <f ca="1">IFERROR(__xludf.DUMMYFUNCTION("""COMPUTED_VALUE"""),"condylobasal length")</f>
        <v>condylobasal length</v>
      </c>
      <c r="B547" s="1" t="str">
        <f ca="1">IFERROR(__xludf.DUMMYFUNCTION("""COMPUTED_VALUE"""),"masticatory mode")</f>
        <v>masticatory mode</v>
      </c>
      <c r="C547" s="1"/>
      <c r="D547" s="1"/>
      <c r="E547" s="1" t="str">
        <f ca="1">IFERROR(__xludf.DUMMYFUNCTION("""COMPUTED_VALUE"""),"numeric")</f>
        <v>numeric</v>
      </c>
      <c r="F547" s="1"/>
      <c r="G547" s="1" t="str">
        <f ca="1">IFERROR(__xludf.DUMMYFUNCTION("""COMPUTED_VALUE"""),".na")</f>
        <v>.na</v>
      </c>
      <c r="H547" s="1"/>
      <c r="I547" s="1"/>
      <c r="J547" s="1"/>
      <c r="K547" s="1" t="str">
        <f ca="1">IFERROR(__xludf.DUMMYFUNCTION("""COMPUTED_VALUE"""),"response")</f>
        <v>response</v>
      </c>
      <c r="L547" s="1" t="str">
        <f ca="1">IFERROR(__xludf.DUMMYFUNCTION("""COMPUTED_VALUE"""),"10.1111/2041-210X.12696")</f>
        <v>10.1111/2041-210X.12696</v>
      </c>
      <c r="M547" s="1" t="str">
        <f ca="1">IFERROR(__xludf.DUMMYFUNCTION("""COMPUTED_VALUE"""),"Scheiner_2017")</f>
        <v>Scheiner_2017</v>
      </c>
    </row>
    <row r="548" spans="1:13" ht="13.2">
      <c r="A548" s="1" t="str">
        <f ca="1">IFERROR(__xludf.DUMMYFUNCTION("""COMPUTED_VALUE"""),"molar tooth row length")</f>
        <v>molar tooth row length</v>
      </c>
      <c r="B548" s="1" t="str">
        <f ca="1">IFERROR(__xludf.DUMMYFUNCTION("""COMPUTED_VALUE"""),"masticatory mode")</f>
        <v>masticatory mode</v>
      </c>
      <c r="C548" s="1"/>
      <c r="D548" s="1"/>
      <c r="E548" s="1" t="str">
        <f ca="1">IFERROR(__xludf.DUMMYFUNCTION("""COMPUTED_VALUE"""),"numeric")</f>
        <v>numeric</v>
      </c>
      <c r="F548" s="1"/>
      <c r="G548" s="1" t="str">
        <f ca="1">IFERROR(__xludf.DUMMYFUNCTION("""COMPUTED_VALUE"""),".na")</f>
        <v>.na</v>
      </c>
      <c r="H548" s="1"/>
      <c r="I548" s="1"/>
      <c r="J548" s="1"/>
      <c r="K548" s="1" t="str">
        <f ca="1">IFERROR(__xludf.DUMMYFUNCTION("""COMPUTED_VALUE"""),"response")</f>
        <v>response</v>
      </c>
      <c r="L548" s="1" t="str">
        <f ca="1">IFERROR(__xludf.DUMMYFUNCTION("""COMPUTED_VALUE"""),"10.1111/2041-210X.12696")</f>
        <v>10.1111/2041-210X.12696</v>
      </c>
      <c r="M548" s="1" t="str">
        <f ca="1">IFERROR(__xludf.DUMMYFUNCTION("""COMPUTED_VALUE"""),"Scheiner_2017")</f>
        <v>Scheiner_2017</v>
      </c>
    </row>
    <row r="549" spans="1:13" ht="13.2">
      <c r="A549" s="1" t="str">
        <f ca="1">IFERROR(__xludf.DUMMYFUNCTION("""COMPUTED_VALUE"""),"breadth across molars")</f>
        <v>breadth across molars</v>
      </c>
      <c r="B549" s="1" t="str">
        <f ca="1">IFERROR(__xludf.DUMMYFUNCTION("""COMPUTED_VALUE"""),"masticatory mode")</f>
        <v>masticatory mode</v>
      </c>
      <c r="C549" s="1"/>
      <c r="D549" s="1"/>
      <c r="E549" s="1" t="str">
        <f ca="1">IFERROR(__xludf.DUMMYFUNCTION("""COMPUTED_VALUE"""),"numeric")</f>
        <v>numeric</v>
      </c>
      <c r="F549" s="1"/>
      <c r="G549" s="1" t="str">
        <f ca="1">IFERROR(__xludf.DUMMYFUNCTION("""COMPUTED_VALUE"""),".na")</f>
        <v>.na</v>
      </c>
      <c r="H549" s="1"/>
      <c r="I549" s="1"/>
      <c r="J549" s="1"/>
      <c r="K549" s="1" t="str">
        <f ca="1">IFERROR(__xludf.DUMMYFUNCTION("""COMPUTED_VALUE"""),"response")</f>
        <v>response</v>
      </c>
      <c r="L549" s="1" t="str">
        <f ca="1">IFERROR(__xludf.DUMMYFUNCTION("""COMPUTED_VALUE"""),"10.1111/2041-210X.12696")</f>
        <v>10.1111/2041-210X.12696</v>
      </c>
      <c r="M549" s="1" t="str">
        <f ca="1">IFERROR(__xludf.DUMMYFUNCTION("""COMPUTED_VALUE"""),"Scheiner_2017")</f>
        <v>Scheiner_2017</v>
      </c>
    </row>
    <row r="550" spans="1:13" ht="13.2">
      <c r="A550" s="1" t="str">
        <f ca="1">IFERROR(__xludf.DUMMYFUNCTION("""COMPUTED_VALUE"""),"post-orbital constriction")</f>
        <v>post-orbital constriction</v>
      </c>
      <c r="B550" s="1" t="str">
        <f ca="1">IFERROR(__xludf.DUMMYFUNCTION("""COMPUTED_VALUE"""),"masticatory mode")</f>
        <v>masticatory mode</v>
      </c>
      <c r="C550" s="1"/>
      <c r="D550" s="1"/>
      <c r="E550" s="1" t="str">
        <f ca="1">IFERROR(__xludf.DUMMYFUNCTION("""COMPUTED_VALUE"""),"numeric")</f>
        <v>numeric</v>
      </c>
      <c r="F550" s="1"/>
      <c r="G550" s="1" t="str">
        <f ca="1">IFERROR(__xludf.DUMMYFUNCTION("""COMPUTED_VALUE"""),".na")</f>
        <v>.na</v>
      </c>
      <c r="H550" s="1"/>
      <c r="I550" s="1"/>
      <c r="J550" s="1"/>
      <c r="K550" s="1" t="str">
        <f ca="1">IFERROR(__xludf.DUMMYFUNCTION("""COMPUTED_VALUE"""),"response")</f>
        <v>response</v>
      </c>
      <c r="L550" s="1" t="str">
        <f ca="1">IFERROR(__xludf.DUMMYFUNCTION("""COMPUTED_VALUE"""),"10.1111/2041-210X.12696")</f>
        <v>10.1111/2041-210X.12696</v>
      </c>
      <c r="M550" s="1" t="str">
        <f ca="1">IFERROR(__xludf.DUMMYFUNCTION("""COMPUTED_VALUE"""),"Scheiner_2017")</f>
        <v>Scheiner_2017</v>
      </c>
    </row>
    <row r="551" spans="1:13" ht="13.2">
      <c r="A551" s="1" t="str">
        <f ca="1">IFERROR(__xludf.DUMMYFUNCTION("""COMPUTED_VALUE"""),"breadth of braincase")</f>
        <v>breadth of braincase</v>
      </c>
      <c r="B551" s="1" t="str">
        <f ca="1">IFERROR(__xludf.DUMMYFUNCTION("""COMPUTED_VALUE"""),"masticatory mode")</f>
        <v>masticatory mode</v>
      </c>
      <c r="C551" s="1"/>
      <c r="D551" s="1"/>
      <c r="E551" s="1" t="str">
        <f ca="1">IFERROR(__xludf.DUMMYFUNCTION("""COMPUTED_VALUE"""),"numeric")</f>
        <v>numeric</v>
      </c>
      <c r="F551" s="1"/>
      <c r="G551" s="1" t="str">
        <f ca="1">IFERROR(__xludf.DUMMYFUNCTION("""COMPUTED_VALUE"""),".na")</f>
        <v>.na</v>
      </c>
      <c r="H551" s="1"/>
      <c r="I551" s="1"/>
      <c r="J551" s="1"/>
      <c r="K551" s="1" t="str">
        <f ca="1">IFERROR(__xludf.DUMMYFUNCTION("""COMPUTED_VALUE"""),"response")</f>
        <v>response</v>
      </c>
      <c r="L551" s="1" t="str">
        <f ca="1">IFERROR(__xludf.DUMMYFUNCTION("""COMPUTED_VALUE"""),"10.1111/2041-210X.12696")</f>
        <v>10.1111/2041-210X.12696</v>
      </c>
      <c r="M551" s="1" t="str">
        <f ca="1">IFERROR(__xludf.DUMMYFUNCTION("""COMPUTED_VALUE"""),"Scheiner_2017")</f>
        <v>Scheiner_2017</v>
      </c>
    </row>
    <row r="552" spans="1:13" ht="13.2">
      <c r="A552" s="1" t="str">
        <f ca="1">IFERROR(__xludf.DUMMYFUNCTION("""COMPUTED_VALUE"""),"Aspect ratio")</f>
        <v>Aspect ratio</v>
      </c>
      <c r="B552" s="1" t="str">
        <f ca="1">IFERROR(__xludf.DUMMYFUNCTION("""COMPUTED_VALUE"""),"flight ability")</f>
        <v>flight ability</v>
      </c>
      <c r="C552" s="1"/>
      <c r="D552" s="1"/>
      <c r="E552" s="1" t="str">
        <f ca="1">IFERROR(__xludf.DUMMYFUNCTION("""COMPUTED_VALUE"""),"numeric")</f>
        <v>numeric</v>
      </c>
      <c r="F552" s="1"/>
      <c r="G552" s="1" t="str">
        <f ca="1">IFERROR(__xludf.DUMMYFUNCTION("""COMPUTED_VALUE"""),".na")</f>
        <v>.na</v>
      </c>
      <c r="H552" s="1"/>
      <c r="I552" s="1"/>
      <c r="J552" s="1"/>
      <c r="K552" s="1" t="str">
        <f ca="1">IFERROR(__xludf.DUMMYFUNCTION("""COMPUTED_VALUE"""),"response")</f>
        <v>response</v>
      </c>
      <c r="L552" s="1" t="str">
        <f ca="1">IFERROR(__xludf.DUMMYFUNCTION("""COMPUTED_VALUE"""),"10.1111/2041-210X.12696")</f>
        <v>10.1111/2041-210X.12696</v>
      </c>
      <c r="M552" s="1" t="str">
        <f ca="1">IFERROR(__xludf.DUMMYFUNCTION("""COMPUTED_VALUE"""),"Scheiner_2017")</f>
        <v>Scheiner_2017</v>
      </c>
    </row>
    <row r="553" spans="1:13" ht="13.2">
      <c r="A553" s="1" t="str">
        <f ca="1">IFERROR(__xludf.DUMMYFUNCTION("""COMPUTED_VALUE"""),"wing loading")</f>
        <v>wing loading</v>
      </c>
      <c r="B553" s="1" t="str">
        <f ca="1">IFERROR(__xludf.DUMMYFUNCTION("""COMPUTED_VALUE"""),"flight ability")</f>
        <v>flight ability</v>
      </c>
      <c r="C553" s="1"/>
      <c r="D553" s="1"/>
      <c r="E553" s="1" t="str">
        <f ca="1">IFERROR(__xludf.DUMMYFUNCTION("""COMPUTED_VALUE"""),"numeric")</f>
        <v>numeric</v>
      </c>
      <c r="F553" s="1"/>
      <c r="G553" s="1" t="str">
        <f ca="1">IFERROR(__xludf.DUMMYFUNCTION("""COMPUTED_VALUE"""),".na")</f>
        <v>.na</v>
      </c>
      <c r="H553" s="1"/>
      <c r="I553" s="1"/>
      <c r="J553" s="1"/>
      <c r="K553" s="1" t="str">
        <f ca="1">IFERROR(__xludf.DUMMYFUNCTION("""COMPUTED_VALUE"""),"response")</f>
        <v>response</v>
      </c>
      <c r="L553" s="1" t="str">
        <f ca="1">IFERROR(__xludf.DUMMYFUNCTION("""COMPUTED_VALUE"""),"10.1111/2041-210X.12696")</f>
        <v>10.1111/2041-210X.12696</v>
      </c>
      <c r="M553" s="1" t="str">
        <f ca="1">IFERROR(__xludf.DUMMYFUNCTION("""COMPUTED_VALUE"""),"Scheiner_2017")</f>
        <v>Scheiner_2017</v>
      </c>
    </row>
    <row r="554" spans="1:13" ht="13.2">
      <c r="A554" s="1" t="str">
        <f ca="1">IFERROR(__xludf.DUMMYFUNCTION("""COMPUTED_VALUE"""),"forearm length")</f>
        <v>forearm length</v>
      </c>
      <c r="B554" s="1"/>
      <c r="C554" s="1"/>
      <c r="D554" s="1"/>
      <c r="E554" s="1" t="str">
        <f ca="1">IFERROR(__xludf.DUMMYFUNCTION("""COMPUTED_VALUE"""),"numeric")</f>
        <v>numeric</v>
      </c>
      <c r="F554" s="1"/>
      <c r="G554" s="1" t="str">
        <f ca="1">IFERROR(__xludf.DUMMYFUNCTION("""COMPUTED_VALUE"""),".na")</f>
        <v>.na</v>
      </c>
      <c r="H554" s="1"/>
      <c r="I554" s="1"/>
      <c r="J554" s="1"/>
      <c r="K554" s="1" t="str">
        <f ca="1">IFERROR(__xludf.DUMMYFUNCTION("""COMPUTED_VALUE"""),"response")</f>
        <v>response</v>
      </c>
      <c r="L554" s="1" t="str">
        <f ca="1">IFERROR(__xludf.DUMMYFUNCTION("""COMPUTED_VALUE"""),"10.7717/peerj.3424")</f>
        <v>10.7717/peerj.3424</v>
      </c>
      <c r="M554" s="1" t="str">
        <f ca="1">IFERROR(__xludf.DUMMYFUNCTION("""COMPUTED_VALUE"""),"Briones-Salas_2017")</f>
        <v>Briones-Salas_2017</v>
      </c>
    </row>
    <row r="555" spans="1:13" ht="13.2">
      <c r="A555" s="1" t="str">
        <f ca="1">IFERROR(__xludf.DUMMYFUNCTION("""COMPUTED_VALUE"""),"weight")</f>
        <v>weight</v>
      </c>
      <c r="B555" s="1"/>
      <c r="C555" s="1"/>
      <c r="D555" s="1"/>
      <c r="E555" s="1" t="str">
        <f ca="1">IFERROR(__xludf.DUMMYFUNCTION("""COMPUTED_VALUE"""),"numeric")</f>
        <v>numeric</v>
      </c>
      <c r="F555" s="1"/>
      <c r="G555" s="1" t="str">
        <f ca="1">IFERROR(__xludf.DUMMYFUNCTION("""COMPUTED_VALUE"""),".na")</f>
        <v>.na</v>
      </c>
      <c r="H555" s="1"/>
      <c r="I555" s="1"/>
      <c r="J555" s="1"/>
      <c r="K555" s="1" t="str">
        <f ca="1">IFERROR(__xludf.DUMMYFUNCTION("""COMPUTED_VALUE"""),"response")</f>
        <v>response</v>
      </c>
      <c r="L555" s="1" t="str">
        <f ca="1">IFERROR(__xludf.DUMMYFUNCTION("""COMPUTED_VALUE"""),"10.7717/peerj.3424")</f>
        <v>10.7717/peerj.3424</v>
      </c>
      <c r="M555" s="1" t="str">
        <f ca="1">IFERROR(__xludf.DUMMYFUNCTION("""COMPUTED_VALUE"""),"Briones-Salas_2017")</f>
        <v>Briones-Salas_2017</v>
      </c>
    </row>
    <row r="556" spans="1:13" ht="13.2">
      <c r="A556" s="1" t="str">
        <f ca="1">IFERROR(__xludf.DUMMYFUNCTION("""COMPUTED_VALUE"""),"diet")</f>
        <v>diet</v>
      </c>
      <c r="B556" s="1"/>
      <c r="C556" s="1"/>
      <c r="D556" s="1"/>
      <c r="E556" s="1" t="str">
        <f ca="1">IFERROR(__xludf.DUMMYFUNCTION("""COMPUTED_VALUE"""),"categorical")</f>
        <v>categorical</v>
      </c>
      <c r="F556" s="1" t="str">
        <f ca="1">IFERROR(__xludf.DUMMYFUNCTION("""COMPUTED_VALUE"""),".na")</f>
        <v>.na</v>
      </c>
      <c r="G556" s="1" t="str">
        <f ca="1">IFERROR(__xludf.DUMMYFUNCTION("""COMPUTED_VALUE"""),"insectivorous, frugivorous, hematophagous")</f>
        <v>insectivorous, frugivorous, hematophagous</v>
      </c>
      <c r="H556" s="1" t="str">
        <f ca="1">IFERROR(__xludf.DUMMYFUNCTION("""COMPUTED_VALUE"""),".na")</f>
        <v>.na</v>
      </c>
      <c r="I556" s="1" t="str">
        <f ca="1">IFERROR(__xludf.DUMMYFUNCTION("""COMPUTED_VALUE"""),".na")</f>
        <v>.na</v>
      </c>
      <c r="J556" s="1"/>
      <c r="K556" s="1" t="str">
        <f ca="1">IFERROR(__xludf.DUMMYFUNCTION("""COMPUTED_VALUE"""),"response")</f>
        <v>response</v>
      </c>
      <c r="L556" s="1" t="str">
        <f ca="1">IFERROR(__xludf.DUMMYFUNCTION("""COMPUTED_VALUE"""),"10.7717/peerj.3424")</f>
        <v>10.7717/peerj.3424</v>
      </c>
      <c r="M556" s="1" t="str">
        <f ca="1">IFERROR(__xludf.DUMMYFUNCTION("""COMPUTED_VALUE"""),"Briones-Salas_2017")</f>
        <v>Briones-Salas_2017</v>
      </c>
    </row>
    <row r="557" spans="1:13" ht="13.2">
      <c r="A557" s="1" t="str">
        <f ca="1">IFERROR(__xludf.DUMMYFUNCTION("""COMPUTED_VALUE"""),"flight heigth")</f>
        <v>flight heigth</v>
      </c>
      <c r="B557" s="1"/>
      <c r="C557" s="1"/>
      <c r="D557" s="1"/>
      <c r="E557" s="1" t="str">
        <f ca="1">IFERROR(__xludf.DUMMYFUNCTION("""COMPUTED_VALUE"""),"categorical")</f>
        <v>categorical</v>
      </c>
      <c r="F557" s="1" t="str">
        <f ca="1">IFERROR(__xludf.DUMMYFUNCTION("""COMPUTED_VALUE"""),".na")</f>
        <v>.na</v>
      </c>
      <c r="G557" s="1" t="str">
        <f ca="1">IFERROR(__xludf.DUMMYFUNCTION("""COMPUTED_VALUE"""),"low, medium, high")</f>
        <v>low, medium, high</v>
      </c>
      <c r="H557" s="1" t="str">
        <f ca="1">IFERROR(__xludf.DUMMYFUNCTION("""COMPUTED_VALUE"""),".na")</f>
        <v>.na</v>
      </c>
      <c r="I557" s="1" t="str">
        <f ca="1">IFERROR(__xludf.DUMMYFUNCTION("""COMPUTED_VALUE"""),".na")</f>
        <v>.na</v>
      </c>
      <c r="J557" s="1"/>
      <c r="K557" s="1" t="str">
        <f ca="1">IFERROR(__xludf.DUMMYFUNCTION("""COMPUTED_VALUE"""),"response")</f>
        <v>response</v>
      </c>
      <c r="L557" s="1" t="str">
        <f ca="1">IFERROR(__xludf.DUMMYFUNCTION("""COMPUTED_VALUE"""),"10.7717/peerj.3424")</f>
        <v>10.7717/peerj.3424</v>
      </c>
      <c r="M557" s="1" t="str">
        <f ca="1">IFERROR(__xludf.DUMMYFUNCTION("""COMPUTED_VALUE"""),"Briones-Salas_2017")</f>
        <v>Briones-Salas_2017</v>
      </c>
    </row>
    <row r="558" spans="1:13" ht="13.2">
      <c r="A558" s="1" t="str">
        <f ca="1">IFERROR(__xludf.DUMMYFUNCTION("""COMPUTED_VALUE"""),"echolocation call type")</f>
        <v>echolocation call type</v>
      </c>
      <c r="B558" s="1"/>
      <c r="C558" s="1"/>
      <c r="D558" s="1"/>
      <c r="E558" s="1" t="str">
        <f ca="1">IFERROR(__xludf.DUMMYFUNCTION("""COMPUTED_VALUE"""),"categorical")</f>
        <v>categorical</v>
      </c>
      <c r="F558" s="1" t="str">
        <f ca="1">IFERROR(__xludf.DUMMYFUNCTION("""COMPUTED_VALUE"""),".na")</f>
        <v>.na</v>
      </c>
      <c r="G558" s="1" t="str">
        <f ca="1">IFERROR(__xludf.DUMMYFUNCTION("""COMPUTED_VALUE"""),"N = no call, CF = constant frequency call, FM.QCF = frequency modulated call with a quasi-constant frequency tail, FMmult = multi-harmonic frequency modulated call, FM = frequency modulated call, Clk = click call")</f>
        <v>N = no call, CF = constant frequency call, FM.QCF = frequency modulated call with a quasi-constant frequency tail, FMmult = multi-harmonic frequency modulated call, FM = frequency modulated call, Clk = click call</v>
      </c>
      <c r="H558" s="1" t="str">
        <f ca="1">IFERROR(__xludf.DUMMYFUNCTION("""COMPUTED_VALUE"""),".na")</f>
        <v>.na</v>
      </c>
      <c r="I558" s="1" t="str">
        <f ca="1">IFERROR(__xludf.DUMMYFUNCTION("""COMPUTED_VALUE"""),".na")</f>
        <v>.na</v>
      </c>
      <c r="J558" s="1"/>
      <c r="K558" s="1" t="str">
        <f ca="1">IFERROR(__xludf.DUMMYFUNCTION("""COMPUTED_VALUE"""),"response")</f>
        <v>response</v>
      </c>
      <c r="L558" s="1" t="str">
        <f ca="1">IFERROR(__xludf.DUMMYFUNCTION("""COMPUTED_VALUE"""),"10.1016/j.biocon.2017.03.026")</f>
        <v>10.1016/j.biocon.2017.03.026</v>
      </c>
      <c r="M558" s="1" t="str">
        <f ca="1">IFERROR(__xludf.DUMMYFUNCTION("""COMPUTED_VALUE"""),"Wordley_2017")</f>
        <v>Wordley_2017</v>
      </c>
    </row>
    <row r="559" spans="1:13" ht="13.2">
      <c r="A559" s="1" t="str">
        <f ca="1">IFERROR(__xludf.DUMMYFUNCTION("""COMPUTED_VALUE"""),"diet")</f>
        <v>diet</v>
      </c>
      <c r="B559" s="1"/>
      <c r="C559" s="1"/>
      <c r="D559" s="1"/>
      <c r="E559" s="1" t="str">
        <f ca="1">IFERROR(__xludf.DUMMYFUNCTION("""COMPUTED_VALUE"""),"categorical")</f>
        <v>categorical</v>
      </c>
      <c r="F559" s="1" t="str">
        <f ca="1">IFERROR(__xludf.DUMMYFUNCTION("""COMPUTED_VALUE"""),".na")</f>
        <v>.na</v>
      </c>
      <c r="G559" s="1" t="str">
        <f ca="1">IFERROR(__xludf.DUMMYFUNCTION("""COMPUTED_VALUE"""),"Fru = frugivore, Ins = insectivore, Car = insectivore and carnivore")</f>
        <v>Fru = frugivore, Ins = insectivore, Car = insectivore and carnivore</v>
      </c>
      <c r="H559" s="1" t="str">
        <f ca="1">IFERROR(__xludf.DUMMYFUNCTION("""COMPUTED_VALUE"""),".na")</f>
        <v>.na</v>
      </c>
      <c r="I559" s="1" t="str">
        <f ca="1">IFERROR(__xludf.DUMMYFUNCTION("""COMPUTED_VALUE"""),".na")</f>
        <v>.na</v>
      </c>
      <c r="J559" s="1"/>
      <c r="K559" s="1" t="str">
        <f ca="1">IFERROR(__xludf.DUMMYFUNCTION("""COMPUTED_VALUE"""),"response")</f>
        <v>response</v>
      </c>
      <c r="L559" s="1" t="str">
        <f ca="1">IFERROR(__xludf.DUMMYFUNCTION("""COMPUTED_VALUE"""),"10.1016/j.biocon.2017.03.026")</f>
        <v>10.1016/j.biocon.2017.03.026</v>
      </c>
      <c r="M559" s="1" t="str">
        <f ca="1">IFERROR(__xludf.DUMMYFUNCTION("""COMPUTED_VALUE"""),"Wordley_2017")</f>
        <v>Wordley_2017</v>
      </c>
    </row>
    <row r="560" spans="1:13" ht="13.2">
      <c r="A560" s="1" t="str">
        <f ca="1">IFERROR(__xludf.DUMMYFUNCTION("""COMPUTED_VALUE"""),"frequency of maximum energy")</f>
        <v>frequency of maximum energy</v>
      </c>
      <c r="B560" s="1"/>
      <c r="C560" s="1"/>
      <c r="D560" s="1"/>
      <c r="E560" s="1" t="str">
        <f ca="1">IFERROR(__xludf.DUMMYFUNCTION("""COMPUTED_VALUE"""),"numeric")</f>
        <v>numeric</v>
      </c>
      <c r="F560" s="1"/>
      <c r="G560" s="1" t="str">
        <f ca="1">IFERROR(__xludf.DUMMYFUNCTION("""COMPUTED_VALUE"""),".na")</f>
        <v>.na</v>
      </c>
      <c r="H560" s="1"/>
      <c r="I560" s="1"/>
      <c r="J560" s="1"/>
      <c r="K560" s="1" t="str">
        <f ca="1">IFERROR(__xludf.DUMMYFUNCTION("""COMPUTED_VALUE"""),"response")</f>
        <v>response</v>
      </c>
      <c r="L560" s="1" t="str">
        <f ca="1">IFERROR(__xludf.DUMMYFUNCTION("""COMPUTED_VALUE"""),"10.1016/j.biocon.2017.03.026")</f>
        <v>10.1016/j.biocon.2017.03.026</v>
      </c>
      <c r="M560" s="1" t="str">
        <f ca="1">IFERROR(__xludf.DUMMYFUNCTION("""COMPUTED_VALUE"""),"Wordley_2017")</f>
        <v>Wordley_2017</v>
      </c>
    </row>
    <row r="561" spans="1:13" ht="13.2">
      <c r="A561" s="1" t="str">
        <f ca="1">IFERROR(__xludf.DUMMYFUNCTION("""COMPUTED_VALUE"""),"forearm length")</f>
        <v>forearm length</v>
      </c>
      <c r="B561" s="1"/>
      <c r="C561" s="1"/>
      <c r="D561" s="1"/>
      <c r="E561" s="1" t="str">
        <f ca="1">IFERROR(__xludf.DUMMYFUNCTION("""COMPUTED_VALUE"""),"numeric")</f>
        <v>numeric</v>
      </c>
      <c r="F561" s="1"/>
      <c r="G561" s="1" t="str">
        <f ca="1">IFERROR(__xludf.DUMMYFUNCTION("""COMPUTED_VALUE"""),".na")</f>
        <v>.na</v>
      </c>
      <c r="H561" s="1"/>
      <c r="I561" s="1"/>
      <c r="J561" s="1"/>
      <c r="K561" s="1" t="str">
        <f ca="1">IFERROR(__xludf.DUMMYFUNCTION("""COMPUTED_VALUE"""),"response")</f>
        <v>response</v>
      </c>
      <c r="L561" s="1" t="str">
        <f ca="1">IFERROR(__xludf.DUMMYFUNCTION("""COMPUTED_VALUE"""),"10.1016/j.biocon.2017.03.026")</f>
        <v>10.1016/j.biocon.2017.03.026</v>
      </c>
      <c r="M561" s="1" t="str">
        <f ca="1">IFERROR(__xludf.DUMMYFUNCTION("""COMPUTED_VALUE"""),"Wordley_2017")</f>
        <v>Wordley_2017</v>
      </c>
    </row>
    <row r="562" spans="1:13" ht="13.2">
      <c r="A562" s="1" t="str">
        <f ca="1">IFERROR(__xludf.DUMMYFUNCTION("""COMPUTED_VALUE"""),"wing aspect ratio")</f>
        <v>wing aspect ratio</v>
      </c>
      <c r="B562" s="1"/>
      <c r="C562" s="1"/>
      <c r="D562" s="1"/>
      <c r="E562" s="1" t="str">
        <f ca="1">IFERROR(__xludf.DUMMYFUNCTION("""COMPUTED_VALUE"""),"numeric")</f>
        <v>numeric</v>
      </c>
      <c r="F562" s="1"/>
      <c r="G562" s="1" t="str">
        <f ca="1">IFERROR(__xludf.DUMMYFUNCTION("""COMPUTED_VALUE"""),".na")</f>
        <v>.na</v>
      </c>
      <c r="H562" s="1"/>
      <c r="I562" s="1"/>
      <c r="J562" s="1"/>
      <c r="K562" s="1" t="str">
        <f ca="1">IFERROR(__xludf.DUMMYFUNCTION("""COMPUTED_VALUE"""),"response")</f>
        <v>response</v>
      </c>
      <c r="L562" s="1" t="str">
        <f ca="1">IFERROR(__xludf.DUMMYFUNCTION("""COMPUTED_VALUE"""),"10.1016/j.biocon.2017.03.026")</f>
        <v>10.1016/j.biocon.2017.03.026</v>
      </c>
      <c r="M562" s="1" t="str">
        <f ca="1">IFERROR(__xludf.DUMMYFUNCTION("""COMPUTED_VALUE"""),"Wordley_2017")</f>
        <v>Wordley_2017</v>
      </c>
    </row>
    <row r="563" spans="1:13" ht="13.2">
      <c r="A563" s="1" t="str">
        <f ca="1">IFERROR(__xludf.DUMMYFUNCTION("""COMPUTED_VALUE"""),"relative wing loading")</f>
        <v>relative wing loading</v>
      </c>
      <c r="B563" s="1"/>
      <c r="C563" s="1"/>
      <c r="D563" s="1"/>
      <c r="E563" s="1" t="str">
        <f ca="1">IFERROR(__xludf.DUMMYFUNCTION("""COMPUTED_VALUE"""),"numeric")</f>
        <v>numeric</v>
      </c>
      <c r="F563" s="1"/>
      <c r="G563" s="1" t="str">
        <f ca="1">IFERROR(__xludf.DUMMYFUNCTION("""COMPUTED_VALUE"""),".na")</f>
        <v>.na</v>
      </c>
      <c r="H563" s="1"/>
      <c r="I563" s="1"/>
      <c r="J563" s="1"/>
      <c r="K563" s="1" t="str">
        <f ca="1">IFERROR(__xludf.DUMMYFUNCTION("""COMPUTED_VALUE"""),"response")</f>
        <v>response</v>
      </c>
      <c r="L563" s="1" t="str">
        <f ca="1">IFERROR(__xludf.DUMMYFUNCTION("""COMPUTED_VALUE"""),"10.1016/j.biocon.2017.03.026")</f>
        <v>10.1016/j.biocon.2017.03.026</v>
      </c>
      <c r="M563" s="1" t="str">
        <f ca="1">IFERROR(__xludf.DUMMYFUNCTION("""COMPUTED_VALUE"""),"Wordley_2017")</f>
        <v>Wordley_2017</v>
      </c>
    </row>
    <row r="564" spans="1:13" ht="13.2">
      <c r="A564" s="1" t="str">
        <f ca="1">IFERROR(__xludf.DUMMYFUNCTION("""COMPUTED_VALUE"""),"forearm size")</f>
        <v>forearm size</v>
      </c>
      <c r="B564" s="1"/>
      <c r="C564" s="1"/>
      <c r="D564" s="1"/>
      <c r="E564" s="1" t="str">
        <f ca="1">IFERROR(__xludf.DUMMYFUNCTION("""COMPUTED_VALUE"""),"numeric")</f>
        <v>numeric</v>
      </c>
      <c r="F564" s="1"/>
      <c r="G564" s="1" t="str">
        <f ca="1">IFERROR(__xludf.DUMMYFUNCTION("""COMPUTED_VALUE"""),".na")</f>
        <v>.na</v>
      </c>
      <c r="H564" s="1"/>
      <c r="I564" s="1"/>
      <c r="J564" s="1"/>
      <c r="K564" s="1" t="str">
        <f ca="1">IFERROR(__xludf.DUMMYFUNCTION("""COMPUTED_VALUE"""),"response")</f>
        <v>response</v>
      </c>
      <c r="L564" s="1" t="str">
        <f ca="1">IFERROR(__xludf.DUMMYFUNCTION("""COMPUTED_VALUE"""),"10.1371/journal.pone.0166765")</f>
        <v>10.1371/journal.pone.0166765</v>
      </c>
      <c r="M564" s="1" t="str">
        <f ca="1">IFERROR(__xludf.DUMMYFUNCTION("""COMPUTED_VALUE"""),"García-Morales_2016")</f>
        <v>García-Morales_2016</v>
      </c>
    </row>
    <row r="565" spans="1:13" ht="13.2">
      <c r="A565" s="1" t="str">
        <f ca="1">IFERROR(__xludf.DUMMYFUNCTION("""COMPUTED_VALUE"""),"wingspan")</f>
        <v>wingspan</v>
      </c>
      <c r="B565" s="1"/>
      <c r="C565" s="1"/>
      <c r="D565" s="1"/>
      <c r="E565" s="1" t="str">
        <f ca="1">IFERROR(__xludf.DUMMYFUNCTION("""COMPUTED_VALUE"""),"numeric")</f>
        <v>numeric</v>
      </c>
      <c r="F565" s="1"/>
      <c r="G565" s="1" t="str">
        <f ca="1">IFERROR(__xludf.DUMMYFUNCTION("""COMPUTED_VALUE"""),".na")</f>
        <v>.na</v>
      </c>
      <c r="H565" s="1"/>
      <c r="I565" s="1"/>
      <c r="J565" s="1"/>
      <c r="K565" s="1" t="str">
        <f ca="1">IFERROR(__xludf.DUMMYFUNCTION("""COMPUTED_VALUE"""),"response")</f>
        <v>response</v>
      </c>
      <c r="L565" s="1" t="str">
        <f ca="1">IFERROR(__xludf.DUMMYFUNCTION("""COMPUTED_VALUE"""),"10.1371/journal.pone.0166765")</f>
        <v>10.1371/journal.pone.0166765</v>
      </c>
      <c r="M565" s="1" t="str">
        <f ca="1">IFERROR(__xludf.DUMMYFUNCTION("""COMPUTED_VALUE"""),"García-Morales_2016")</f>
        <v>García-Morales_2016</v>
      </c>
    </row>
    <row r="566" spans="1:13" ht="13.2">
      <c r="A566" s="1" t="str">
        <f ca="1">IFERROR(__xludf.DUMMYFUNCTION("""COMPUTED_VALUE"""),"total wing area")</f>
        <v>total wing area</v>
      </c>
      <c r="B566" s="1"/>
      <c r="C566" s="1"/>
      <c r="D566" s="1"/>
      <c r="E566" s="1" t="str">
        <f ca="1">IFERROR(__xludf.DUMMYFUNCTION("""COMPUTED_VALUE"""),"numeric")</f>
        <v>numeric</v>
      </c>
      <c r="F566" s="1"/>
      <c r="G566" s="1" t="str">
        <f ca="1">IFERROR(__xludf.DUMMYFUNCTION("""COMPUTED_VALUE"""),".na")</f>
        <v>.na</v>
      </c>
      <c r="H566" s="1"/>
      <c r="I566" s="1"/>
      <c r="J566" s="1"/>
      <c r="K566" s="1" t="str">
        <f ca="1">IFERROR(__xludf.DUMMYFUNCTION("""COMPUTED_VALUE"""),"response")</f>
        <v>response</v>
      </c>
      <c r="L566" s="1" t="str">
        <f ca="1">IFERROR(__xludf.DUMMYFUNCTION("""COMPUTED_VALUE"""),"10.1371/journal.pone.0166765")</f>
        <v>10.1371/journal.pone.0166765</v>
      </c>
      <c r="M566" s="1" t="str">
        <f ca="1">IFERROR(__xludf.DUMMYFUNCTION("""COMPUTED_VALUE"""),"García-Morales_2016")</f>
        <v>García-Morales_2016</v>
      </c>
    </row>
    <row r="567" spans="1:13" ht="13.2">
      <c r="A567" s="1" t="str">
        <f ca="1">IFERROR(__xludf.DUMMYFUNCTION("""COMPUTED_VALUE"""),"wing loading")</f>
        <v>wing loading</v>
      </c>
      <c r="B567" s="1"/>
      <c r="C567" s="1"/>
      <c r="D567" s="1"/>
      <c r="E567" s="1" t="str">
        <f ca="1">IFERROR(__xludf.DUMMYFUNCTION("""COMPUTED_VALUE"""),"numeric")</f>
        <v>numeric</v>
      </c>
      <c r="F567" s="1"/>
      <c r="G567" s="1" t="str">
        <f ca="1">IFERROR(__xludf.DUMMYFUNCTION("""COMPUTED_VALUE"""),".na")</f>
        <v>.na</v>
      </c>
      <c r="H567" s="1"/>
      <c r="I567" s="1"/>
      <c r="J567" s="1"/>
      <c r="K567" s="1" t="str">
        <f ca="1">IFERROR(__xludf.DUMMYFUNCTION("""COMPUTED_VALUE"""),"response")</f>
        <v>response</v>
      </c>
      <c r="L567" s="1" t="str">
        <f ca="1">IFERROR(__xludf.DUMMYFUNCTION("""COMPUTED_VALUE"""),"10.1371/journal.pone.0166765")</f>
        <v>10.1371/journal.pone.0166765</v>
      </c>
      <c r="M567" s="1" t="str">
        <f ca="1">IFERROR(__xludf.DUMMYFUNCTION("""COMPUTED_VALUE"""),"García-Morales_2016")</f>
        <v>García-Morales_2016</v>
      </c>
    </row>
    <row r="568" spans="1:13" ht="13.2">
      <c r="A568" s="1" t="str">
        <f ca="1">IFERROR(__xludf.DUMMYFUNCTION("""COMPUTED_VALUE"""),"aspect ratio")</f>
        <v>aspect ratio</v>
      </c>
      <c r="B568" s="1"/>
      <c r="C568" s="1"/>
      <c r="D568" s="1"/>
      <c r="E568" s="1" t="str">
        <f ca="1">IFERROR(__xludf.DUMMYFUNCTION("""COMPUTED_VALUE"""),"numeric")</f>
        <v>numeric</v>
      </c>
      <c r="F568" s="1"/>
      <c r="G568" s="1" t="str">
        <f ca="1">IFERROR(__xludf.DUMMYFUNCTION("""COMPUTED_VALUE"""),".na")</f>
        <v>.na</v>
      </c>
      <c r="H568" s="1"/>
      <c r="I568" s="1"/>
      <c r="J568" s="1"/>
      <c r="K568" s="1" t="str">
        <f ca="1">IFERROR(__xludf.DUMMYFUNCTION("""COMPUTED_VALUE"""),"response")</f>
        <v>response</v>
      </c>
      <c r="L568" s="1" t="str">
        <f ca="1">IFERROR(__xludf.DUMMYFUNCTION("""COMPUTED_VALUE"""),"10.1371/journal.pone.0166765")</f>
        <v>10.1371/journal.pone.0166765</v>
      </c>
      <c r="M568" s="1" t="str">
        <f ca="1">IFERROR(__xludf.DUMMYFUNCTION("""COMPUTED_VALUE"""),"García-Morales_2016")</f>
        <v>García-Morales_2016</v>
      </c>
    </row>
    <row r="569" spans="1:13" ht="13.2">
      <c r="A569" s="1" t="str">
        <f ca="1">IFERROR(__xludf.DUMMYFUNCTION("""COMPUTED_VALUE"""),"body weight")</f>
        <v>body weight</v>
      </c>
      <c r="B569" s="1"/>
      <c r="C569" s="1"/>
      <c r="D569" s="1"/>
      <c r="E569" s="1" t="str">
        <f ca="1">IFERROR(__xludf.DUMMYFUNCTION("""COMPUTED_VALUE"""),"numeric")</f>
        <v>numeric</v>
      </c>
      <c r="F569" s="1"/>
      <c r="G569" s="1" t="str">
        <f ca="1">IFERROR(__xludf.DUMMYFUNCTION("""COMPUTED_VALUE"""),".na")</f>
        <v>.na</v>
      </c>
      <c r="H569" s="1"/>
      <c r="I569" s="1"/>
      <c r="J569" s="1"/>
      <c r="K569" s="1" t="str">
        <f ca="1">IFERROR(__xludf.DUMMYFUNCTION("""COMPUTED_VALUE"""),"response")</f>
        <v>response</v>
      </c>
      <c r="L569" s="1" t="str">
        <f ca="1">IFERROR(__xludf.DUMMYFUNCTION("""COMPUTED_VALUE"""),"10.1371/journal.pone.0166765")</f>
        <v>10.1371/journal.pone.0166765</v>
      </c>
      <c r="M569" s="1" t="str">
        <f ca="1">IFERROR(__xludf.DUMMYFUNCTION("""COMPUTED_VALUE"""),"García-Morales_2016")</f>
        <v>García-Morales_2016</v>
      </c>
    </row>
    <row r="570" spans="1:13" ht="13.2">
      <c r="A570" s="1" t="str">
        <f ca="1">IFERROR(__xludf.DUMMYFUNCTION("""COMPUTED_VALUE"""),"diet")</f>
        <v>diet</v>
      </c>
      <c r="B570" s="1"/>
      <c r="C570" s="1"/>
      <c r="D570" s="1"/>
      <c r="E570" s="1" t="str">
        <f ca="1">IFERROR(__xludf.DUMMYFUNCTION("""COMPUTED_VALUE"""),"categorical")</f>
        <v>categorical</v>
      </c>
      <c r="F570" s="1" t="str">
        <f ca="1">IFERROR(__xludf.DUMMYFUNCTION("""COMPUTED_VALUE"""),".na")</f>
        <v>.na</v>
      </c>
      <c r="G570" s="1" t="str">
        <f ca="1">IFERROR(__xludf.DUMMYFUNCTION("""COMPUTED_VALUE"""),"frugivorous 1, frugivorous 2, frugivorous 3, frugivorous 4, nectarivorous, insectivorous, hematophage")</f>
        <v>frugivorous 1, frugivorous 2, frugivorous 3, frugivorous 4, nectarivorous, insectivorous, hematophage</v>
      </c>
      <c r="H570" s="1" t="str">
        <f ca="1">IFERROR(__xludf.DUMMYFUNCTION("""COMPUTED_VALUE"""),".na")</f>
        <v>.na</v>
      </c>
      <c r="I570" s="1" t="str">
        <f ca="1">IFERROR(__xludf.DUMMYFUNCTION("""COMPUTED_VALUE"""),".na")</f>
        <v>.na</v>
      </c>
      <c r="J570" s="1"/>
      <c r="K570" s="1" t="str">
        <f ca="1">IFERROR(__xludf.DUMMYFUNCTION("""COMPUTED_VALUE"""),"response")</f>
        <v>response</v>
      </c>
      <c r="L570" s="1" t="str">
        <f ca="1">IFERROR(__xludf.DUMMYFUNCTION("""COMPUTED_VALUE"""),"10.1371/journal.pone.0166765")</f>
        <v>10.1371/journal.pone.0166765</v>
      </c>
      <c r="M570" s="1" t="str">
        <f ca="1">IFERROR(__xludf.DUMMYFUNCTION("""COMPUTED_VALUE"""),"García-Morales_2016")</f>
        <v>García-Morales_2016</v>
      </c>
    </row>
    <row r="571" spans="1:13" ht="13.2">
      <c r="A571" s="1" t="str">
        <f ca="1">IFERROR(__xludf.DUMMYFUNCTION("""COMPUTED_VALUE"""),"conservation status")</f>
        <v>conservation status</v>
      </c>
      <c r="B571" s="1"/>
      <c r="C571" s="1"/>
      <c r="D571" s="1"/>
      <c r="E571" s="1" t="str">
        <f ca="1">IFERROR(__xludf.DUMMYFUNCTION("""COMPUTED_VALUE"""),"categorical")</f>
        <v>categorical</v>
      </c>
      <c r="F571" s="1" t="str">
        <f ca="1">IFERROR(__xludf.DUMMYFUNCTION("""COMPUTED_VALUE"""),".na")</f>
        <v>.na</v>
      </c>
      <c r="G571" s="1" t="str">
        <f ca="1">IFERROR(__xludf.DUMMYFUNCTION("""COMPUTED_VALUE"""),"Least Concern, Near-threatened, Vulnerable")</f>
        <v>Least Concern, Near-threatened, Vulnerable</v>
      </c>
      <c r="H571" s="1" t="str">
        <f ca="1">IFERROR(__xludf.DUMMYFUNCTION("""COMPUTED_VALUE"""),".na")</f>
        <v>.na</v>
      </c>
      <c r="I571" s="1" t="str">
        <f ca="1">IFERROR(__xludf.DUMMYFUNCTION("""COMPUTED_VALUE"""),".na")</f>
        <v>.na</v>
      </c>
      <c r="J571" s="1"/>
      <c r="K571" s="1" t="str">
        <f ca="1">IFERROR(__xludf.DUMMYFUNCTION("""COMPUTED_VALUE"""),"response")</f>
        <v>response</v>
      </c>
      <c r="L571" s="1" t="str">
        <f ca="1">IFERROR(__xludf.DUMMYFUNCTION("""COMPUTED_VALUE"""),"10.1007/s00442-016-3671-9")</f>
        <v>10.1007/s00442-016-3671-9</v>
      </c>
      <c r="M571" s="1" t="str">
        <f ca="1">IFERROR(__xludf.DUMMYFUNCTION("""COMPUTED_VALUE"""),"Charbonnier_2016")</f>
        <v>Charbonnier_2016</v>
      </c>
    </row>
    <row r="572" spans="1:13" ht="13.2">
      <c r="A572" s="1" t="str">
        <f ca="1">IFERROR(__xludf.DUMMYFUNCTION("""COMPUTED_VALUE"""),"biogeographical range")</f>
        <v>biogeographical range</v>
      </c>
      <c r="B572" s="1"/>
      <c r="C572" s="1"/>
      <c r="D572" s="1"/>
      <c r="E572" s="1" t="str">
        <f ca="1">IFERROR(__xludf.DUMMYFUNCTION("""COMPUTED_VALUE"""),"categorical")</f>
        <v>categorical</v>
      </c>
      <c r="F572" s="1" t="str">
        <f ca="1">IFERROR(__xludf.DUMMYFUNCTION("""COMPUTED_VALUE"""),".na")</f>
        <v>.na</v>
      </c>
      <c r="G572" s="1" t="str">
        <f ca="1">IFERROR(__xludf.DUMMYFUNCTION("""COMPUTED_VALUE"""),"Northern, Widespread, Southern")</f>
        <v>Northern, Widespread, Southern</v>
      </c>
      <c r="H572" s="1" t="str">
        <f ca="1">IFERROR(__xludf.DUMMYFUNCTION("""COMPUTED_VALUE"""),".na")</f>
        <v>.na</v>
      </c>
      <c r="I572" s="1" t="str">
        <f ca="1">IFERROR(__xludf.DUMMYFUNCTION("""COMPUTED_VALUE"""),".na")</f>
        <v>.na</v>
      </c>
      <c r="J572" s="1"/>
      <c r="K572" s="1" t="str">
        <f ca="1">IFERROR(__xludf.DUMMYFUNCTION("""COMPUTED_VALUE"""),"response")</f>
        <v>response</v>
      </c>
      <c r="L572" s="1" t="str">
        <f ca="1">IFERROR(__xludf.DUMMYFUNCTION("""COMPUTED_VALUE"""),"10.1007/s00442-016-3671-9")</f>
        <v>10.1007/s00442-016-3671-9</v>
      </c>
      <c r="M572" s="1" t="str">
        <f ca="1">IFERROR(__xludf.DUMMYFUNCTION("""COMPUTED_VALUE"""),"Charbonnier_2016")</f>
        <v>Charbonnier_2016</v>
      </c>
    </row>
    <row r="573" spans="1:13" ht="13.2">
      <c r="A573" s="1" t="str">
        <f ca="1">IFERROR(__xludf.DUMMYFUNCTION("""COMPUTED_VALUE"""),"Diet specialisation")</f>
        <v>Diet specialisation</v>
      </c>
      <c r="B573" s="1"/>
      <c r="C573" s="1"/>
      <c r="D573" s="1"/>
      <c r="E573" s="1" t="str">
        <f ca="1">IFERROR(__xludf.DUMMYFUNCTION("""COMPUTED_VALUE"""),"categorical")</f>
        <v>categorical</v>
      </c>
      <c r="F573" s="1" t="str">
        <f ca="1">IFERROR(__xludf.DUMMYFUNCTION("""COMPUTED_VALUE"""),".na")</f>
        <v>.na</v>
      </c>
      <c r="G573" s="1" t="str">
        <f ca="1">IFERROR(__xludf.DUMMYFUNCTION("""COMPUTED_VALUE"""),"Generalist, Intermediate, Specialist")</f>
        <v>Generalist, Intermediate, Specialist</v>
      </c>
      <c r="H573" s="1" t="str">
        <f ca="1">IFERROR(__xludf.DUMMYFUNCTION("""COMPUTED_VALUE"""),".na")</f>
        <v>.na</v>
      </c>
      <c r="I573" s="1" t="str">
        <f ca="1">IFERROR(__xludf.DUMMYFUNCTION("""COMPUTED_VALUE"""),".na")</f>
        <v>.na</v>
      </c>
      <c r="J573" s="1"/>
      <c r="K573" s="1" t="str">
        <f ca="1">IFERROR(__xludf.DUMMYFUNCTION("""COMPUTED_VALUE"""),"response")</f>
        <v>response</v>
      </c>
      <c r="L573" s="1" t="str">
        <f ca="1">IFERROR(__xludf.DUMMYFUNCTION("""COMPUTED_VALUE"""),"10.1007/s00442-016-3671-9")</f>
        <v>10.1007/s00442-016-3671-9</v>
      </c>
      <c r="M573" s="1" t="str">
        <f ca="1">IFERROR(__xludf.DUMMYFUNCTION("""COMPUTED_VALUE"""),"Charbonnier_2016")</f>
        <v>Charbonnier_2016</v>
      </c>
    </row>
    <row r="574" spans="1:13" ht="13.2">
      <c r="A574" s="1" t="str">
        <f ca="1">IFERROR(__xludf.DUMMYFUNCTION("""COMPUTED_VALUE"""),"foraging guild")</f>
        <v>foraging guild</v>
      </c>
      <c r="B574" s="1"/>
      <c r="C574" s="1"/>
      <c r="D574" s="1"/>
      <c r="E574" s="1" t="str">
        <f ca="1">IFERROR(__xludf.DUMMYFUNCTION("""COMPUTED_VALUE"""),"categorical")</f>
        <v>categorical</v>
      </c>
      <c r="F574" s="1" t="str">
        <f ca="1">IFERROR(__xludf.DUMMYFUNCTION("""COMPUTED_VALUE"""),".na")</f>
        <v>.na</v>
      </c>
      <c r="G574" s="1" t="str">
        <f ca="1">IFERROR(__xludf.DUMMYFUNCTION("""COMPUTED_VALUE"""),"
Gleaning, Mixed Gleaning/flying, Flying edge/close, Flying open")</f>
        <v xml:space="preserve">
Gleaning, Mixed Gleaning/flying, Flying edge/close, Flying open</v>
      </c>
      <c r="H574" s="1" t="str">
        <f ca="1">IFERROR(__xludf.DUMMYFUNCTION("""COMPUTED_VALUE"""),".na")</f>
        <v>.na</v>
      </c>
      <c r="I574" s="1" t="str">
        <f ca="1">IFERROR(__xludf.DUMMYFUNCTION("""COMPUTED_VALUE"""),".na")</f>
        <v>.na</v>
      </c>
      <c r="J574" s="1"/>
      <c r="K574" s="1" t="str">
        <f ca="1">IFERROR(__xludf.DUMMYFUNCTION("""COMPUTED_VALUE"""),"response")</f>
        <v>response</v>
      </c>
      <c r="L574" s="1" t="str">
        <f ca="1">IFERROR(__xludf.DUMMYFUNCTION("""COMPUTED_VALUE"""),"10.1007/s00442-016-3671-9")</f>
        <v>10.1007/s00442-016-3671-9</v>
      </c>
      <c r="M574" s="1" t="str">
        <f ca="1">IFERROR(__xludf.DUMMYFUNCTION("""COMPUTED_VALUE"""),"Charbonnier_2016")</f>
        <v>Charbonnier_2016</v>
      </c>
    </row>
    <row r="575" spans="1:13" ht="13.2">
      <c r="A575" s="1" t="str">
        <f ca="1">IFERROR(__xludf.DUMMYFUNCTION("""COMPUTED_VALUE"""),"fecundity")</f>
        <v>fecundity</v>
      </c>
      <c r="B575" s="1"/>
      <c r="C575" s="1"/>
      <c r="D575" s="1"/>
      <c r="E575" s="1" t="str">
        <f ca="1">IFERROR(__xludf.DUMMYFUNCTION("""COMPUTED_VALUE"""),"numeric")</f>
        <v>numeric</v>
      </c>
      <c r="F575" s="1" t="str">
        <f ca="1">IFERROR(__xludf.DUMMYFUNCTION("""COMPUTED_VALUE"""),"offspring")</f>
        <v>offspring</v>
      </c>
      <c r="G575" s="1" t="str">
        <f ca="1">IFERROR(__xludf.DUMMYFUNCTION("""COMPUTED_VALUE"""),".na")</f>
        <v>.na</v>
      </c>
      <c r="H575" s="1">
        <f ca="1">IFERROR(__xludf.DUMMYFUNCTION("""COMPUTED_VALUE"""),3)</f>
        <v>3</v>
      </c>
      <c r="I575" s="1">
        <f ca="1">IFERROR(__xludf.DUMMYFUNCTION("""COMPUTED_VALUE"""),1)</f>
        <v>1</v>
      </c>
      <c r="J575" s="1"/>
      <c r="K575" s="1" t="str">
        <f ca="1">IFERROR(__xludf.DUMMYFUNCTION("""COMPUTED_VALUE"""),"response")</f>
        <v>response</v>
      </c>
      <c r="L575" s="1" t="str">
        <f ca="1">IFERROR(__xludf.DUMMYFUNCTION("""COMPUTED_VALUE"""),"10.1007/s00442-016-3671-9")</f>
        <v>10.1007/s00442-016-3671-9</v>
      </c>
      <c r="M575" s="1" t="str">
        <f ca="1">IFERROR(__xludf.DUMMYFUNCTION("""COMPUTED_VALUE"""),"Charbonnier_2016")</f>
        <v>Charbonnier_2016</v>
      </c>
    </row>
    <row r="576" spans="1:13" ht="13.2">
      <c r="A576" s="1" t="str">
        <f ca="1">IFERROR(__xludf.DUMMYFUNCTION("""COMPUTED_VALUE"""),"nest or roost site location")</f>
        <v>nest or roost site location</v>
      </c>
      <c r="B576" s="1"/>
      <c r="C576" s="1"/>
      <c r="D576" s="1"/>
      <c r="E576" s="1" t="str">
        <f ca="1">IFERROR(__xludf.DUMMYFUNCTION("""COMPUTED_VALUE"""),"categorical")</f>
        <v>categorical</v>
      </c>
      <c r="F576" s="1" t="str">
        <f ca="1">IFERROR(__xludf.DUMMYFUNCTION("""COMPUTED_VALUE"""),".na")</f>
        <v>.na</v>
      </c>
      <c r="G576" s="1" t="str">
        <f ca="1">IFERROR(__xludf.DUMMYFUNCTION("""COMPUTED_VALUE"""),"Building, Cave and rock, Tree")</f>
        <v>Building, Cave and rock, Tree</v>
      </c>
      <c r="H576" s="1" t="str">
        <f ca="1">IFERROR(__xludf.DUMMYFUNCTION("""COMPUTED_VALUE"""),".na")</f>
        <v>.na</v>
      </c>
      <c r="I576" s="1" t="str">
        <f ca="1">IFERROR(__xludf.DUMMYFUNCTION("""COMPUTED_VALUE"""),".na")</f>
        <v>.na</v>
      </c>
      <c r="J576" s="1"/>
      <c r="K576" s="1" t="str">
        <f ca="1">IFERROR(__xludf.DUMMYFUNCTION("""COMPUTED_VALUE"""),"response")</f>
        <v>response</v>
      </c>
      <c r="L576" s="1" t="str">
        <f ca="1">IFERROR(__xludf.DUMMYFUNCTION("""COMPUTED_VALUE"""),"10.1007/s00442-016-3671-9")</f>
        <v>10.1007/s00442-016-3671-9</v>
      </c>
      <c r="M576" s="1" t="str">
        <f ca="1">IFERROR(__xludf.DUMMYFUNCTION("""COMPUTED_VALUE"""),"Charbonnier_2016")</f>
        <v>Charbonnier_2016</v>
      </c>
    </row>
    <row r="577" spans="1:13" ht="13.2">
      <c r="A577" s="1" t="str">
        <f ca="1">IFERROR(__xludf.DUMMYFUNCTION("""COMPUTED_VALUE"""),"body mass")</f>
        <v>body mass</v>
      </c>
      <c r="B577" s="1"/>
      <c r="C577" s="1"/>
      <c r="D577" s="1"/>
      <c r="E577" s="1" t="str">
        <f ca="1">IFERROR(__xludf.DUMMYFUNCTION("""COMPUTED_VALUE"""),"numeric")</f>
        <v>numeric</v>
      </c>
      <c r="F577" s="1"/>
      <c r="G577" s="1" t="str">
        <f ca="1">IFERROR(__xludf.DUMMYFUNCTION("""COMPUTED_VALUE"""),".na")</f>
        <v>.na</v>
      </c>
      <c r="H577" s="1"/>
      <c r="I577" s="1"/>
      <c r="J577" s="1"/>
      <c r="K577" s="1" t="str">
        <f ca="1">IFERROR(__xludf.DUMMYFUNCTION("""COMPUTED_VALUE"""),"response")</f>
        <v>response</v>
      </c>
      <c r="L577" s="1" t="str">
        <f ca="1">IFERROR(__xludf.DUMMYFUNCTION("""COMPUTED_VALUE"""),"10.1007/s00442-016-3671-9")</f>
        <v>10.1007/s00442-016-3671-9</v>
      </c>
      <c r="M577" s="1" t="str">
        <f ca="1">IFERROR(__xludf.DUMMYFUNCTION("""COMPUTED_VALUE"""),"Charbonnier_2016")</f>
        <v>Charbonnier_2016</v>
      </c>
    </row>
    <row r="578" spans="1:13" ht="13.2">
      <c r="A578" s="1" t="str">
        <f ca="1">IFERROR(__xludf.DUMMYFUNCTION("""COMPUTED_VALUE"""),"home range size")</f>
        <v>home range size</v>
      </c>
      <c r="B578" s="1"/>
      <c r="C578" s="1"/>
      <c r="D578" s="1"/>
      <c r="E578" s="1" t="str">
        <f ca="1">IFERROR(__xludf.DUMMYFUNCTION("""COMPUTED_VALUE"""),"numeric")</f>
        <v>numeric</v>
      </c>
      <c r="F578" s="1" t="str">
        <f ca="1">IFERROR(__xludf.DUMMYFUNCTION("""COMPUTED_VALUE"""),"ha")</f>
        <v>ha</v>
      </c>
      <c r="G578" s="1" t="str">
        <f ca="1">IFERROR(__xludf.DUMMYFUNCTION("""COMPUTED_VALUE"""),".na")</f>
        <v>.na</v>
      </c>
      <c r="H578" s="1"/>
      <c r="I578" s="1"/>
      <c r="J578" s="1"/>
      <c r="K578" s="1" t="str">
        <f ca="1">IFERROR(__xludf.DUMMYFUNCTION("""COMPUTED_VALUE"""),"response")</f>
        <v>response</v>
      </c>
      <c r="L578" s="1" t="str">
        <f ca="1">IFERROR(__xludf.DUMMYFUNCTION("""COMPUTED_VALUE"""),"10.1007/s00442-016-3671-9")</f>
        <v>10.1007/s00442-016-3671-9</v>
      </c>
      <c r="M578" s="1" t="str">
        <f ca="1">IFERROR(__xludf.DUMMYFUNCTION("""COMPUTED_VALUE"""),"Charbonnier_2016")</f>
        <v>Charbonnier_2016</v>
      </c>
    </row>
    <row r="579" spans="1:13" ht="13.2">
      <c r="A579" s="1" t="str">
        <f ca="1">IFERROR(__xludf.DUMMYFUNCTION("""COMPUTED_VALUE"""),"migration status")</f>
        <v>migration status</v>
      </c>
      <c r="B579" s="1"/>
      <c r="C579" s="1"/>
      <c r="D579" s="1"/>
      <c r="E579" s="1" t="str">
        <f ca="1">IFERROR(__xludf.DUMMYFUNCTION("""COMPUTED_VALUE"""),"categorical")</f>
        <v>categorical</v>
      </c>
      <c r="F579" s="1" t="str">
        <f ca="1">IFERROR(__xludf.DUMMYFUNCTION("""COMPUTED_VALUE"""),".na")</f>
        <v>.na</v>
      </c>
      <c r="G579" s="1" t="str">
        <f ca="1">IFERROR(__xludf.DUMMYFUNCTION("""COMPUTED_VALUE"""),"Resident, Short-distance migrant, Long-distance migrant")</f>
        <v>Resident, Short-distance migrant, Long-distance migrant</v>
      </c>
      <c r="H579" s="1" t="str">
        <f ca="1">IFERROR(__xludf.DUMMYFUNCTION("""COMPUTED_VALUE"""),".na")</f>
        <v>.na</v>
      </c>
      <c r="I579" s="1" t="str">
        <f ca="1">IFERROR(__xludf.DUMMYFUNCTION("""COMPUTED_VALUE"""),".na")</f>
        <v>.na</v>
      </c>
      <c r="J579" s="1"/>
      <c r="K579" s="1" t="str">
        <f ca="1">IFERROR(__xludf.DUMMYFUNCTION("""COMPUTED_VALUE"""),"response")</f>
        <v>response</v>
      </c>
      <c r="L579" s="1" t="str">
        <f ca="1">IFERROR(__xludf.DUMMYFUNCTION("""COMPUTED_VALUE"""),"10.1007/s00442-016-3671-9")</f>
        <v>10.1007/s00442-016-3671-9</v>
      </c>
      <c r="M579" s="1" t="str">
        <f ca="1">IFERROR(__xludf.DUMMYFUNCTION("""COMPUTED_VALUE"""),"Charbonnier_2016")</f>
        <v>Charbonnier_2016</v>
      </c>
    </row>
    <row r="580" spans="1:13" ht="13.2">
      <c r="A580" s="1" t="str">
        <f ca="1">IFERROR(__xludf.DUMMYFUNCTION("""COMPUTED_VALUE"""),"average birth date")</f>
        <v>average birth date</v>
      </c>
      <c r="B580" s="1" t="str">
        <f ca="1">IFERROR(__xludf.DUMMYFUNCTION("""COMPUTED_VALUE"""),"breeding phenology")</f>
        <v>breeding phenology</v>
      </c>
      <c r="C580" s="1"/>
      <c r="D580" s="1"/>
      <c r="E580" s="1" t="str">
        <f ca="1">IFERROR(__xludf.DUMMYFUNCTION("""COMPUTED_VALUE"""),"categorical")</f>
        <v>categorical</v>
      </c>
      <c r="F580" s="1" t="str">
        <f ca="1">IFERROR(__xludf.DUMMYFUNCTION("""COMPUTED_VALUE"""),".na")</f>
        <v>.na</v>
      </c>
      <c r="G580" s="1" t="str">
        <f ca="1">IFERROR(__xludf.DUMMYFUNCTION("""COMPUTED_VALUE"""),"Before June, June, After June")</f>
        <v>Before June, June, After June</v>
      </c>
      <c r="H580" s="1" t="str">
        <f ca="1">IFERROR(__xludf.DUMMYFUNCTION("""COMPUTED_VALUE"""),".na")</f>
        <v>.na</v>
      </c>
      <c r="I580" s="1" t="str">
        <f ca="1">IFERROR(__xludf.DUMMYFUNCTION("""COMPUTED_VALUE"""),".na")</f>
        <v>.na</v>
      </c>
      <c r="J580" s="1"/>
      <c r="K580" s="1" t="str">
        <f ca="1">IFERROR(__xludf.DUMMYFUNCTION("""COMPUTED_VALUE"""),"response")</f>
        <v>response</v>
      </c>
      <c r="L580" s="1" t="str">
        <f ca="1">IFERROR(__xludf.DUMMYFUNCTION("""COMPUTED_VALUE"""),"10.1007/s00442-016-3671-9")</f>
        <v>10.1007/s00442-016-3671-9</v>
      </c>
      <c r="M580" s="1" t="str">
        <f ca="1">IFERROR(__xludf.DUMMYFUNCTION("""COMPUTED_VALUE"""),"Charbonnier_2016")</f>
        <v>Charbonnier_2016</v>
      </c>
    </row>
    <row r="581" spans="1:13" ht="13.2">
      <c r="A581" s="1" t="str">
        <f ca="1">IFERROR(__xludf.DUMMYFUNCTION("""COMPUTED_VALUE"""),"body mass")</f>
        <v>body mass</v>
      </c>
      <c r="B581" s="1"/>
      <c r="C581" s="1"/>
      <c r="D581" s="1"/>
      <c r="E581" s="1" t="str">
        <f ca="1">IFERROR(__xludf.DUMMYFUNCTION("""COMPUTED_VALUE"""),"numeric")</f>
        <v>numeric</v>
      </c>
      <c r="F581" s="1"/>
      <c r="G581" s="1" t="str">
        <f ca="1">IFERROR(__xludf.DUMMYFUNCTION("""COMPUTED_VALUE"""),".na")</f>
        <v>.na</v>
      </c>
      <c r="H581" s="1"/>
      <c r="I581" s="1"/>
      <c r="J581" s="1"/>
      <c r="K581" s="1" t="str">
        <f ca="1">IFERROR(__xludf.DUMMYFUNCTION("""COMPUTED_VALUE"""),"response")</f>
        <v>response</v>
      </c>
      <c r="L581" s="1" t="str">
        <f ca="1">IFERROR(__xludf.DUMMYFUNCTION("""COMPUTED_VALUE"""),"10.1111/1365-2664.12490")</f>
        <v>10.1111/1365-2664.12490</v>
      </c>
      <c r="M581" s="1" t="str">
        <f ca="1">IFERROR(__xludf.DUMMYFUNCTION("""COMPUTED_VALUE"""),"Farneda_2015")</f>
        <v>Farneda_2015</v>
      </c>
    </row>
    <row r="582" spans="1:13" ht="13.2">
      <c r="A582" s="1" t="str">
        <f ca="1">IFERROR(__xludf.DUMMYFUNCTION("""COMPUTED_VALUE"""),"trophic level")</f>
        <v>trophic level</v>
      </c>
      <c r="B582" s="1"/>
      <c r="C582" s="1"/>
      <c r="D582" s="1"/>
      <c r="E582" s="1" t="str">
        <f ca="1">IFERROR(__xludf.DUMMYFUNCTION("""COMPUTED_VALUE"""),"categorical")</f>
        <v>categorical</v>
      </c>
      <c r="F582" s="1" t="str">
        <f ca="1">IFERROR(__xludf.DUMMYFUNCTION("""COMPUTED_VALUE"""),".na")</f>
        <v>.na</v>
      </c>
      <c r="G582" s="1" t="str">
        <f ca="1">IFERROR(__xludf.DUMMYFUNCTION("""COMPUTED_VALUE"""),"animalivorous, phytophagous")</f>
        <v>animalivorous, phytophagous</v>
      </c>
      <c r="H582" s="1" t="str">
        <f ca="1">IFERROR(__xludf.DUMMYFUNCTION("""COMPUTED_VALUE"""),".na")</f>
        <v>.na</v>
      </c>
      <c r="I582" s="1" t="str">
        <f ca="1">IFERROR(__xludf.DUMMYFUNCTION("""COMPUTED_VALUE"""),".na")</f>
        <v>.na</v>
      </c>
      <c r="J582" s="1"/>
      <c r="K582" s="1" t="str">
        <f ca="1">IFERROR(__xludf.DUMMYFUNCTION("""COMPUTED_VALUE"""),"response")</f>
        <v>response</v>
      </c>
      <c r="L582" s="1" t="str">
        <f ca="1">IFERROR(__xludf.DUMMYFUNCTION("""COMPUTED_VALUE"""),"10.1111/1365-2664.12490")</f>
        <v>10.1111/1365-2664.12490</v>
      </c>
      <c r="M582" s="1" t="str">
        <f ca="1">IFERROR(__xludf.DUMMYFUNCTION("""COMPUTED_VALUE"""),"Farneda_2015")</f>
        <v>Farneda_2015</v>
      </c>
    </row>
    <row r="583" spans="1:13" ht="13.2">
      <c r="A583" s="1" t="str">
        <f ca="1">IFERROR(__xludf.DUMMYFUNCTION("""COMPUTED_VALUE"""),"dietary specialization")</f>
        <v>dietary specialization</v>
      </c>
      <c r="B583" s="1"/>
      <c r="C583" s="1"/>
      <c r="D583" s="1"/>
      <c r="E583" s="1" t="str">
        <f ca="1">IFERROR(__xludf.DUMMYFUNCTION("""COMPUTED_VALUE"""),"categorical")</f>
        <v>categorical</v>
      </c>
      <c r="F583" s="1" t="str">
        <f ca="1">IFERROR(__xludf.DUMMYFUNCTION("""COMPUTED_VALUE"""),".na")</f>
        <v>.na</v>
      </c>
      <c r="G583" s="1" t="str">
        <f ca="1">IFERROR(__xludf.DUMMYFUNCTION("""COMPUTED_VALUE"""),"(1) low – two or more of the above categories of food items contributed &gt; 10% to all food records, (2) intermediate – one single food item contributed &gt; 90% to all food records, (3) high – restricted food category of one particular item of food.")</f>
        <v>(1) low – two or more of the above categories of food items contributed &gt; 10% to all food records, (2) intermediate – one single food item contributed &gt; 90% to all food records, (3) high – restricted food category of one particular item of food.</v>
      </c>
      <c r="H583" s="1" t="str">
        <f ca="1">IFERROR(__xludf.DUMMYFUNCTION("""COMPUTED_VALUE"""),".na")</f>
        <v>.na</v>
      </c>
      <c r="I583" s="1" t="str">
        <f ca="1">IFERROR(__xludf.DUMMYFUNCTION("""COMPUTED_VALUE"""),".na")</f>
        <v>.na</v>
      </c>
      <c r="J583" s="1" t="str">
        <f ca="1">IFERROR(__xludf.DUMMYFUNCTION("""COMPUTED_VALUE"""),"Food items were divided into six broad categories: (a) fruit, (b) nectar or pollen, (c) leaves, (d) arthropods, (e) blood, and (f) vertebrates. The percentage of the contribution of each food item to the total dietary records for each bat species was base"&amp;"d on the literature (see Table S1 for a complete list of references). Species were assigned to three categories of dietary specialization: (1) low – two or more of the above categories of food items contributed &gt; 10% to all food records; (2) intermediate "&amp;"– one single food item contributed &gt; 90% to all food records; (3) high – restricted food category of one particular item of food.")</f>
        <v>Food items were divided into six broad categories: (a) fruit, (b) nectar or pollen, (c) leaves, (d) arthropods, (e) blood, and (f) vertebrates. The percentage of the contribution of each food item to the total dietary records for each bat species was based on the literature (see Table S1 for a complete list of references). Species were assigned to three categories of dietary specialization: (1) low – two or more of the above categories of food items contributed &gt; 10% to all food records; (2) intermediate – one single food item contributed &gt; 90% to all food records; (3) high – restricted food category of one particular item of food.</v>
      </c>
      <c r="K583" s="1" t="str">
        <f ca="1">IFERROR(__xludf.DUMMYFUNCTION("""COMPUTED_VALUE"""),"response")</f>
        <v>response</v>
      </c>
      <c r="L583" s="1" t="str">
        <f ca="1">IFERROR(__xludf.DUMMYFUNCTION("""COMPUTED_VALUE"""),"10.1111/1365-2664.12490")</f>
        <v>10.1111/1365-2664.12490</v>
      </c>
      <c r="M583" s="1" t="str">
        <f ca="1">IFERROR(__xludf.DUMMYFUNCTION("""COMPUTED_VALUE"""),"Farneda_2015")</f>
        <v>Farneda_2015</v>
      </c>
    </row>
    <row r="584" spans="1:13" ht="13.2">
      <c r="A584" s="1" t="str">
        <f ca="1">IFERROR(__xludf.DUMMYFUNCTION("""COMPUTED_VALUE"""),"vertical stratification")</f>
        <v>vertical stratification</v>
      </c>
      <c r="B584" s="1"/>
      <c r="C584" s="1"/>
      <c r="D584" s="1"/>
      <c r="E584" s="1" t="str">
        <f ca="1">IFERROR(__xludf.DUMMYFUNCTION("""COMPUTED_VALUE"""),"categorical")</f>
        <v>categorical</v>
      </c>
      <c r="F584" s="1" t="str">
        <f ca="1">IFERROR(__xludf.DUMMYFUNCTION("""COMPUTED_VALUE"""),".na")</f>
        <v>.na</v>
      </c>
      <c r="G584" s="1" t="str">
        <f ca="1">IFERROR(__xludf.DUMMYFUNCTION("""COMPUTED_VALUE"""),"(U) understory species, &lt; 33% of all captures in canopy nets, (N) species without apparent preference, 33.1–66% of all captures in canopy nets, (C) canopy species, &gt; 66.1% of all captures in canopy nets.")</f>
        <v>(U) understory species, &lt; 33% of all captures in canopy nets, (N) species without apparent preference, 33.1–66% of all captures in canopy nets, (C) canopy species, &gt; 66.1% of all captures in canopy nets.</v>
      </c>
      <c r="H584" s="1" t="str">
        <f ca="1">IFERROR(__xludf.DUMMYFUNCTION("""COMPUTED_VALUE"""),".na")</f>
        <v>.na</v>
      </c>
      <c r="I584" s="1" t="str">
        <f ca="1">IFERROR(__xludf.DUMMYFUNCTION("""COMPUTED_VALUE"""),".na")</f>
        <v>.na</v>
      </c>
      <c r="J584" s="1" t="str">
        <f ca="1">IFERROR(__xludf.DUMMYFUNCTION("""COMPUTED_VALUE"""),"Based on capture rate (bats per mnh) using the proportion of captures in ground vs. canopy nets in fragment interiors and continuous forest sites. For this, we considered only bats captured at heights &gt; 6 m in canopy nets vs. &lt; 3 m in ground nets. Species"&amp;" were assigned to three categories of vertical stratification: (U) understory species, &lt; 33% of all captures in canopy nets; (N) species without apparent preference, 33.1–66% of all captures in canopy nets; (C) canopy species, &gt; 66.1% of all captures in c"&amp;"anopy nets.")</f>
        <v>Based on capture rate (bats per mnh) using the proportion of captures in ground vs. canopy nets in fragment interiors and continuous forest sites. For this, we considered only bats captured at heights &gt; 6 m in canopy nets vs. &lt; 3 m in ground nets. Species were assigned to three categories of vertical stratification: (U) understory species, &lt; 33% of all captures in canopy nets; (N) species without apparent preference, 33.1–66% of all captures in canopy nets; (C) canopy species, &gt; 66.1% of all captures in canopy nets.</v>
      </c>
      <c r="K584" s="1" t="str">
        <f ca="1">IFERROR(__xludf.DUMMYFUNCTION("""COMPUTED_VALUE"""),"response")</f>
        <v>response</v>
      </c>
      <c r="L584" s="1" t="str">
        <f ca="1">IFERROR(__xludf.DUMMYFUNCTION("""COMPUTED_VALUE"""),"10.1111/1365-2664.12490")</f>
        <v>10.1111/1365-2664.12490</v>
      </c>
      <c r="M584" s="1" t="str">
        <f ca="1">IFERROR(__xludf.DUMMYFUNCTION("""COMPUTED_VALUE"""),"Farneda_2015")</f>
        <v>Farneda_2015</v>
      </c>
    </row>
    <row r="585" spans="1:13" ht="13.2">
      <c r="A585" s="1" t="str">
        <f ca="1">IFERROR(__xludf.DUMMYFUNCTION("""COMPUTED_VALUE"""),"mobility")</f>
        <v>mobility</v>
      </c>
      <c r="B585" s="1"/>
      <c r="C585" s="1"/>
      <c r="D585" s="1"/>
      <c r="E585" s="1" t="str">
        <f ca="1">IFERROR(__xludf.DUMMYFUNCTION("""COMPUTED_VALUE"""),"categorical")</f>
        <v>categorical</v>
      </c>
      <c r="F585" s="1" t="str">
        <f ca="1">IFERROR(__xludf.DUMMYFUNCTION("""COMPUTED_VALUE"""),".na")</f>
        <v>.na</v>
      </c>
      <c r="G585" s="1" t="str">
        <f ca="1">IFERROR(__xludf.DUMMYFUNCTION("""COMPUTED_VALUE"""),"low, intermediate, high")</f>
        <v>low, intermediate, high</v>
      </c>
      <c r="H585" s="1" t="str">
        <f ca="1">IFERROR(__xludf.DUMMYFUNCTION("""COMPUTED_VALUE"""),".na")</f>
        <v>.na</v>
      </c>
      <c r="I585" s="1" t="str">
        <f ca="1">IFERROR(__xludf.DUMMYFUNCTION("""COMPUTED_VALUE"""),".na")</f>
        <v>.na</v>
      </c>
      <c r="J585" s="1" t="str">
        <f ca="1">IFERROR(__xludf.DUMMYFUNCTION("""COMPUTED_VALUE"""),"Based on the relationship between mean and maximum recapture distances (Fig. S3), using both recapture data obtained during our study and from the radio-tracking and mark-recapture literature (see Table S1 for a complete list of references). Species were "&amp;"grouped into three categories of mobility: low, intermediate, and high (see Fig. S3). ")</f>
        <v xml:space="preserve">Based on the relationship between mean and maximum recapture distances (Fig. S3), using both recapture data obtained during our study and from the radio-tracking and mark-recapture literature (see Table S1 for a complete list of references). Species were grouped into three categories of mobility: low, intermediate, and high (see Fig. S3). </v>
      </c>
      <c r="K585" s="1" t="str">
        <f ca="1">IFERROR(__xludf.DUMMYFUNCTION("""COMPUTED_VALUE"""),"response")</f>
        <v>response</v>
      </c>
      <c r="L585" s="1" t="str">
        <f ca="1">IFERROR(__xludf.DUMMYFUNCTION("""COMPUTED_VALUE"""),"10.1111/1365-2664.12490")</f>
        <v>10.1111/1365-2664.12490</v>
      </c>
      <c r="M585" s="1" t="str">
        <f ca="1">IFERROR(__xludf.DUMMYFUNCTION("""COMPUTED_VALUE"""),"Farneda_2015")</f>
        <v>Farneda_2015</v>
      </c>
    </row>
    <row r="586" spans="1:13" ht="13.2">
      <c r="A586" s="1" t="str">
        <f ca="1">IFERROR(__xludf.DUMMYFUNCTION("""COMPUTED_VALUE"""),"aspect ratio")</f>
        <v>aspect ratio</v>
      </c>
      <c r="B586" s="1" t="str">
        <f ca="1">IFERROR(__xludf.DUMMYFUNCTION("""COMPUTED_VALUE"""),"wing morphology")</f>
        <v>wing morphology</v>
      </c>
      <c r="C586" s="1"/>
      <c r="D586" s="1"/>
      <c r="E586" s="1" t="str">
        <f ca="1">IFERROR(__xludf.DUMMYFUNCTION("""COMPUTED_VALUE"""),"numeric")</f>
        <v>numeric</v>
      </c>
      <c r="F586" s="1"/>
      <c r="G586" s="1" t="str">
        <f ca="1">IFERROR(__xludf.DUMMYFUNCTION("""COMPUTED_VALUE"""),".na")</f>
        <v>.na</v>
      </c>
      <c r="H586" s="1"/>
      <c r="I586" s="1"/>
      <c r="J586" s="1" t="str">
        <f ca="1">IFERROR(__xludf.DUMMYFUNCTION("""COMPUTED_VALUE"""),"Considered measures of aspect ratio (wingspan2/wing area) and relative wing loading (wing loading [body mass multiplied by the gravitational acceleration, 9.81 ms2/wing area]/body mass0.33; see Norberg &amp; Rayner 1987 and Norberg 1998). Calculations were ma"&amp;"de using the average of measurement values of up to five individuals of each species recorded in our study.")</f>
        <v>Considered measures of aspect ratio (wingspan2/wing area) and relative wing loading (wing loading [body mass multiplied by the gravitational acceleration, 9.81 ms2/wing area]/body mass0.33; see Norberg &amp; Rayner 1987 and Norberg 1998). Calculations were made using the average of measurement values of up to five individuals of each species recorded in our study.</v>
      </c>
      <c r="K586" s="1" t="str">
        <f ca="1">IFERROR(__xludf.DUMMYFUNCTION("""COMPUTED_VALUE"""),"response")</f>
        <v>response</v>
      </c>
      <c r="L586" s="1" t="str">
        <f ca="1">IFERROR(__xludf.DUMMYFUNCTION("""COMPUTED_VALUE"""),"10.1111/1365-2664.12490")</f>
        <v>10.1111/1365-2664.12490</v>
      </c>
      <c r="M586" s="1" t="str">
        <f ca="1">IFERROR(__xludf.DUMMYFUNCTION("""COMPUTED_VALUE"""),"Farneda_2015")</f>
        <v>Farneda_2015</v>
      </c>
    </row>
    <row r="587" spans="1:13" ht="13.2">
      <c r="A587" s="1" t="str">
        <f ca="1">IFERROR(__xludf.DUMMYFUNCTION("""COMPUTED_VALUE"""),"relative wing loading")</f>
        <v>relative wing loading</v>
      </c>
      <c r="B587" s="1" t="str">
        <f ca="1">IFERROR(__xludf.DUMMYFUNCTION("""COMPUTED_VALUE"""),"wing morphology")</f>
        <v>wing morphology</v>
      </c>
      <c r="C587" s="1"/>
      <c r="D587" s="1"/>
      <c r="E587" s="1" t="str">
        <f ca="1">IFERROR(__xludf.DUMMYFUNCTION("""COMPUTED_VALUE"""),"numeric")</f>
        <v>numeric</v>
      </c>
      <c r="F587" s="1"/>
      <c r="G587" s="1" t="str">
        <f ca="1">IFERROR(__xludf.DUMMYFUNCTION("""COMPUTED_VALUE"""),".na")</f>
        <v>.na</v>
      </c>
      <c r="H587" s="1"/>
      <c r="I587" s="1"/>
      <c r="J587" s="1" t="str">
        <f ca="1">IFERROR(__xludf.DUMMYFUNCTION("""COMPUTED_VALUE"""),"Considered measures of aspect ratio (wingspan2/wing area) and relative wing loading (wing loading [body mass multiplied by the gravitational acceleration, 9.81 ms2/wing area]/body mass0.33; see Norberg &amp; Rayner 1987 and Norberg 1998). Calculations were ma"&amp;"de using the average of measurement values of up to five individuals of each species recorded in our study.")</f>
        <v>Considered measures of aspect ratio (wingspan2/wing area) and relative wing loading (wing loading [body mass multiplied by the gravitational acceleration, 9.81 ms2/wing area]/body mass0.33; see Norberg &amp; Rayner 1987 and Norberg 1998). Calculations were made using the average of measurement values of up to five individuals of each species recorded in our study.</v>
      </c>
      <c r="K587" s="1" t="str">
        <f ca="1">IFERROR(__xludf.DUMMYFUNCTION("""COMPUTED_VALUE"""),"response")</f>
        <v>response</v>
      </c>
      <c r="L587" s="1" t="str">
        <f ca="1">IFERROR(__xludf.DUMMYFUNCTION("""COMPUTED_VALUE"""),"10.1111/1365-2664.12490")</f>
        <v>10.1111/1365-2664.12490</v>
      </c>
      <c r="M587" s="1" t="str">
        <f ca="1">IFERROR(__xludf.DUMMYFUNCTION("""COMPUTED_VALUE"""),"Farneda_2015")</f>
        <v>Farneda_2015</v>
      </c>
    </row>
    <row r="588" spans="1:13" ht="13.2">
      <c r="A588" s="1" t="str">
        <f ca="1">IFERROR(__xludf.DUMMYFUNCTION("""COMPUTED_VALUE"""),"Diet")</f>
        <v>Diet</v>
      </c>
      <c r="B588" s="1"/>
      <c r="C588" s="1"/>
      <c r="D588" s="1"/>
      <c r="E588" s="1" t="str">
        <f ca="1">IFERROR(__xludf.DUMMYFUNCTION("""COMPUTED_VALUE"""),"categorical")</f>
        <v>categorical</v>
      </c>
      <c r="F588" s="1" t="str">
        <f ca="1">IFERROR(__xludf.DUMMYFUNCTION("""COMPUTED_VALUE"""),".na")</f>
        <v>.na</v>
      </c>
      <c r="G588" s="1" t="str">
        <f ca="1">IFERROR(__xludf.DUMMYFUNCTION("""COMPUTED_VALUE"""),"Fruit or plant, Nectar or pollen, Invertebrates, Vertebrates, Blood")</f>
        <v>Fruit or plant, Nectar or pollen, Invertebrates, Vertebrates, Blood</v>
      </c>
      <c r="H588" s="1" t="str">
        <f ca="1">IFERROR(__xludf.DUMMYFUNCTION("""COMPUTED_VALUE"""),".na")</f>
        <v>.na</v>
      </c>
      <c r="I588" s="1" t="str">
        <f ca="1">IFERROR(__xludf.DUMMYFUNCTION("""COMPUTED_VALUE"""),".na")</f>
        <v>.na</v>
      </c>
      <c r="J588" s="1"/>
      <c r="K588" s="1" t="str">
        <f ca="1">IFERROR(__xludf.DUMMYFUNCTION("""COMPUTED_VALUE"""),"response")</f>
        <v>response</v>
      </c>
      <c r="L588" s="1" t="str">
        <f ca="1">IFERROR(__xludf.DUMMYFUNCTION("""COMPUTED_VALUE"""),"10.1111/ddi.12277")</f>
        <v>10.1111/ddi.12277</v>
      </c>
      <c r="M588" s="1" t="str">
        <f ca="1">IFERROR(__xludf.DUMMYFUNCTION("""COMPUTED_VALUE"""),"Cisneros_2014")</f>
        <v>Cisneros_2014</v>
      </c>
    </row>
    <row r="589" spans="1:13" ht="13.2">
      <c r="A589" s="1" t="str">
        <f ca="1">IFERROR(__xludf.DUMMYFUNCTION("""COMPUTED_VALUE"""),"Foraging location")</f>
        <v>Foraging location</v>
      </c>
      <c r="B589" s="1"/>
      <c r="C589" s="1"/>
      <c r="D589" s="1"/>
      <c r="E589" s="1" t="str">
        <f ca="1">IFERROR(__xludf.DUMMYFUNCTION("""COMPUTED_VALUE"""),"categorical")</f>
        <v>categorical</v>
      </c>
      <c r="F589" s="1" t="str">
        <f ca="1">IFERROR(__xludf.DUMMYFUNCTION("""COMPUTED_VALUE"""),".na")</f>
        <v>.na</v>
      </c>
      <c r="G589" s="1" t="str">
        <f ca="1">IFERROR(__xludf.DUMMYFUNCTION("""COMPUTED_VALUE"""),"Canopy, Subcanopy, Understory")</f>
        <v>Canopy, Subcanopy, Understory</v>
      </c>
      <c r="H589" s="1" t="str">
        <f ca="1">IFERROR(__xludf.DUMMYFUNCTION("""COMPUTED_VALUE"""),".na")</f>
        <v>.na</v>
      </c>
      <c r="I589" s="1" t="str">
        <f ca="1">IFERROR(__xludf.DUMMYFUNCTION("""COMPUTED_VALUE"""),".na")</f>
        <v>.na</v>
      </c>
      <c r="J589" s="1"/>
      <c r="K589" s="1" t="str">
        <f ca="1">IFERROR(__xludf.DUMMYFUNCTION("""COMPUTED_VALUE"""),"response")</f>
        <v>response</v>
      </c>
      <c r="L589" s="1" t="str">
        <f ca="1">IFERROR(__xludf.DUMMYFUNCTION("""COMPUTED_VALUE"""),"10.1111/ddi.12277")</f>
        <v>10.1111/ddi.12277</v>
      </c>
      <c r="M589" s="1" t="str">
        <f ca="1">IFERROR(__xludf.DUMMYFUNCTION("""COMPUTED_VALUE"""),"Cisneros_2014")</f>
        <v>Cisneros_2014</v>
      </c>
    </row>
    <row r="590" spans="1:13" ht="13.2">
      <c r="A590" s="1" t="str">
        <f ca="1">IFERROR(__xludf.DUMMYFUNCTION("""COMPUTED_VALUE"""),"Foraging strategy")</f>
        <v>Foraging strategy</v>
      </c>
      <c r="B590" s="1"/>
      <c r="C590" s="1"/>
      <c r="D590" s="1"/>
      <c r="E590" s="1" t="str">
        <f ca="1">IFERROR(__xludf.DUMMYFUNCTION("""COMPUTED_VALUE"""),"categorical")</f>
        <v>categorical</v>
      </c>
      <c r="F590" s="1" t="str">
        <f ca="1">IFERROR(__xludf.DUMMYFUNCTION("""COMPUTED_VALUE"""),".na")</f>
        <v>.na</v>
      </c>
      <c r="G590" s="1" t="str">
        <f ca="1">IFERROR(__xludf.DUMMYFUNCTION("""COMPUTED_VALUE"""),"Gleaning, Hover, Pounce")</f>
        <v>Gleaning, Hover, Pounce</v>
      </c>
      <c r="H590" s="1" t="str">
        <f ca="1">IFERROR(__xludf.DUMMYFUNCTION("""COMPUTED_VALUE"""),".na")</f>
        <v>.na</v>
      </c>
      <c r="I590" s="1" t="str">
        <f ca="1">IFERROR(__xludf.DUMMYFUNCTION("""COMPUTED_VALUE"""),".na")</f>
        <v>.na</v>
      </c>
      <c r="J590" s="1"/>
      <c r="K590" s="1" t="str">
        <f ca="1">IFERROR(__xludf.DUMMYFUNCTION("""COMPUTED_VALUE"""),"response")</f>
        <v>response</v>
      </c>
      <c r="L590" s="1" t="str">
        <f ca="1">IFERROR(__xludf.DUMMYFUNCTION("""COMPUTED_VALUE"""),"10.1111/ddi.12277")</f>
        <v>10.1111/ddi.12277</v>
      </c>
      <c r="M590" s="1" t="str">
        <f ca="1">IFERROR(__xludf.DUMMYFUNCTION("""COMPUTED_VALUE"""),"Cisneros_2014")</f>
        <v>Cisneros_2014</v>
      </c>
    </row>
    <row r="591" spans="1:13" ht="13.2">
      <c r="A591" s="1" t="str">
        <f ca="1">IFERROR(__xludf.DUMMYFUNCTION("""COMPUTED_VALUE"""),"Roost type")</f>
        <v>Roost type</v>
      </c>
      <c r="B591" s="1"/>
      <c r="C591" s="1"/>
      <c r="D591" s="1"/>
      <c r="E591" s="1" t="str">
        <f ca="1">IFERROR(__xludf.DUMMYFUNCTION("""COMPUTED_VALUE"""),"categorical")</f>
        <v>categorical</v>
      </c>
      <c r="F591" s="1" t="str">
        <f ca="1">IFERROR(__xludf.DUMMYFUNCTION("""COMPUTED_VALUE"""),".na")</f>
        <v>.na</v>
      </c>
      <c r="G591" s="1" t="str">
        <f ca="1">IFERROR(__xludf.DUMMYFUNCTION("""COMPUTED_VALUE"""),"Foliage, Bark or roots, Tree hole or termite nest, Man-made structures, Culvert or under large rocks, Cave, tunnels, mines or sewers")</f>
        <v>Foliage, Bark or roots, Tree hole or termite nest, Man-made structures, Culvert or under large rocks, Cave, tunnels, mines or sewers</v>
      </c>
      <c r="H591" s="1" t="str">
        <f ca="1">IFERROR(__xludf.DUMMYFUNCTION("""COMPUTED_VALUE"""),".na")</f>
        <v>.na</v>
      </c>
      <c r="I591" s="1" t="str">
        <f ca="1">IFERROR(__xludf.DUMMYFUNCTION("""COMPUTED_VALUE"""),".na")</f>
        <v>.na</v>
      </c>
      <c r="J591" s="1"/>
      <c r="K591" s="1" t="str">
        <f ca="1">IFERROR(__xludf.DUMMYFUNCTION("""COMPUTED_VALUE"""),"response")</f>
        <v>response</v>
      </c>
      <c r="L591" s="1" t="str">
        <f ca="1">IFERROR(__xludf.DUMMYFUNCTION("""COMPUTED_VALUE"""),"10.1111/ddi.12277")</f>
        <v>10.1111/ddi.12277</v>
      </c>
      <c r="M591" s="1" t="str">
        <f ca="1">IFERROR(__xludf.DUMMYFUNCTION("""COMPUTED_VALUE"""),"Cisneros_2014")</f>
        <v>Cisneros_2014</v>
      </c>
    </row>
    <row r="592" spans="1:13" ht="13.2">
      <c r="A592" s="1" t="str">
        <f ca="1">IFERROR(__xludf.DUMMYFUNCTION("""COMPUTED_VALUE"""),"Mass Mean")</f>
        <v>Mass Mean</v>
      </c>
      <c r="B592" s="1"/>
      <c r="C592" s="1"/>
      <c r="D592" s="1"/>
      <c r="E592" s="1" t="str">
        <f ca="1">IFERROR(__xludf.DUMMYFUNCTION("""COMPUTED_VALUE"""),"numeric")</f>
        <v>numeric</v>
      </c>
      <c r="F592" s="1"/>
      <c r="G592" s="1" t="str">
        <f ca="1">IFERROR(__xludf.DUMMYFUNCTION("""COMPUTED_VALUE"""),".na")</f>
        <v>.na</v>
      </c>
      <c r="H592" s="1"/>
      <c r="I592" s="1"/>
      <c r="J592" s="1"/>
      <c r="K592" s="1" t="str">
        <f ca="1">IFERROR(__xludf.DUMMYFUNCTION("""COMPUTED_VALUE"""),"response")</f>
        <v>response</v>
      </c>
      <c r="L592" s="1" t="str">
        <f ca="1">IFERROR(__xludf.DUMMYFUNCTION("""COMPUTED_VALUE"""),"10.1111/ddi.12277")</f>
        <v>10.1111/ddi.12277</v>
      </c>
      <c r="M592" s="1" t="str">
        <f ca="1">IFERROR(__xludf.DUMMYFUNCTION("""COMPUTED_VALUE"""),"Cisneros_2014")</f>
        <v>Cisneros_2014</v>
      </c>
    </row>
    <row r="593" spans="1:13" ht="13.2">
      <c r="A593" s="1" t="str">
        <f ca="1">IFERROR(__xludf.DUMMYFUNCTION("""COMPUTED_VALUE"""),"Forearm length")</f>
        <v>Forearm length</v>
      </c>
      <c r="B593" s="1"/>
      <c r="C593" s="1"/>
      <c r="D593" s="1"/>
      <c r="E593" s="1" t="str">
        <f ca="1">IFERROR(__xludf.DUMMYFUNCTION("""COMPUTED_VALUE"""),"numeric")</f>
        <v>numeric</v>
      </c>
      <c r="F593" s="1"/>
      <c r="G593" s="1" t="str">
        <f ca="1">IFERROR(__xludf.DUMMYFUNCTION("""COMPUTED_VALUE"""),".na")</f>
        <v>.na</v>
      </c>
      <c r="H593" s="1"/>
      <c r="I593" s="1"/>
      <c r="J593" s="1"/>
      <c r="K593" s="1" t="str">
        <f ca="1">IFERROR(__xludf.DUMMYFUNCTION("""COMPUTED_VALUE"""),"response")</f>
        <v>response</v>
      </c>
      <c r="L593" s="1" t="str">
        <f ca="1">IFERROR(__xludf.DUMMYFUNCTION("""COMPUTED_VALUE"""),"10.1111/ddi.12277")</f>
        <v>10.1111/ddi.12277</v>
      </c>
      <c r="M593" s="1" t="str">
        <f ca="1">IFERROR(__xludf.DUMMYFUNCTION("""COMPUTED_VALUE"""),"Cisneros_2014")</f>
        <v>Cisneros_2014</v>
      </c>
    </row>
    <row r="594" spans="1:13" ht="13.2">
      <c r="A594" s="1" t="str">
        <f ca="1">IFERROR(__xludf.DUMMYFUNCTION("""COMPUTED_VALUE"""),"Greatest length of skull")</f>
        <v>Greatest length of skull</v>
      </c>
      <c r="B594" s="1"/>
      <c r="C594" s="1"/>
      <c r="D594" s="1"/>
      <c r="E594" s="1" t="str">
        <f ca="1">IFERROR(__xludf.DUMMYFUNCTION("""COMPUTED_VALUE"""),"numeric")</f>
        <v>numeric</v>
      </c>
      <c r="F594" s="1"/>
      <c r="G594" s="1" t="str">
        <f ca="1">IFERROR(__xludf.DUMMYFUNCTION("""COMPUTED_VALUE"""),".na")</f>
        <v>.na</v>
      </c>
      <c r="H594" s="1"/>
      <c r="I594" s="1"/>
      <c r="J594" s="1"/>
      <c r="K594" s="1" t="str">
        <f ca="1">IFERROR(__xludf.DUMMYFUNCTION("""COMPUTED_VALUE"""),"response")</f>
        <v>response</v>
      </c>
      <c r="L594" s="1" t="str">
        <f ca="1">IFERROR(__xludf.DUMMYFUNCTION("""COMPUTED_VALUE"""),"10.1111/ddi.12277")</f>
        <v>10.1111/ddi.12277</v>
      </c>
      <c r="M594" s="1" t="str">
        <f ca="1">IFERROR(__xludf.DUMMYFUNCTION("""COMPUTED_VALUE"""),"Cisneros_2014")</f>
        <v>Cisneros_2014</v>
      </c>
    </row>
    <row r="595" spans="1:13" ht="13.2">
      <c r="A595" s="1" t="str">
        <f ca="1">IFERROR(__xludf.DUMMYFUNCTION("""COMPUTED_VALUE"""),"Condylobasal length")</f>
        <v>Condylobasal length</v>
      </c>
      <c r="B595" s="1"/>
      <c r="C595" s="1"/>
      <c r="D595" s="1"/>
      <c r="E595" s="1" t="str">
        <f ca="1">IFERROR(__xludf.DUMMYFUNCTION("""COMPUTED_VALUE"""),"numeric")</f>
        <v>numeric</v>
      </c>
      <c r="F595" s="1"/>
      <c r="G595" s="1" t="str">
        <f ca="1">IFERROR(__xludf.DUMMYFUNCTION("""COMPUTED_VALUE"""),".na")</f>
        <v>.na</v>
      </c>
      <c r="H595" s="1"/>
      <c r="I595" s="1"/>
      <c r="J595" s="1"/>
      <c r="K595" s="1" t="str">
        <f ca="1">IFERROR(__xludf.DUMMYFUNCTION("""COMPUTED_VALUE"""),"response")</f>
        <v>response</v>
      </c>
      <c r="L595" s="1" t="str">
        <f ca="1">IFERROR(__xludf.DUMMYFUNCTION("""COMPUTED_VALUE"""),"10.1111/ddi.12277")</f>
        <v>10.1111/ddi.12277</v>
      </c>
      <c r="M595" s="1" t="str">
        <f ca="1">IFERROR(__xludf.DUMMYFUNCTION("""COMPUTED_VALUE"""),"Cisneros_2014")</f>
        <v>Cisneros_2014</v>
      </c>
    </row>
    <row r="596" spans="1:13" ht="13.2">
      <c r="A596" s="1" t="str">
        <f ca="1">IFERROR(__xludf.DUMMYFUNCTION("""COMPUTED_VALUE"""),"Length of maxillary toothrow")</f>
        <v>Length of maxillary toothrow</v>
      </c>
      <c r="B596" s="1"/>
      <c r="C596" s="1"/>
      <c r="D596" s="1"/>
      <c r="E596" s="1" t="str">
        <f ca="1">IFERROR(__xludf.DUMMYFUNCTION("""COMPUTED_VALUE"""),"numeric")</f>
        <v>numeric</v>
      </c>
      <c r="F596" s="1"/>
      <c r="G596" s="1" t="str">
        <f ca="1">IFERROR(__xludf.DUMMYFUNCTION("""COMPUTED_VALUE"""),".na")</f>
        <v>.na</v>
      </c>
      <c r="H596" s="1"/>
      <c r="I596" s="1"/>
      <c r="J596" s="1"/>
      <c r="K596" s="1" t="str">
        <f ca="1">IFERROR(__xludf.DUMMYFUNCTION("""COMPUTED_VALUE"""),"response")</f>
        <v>response</v>
      </c>
      <c r="L596" s="1" t="str">
        <f ca="1">IFERROR(__xludf.DUMMYFUNCTION("""COMPUTED_VALUE"""),"10.1111/ddi.12277")</f>
        <v>10.1111/ddi.12277</v>
      </c>
      <c r="M596" s="1" t="str">
        <f ca="1">IFERROR(__xludf.DUMMYFUNCTION("""COMPUTED_VALUE"""),"Cisneros_2014")</f>
        <v>Cisneros_2014</v>
      </c>
    </row>
    <row r="597" spans="1:13" ht="13.2">
      <c r="A597" s="1" t="str">
        <f ca="1">IFERROR(__xludf.DUMMYFUNCTION("""COMPUTED_VALUE"""),"Breadth across upper molars")</f>
        <v>Breadth across upper molars</v>
      </c>
      <c r="B597" s="1"/>
      <c r="C597" s="1"/>
      <c r="D597" s="1"/>
      <c r="E597" s="1" t="str">
        <f ca="1">IFERROR(__xludf.DUMMYFUNCTION("""COMPUTED_VALUE"""),"numeric")</f>
        <v>numeric</v>
      </c>
      <c r="F597" s="1"/>
      <c r="G597" s="1" t="str">
        <f ca="1">IFERROR(__xludf.DUMMYFUNCTION("""COMPUTED_VALUE"""),".na")</f>
        <v>.na</v>
      </c>
      <c r="H597" s="1"/>
      <c r="I597" s="1"/>
      <c r="J597" s="1"/>
      <c r="K597" s="1" t="str">
        <f ca="1">IFERROR(__xludf.DUMMYFUNCTION("""COMPUTED_VALUE"""),"response")</f>
        <v>response</v>
      </c>
      <c r="L597" s="1" t="str">
        <f ca="1">IFERROR(__xludf.DUMMYFUNCTION("""COMPUTED_VALUE"""),"10.1111/ddi.12277")</f>
        <v>10.1111/ddi.12277</v>
      </c>
      <c r="M597" s="1" t="str">
        <f ca="1">IFERROR(__xludf.DUMMYFUNCTION("""COMPUTED_VALUE"""),"Cisneros_2014")</f>
        <v>Cisneros_2014</v>
      </c>
    </row>
    <row r="598" spans="1:13" ht="13.2">
      <c r="A598" s="1" t="str">
        <f ca="1">IFERROR(__xludf.DUMMYFUNCTION("""COMPUTED_VALUE"""),"Width across postorbital constriction")</f>
        <v>Width across postorbital constriction</v>
      </c>
      <c r="B598" s="1"/>
      <c r="C598" s="1"/>
      <c r="D598" s="1"/>
      <c r="E598" s="1" t="str">
        <f ca="1">IFERROR(__xludf.DUMMYFUNCTION("""COMPUTED_VALUE"""),"numeric")</f>
        <v>numeric</v>
      </c>
      <c r="F598" s="1"/>
      <c r="G598" s="1" t="str">
        <f ca="1">IFERROR(__xludf.DUMMYFUNCTION("""COMPUTED_VALUE"""),".na")</f>
        <v>.na</v>
      </c>
      <c r="H598" s="1"/>
      <c r="I598" s="1"/>
      <c r="J598" s="1"/>
      <c r="K598" s="1" t="str">
        <f ca="1">IFERROR(__xludf.DUMMYFUNCTION("""COMPUTED_VALUE"""),"response")</f>
        <v>response</v>
      </c>
      <c r="L598" s="1" t="str">
        <f ca="1">IFERROR(__xludf.DUMMYFUNCTION("""COMPUTED_VALUE"""),"10.1111/ddi.12277")</f>
        <v>10.1111/ddi.12277</v>
      </c>
      <c r="M598" s="1" t="str">
        <f ca="1">IFERROR(__xludf.DUMMYFUNCTION("""COMPUTED_VALUE"""),"Cisneros_2014")</f>
        <v>Cisneros_2014</v>
      </c>
    </row>
    <row r="599" spans="1:13" ht="13.2">
      <c r="A599" s="1" t="str">
        <f ca="1">IFERROR(__xludf.DUMMYFUNCTION("""COMPUTED_VALUE"""),"Breadth of braincase")</f>
        <v>Breadth of braincase</v>
      </c>
      <c r="B599" s="1"/>
      <c r="C599" s="1"/>
      <c r="D599" s="1"/>
      <c r="E599" s="1" t="str">
        <f ca="1">IFERROR(__xludf.DUMMYFUNCTION("""COMPUTED_VALUE"""),"numeric")</f>
        <v>numeric</v>
      </c>
      <c r="F599" s="1"/>
      <c r="G599" s="1" t="str">
        <f ca="1">IFERROR(__xludf.DUMMYFUNCTION("""COMPUTED_VALUE"""),".na")</f>
        <v>.na</v>
      </c>
      <c r="H599" s="1"/>
      <c r="I599" s="1"/>
      <c r="J599" s="1"/>
      <c r="K599" s="1" t="str">
        <f ca="1">IFERROR(__xludf.DUMMYFUNCTION("""COMPUTED_VALUE"""),"response")</f>
        <v>response</v>
      </c>
      <c r="L599" s="1" t="str">
        <f ca="1">IFERROR(__xludf.DUMMYFUNCTION("""COMPUTED_VALUE"""),"10.1111/ddi.12277")</f>
        <v>10.1111/ddi.12277</v>
      </c>
      <c r="M599" s="1" t="str">
        <f ca="1">IFERROR(__xludf.DUMMYFUNCTION("""COMPUTED_VALUE"""),"Cisneros_2014")</f>
        <v>Cisneros_2014</v>
      </c>
    </row>
    <row r="600" spans="1:13" ht="13.2">
      <c r="A600" s="1" t="str">
        <f ca="1">IFERROR(__xludf.DUMMYFUNCTION("""COMPUTED_VALUE"""),"Wing loading")</f>
        <v>Wing loading</v>
      </c>
      <c r="B600" s="1"/>
      <c r="C600" s="1"/>
      <c r="D600" s="1"/>
      <c r="E600" s="1" t="str">
        <f ca="1">IFERROR(__xludf.DUMMYFUNCTION("""COMPUTED_VALUE"""),"numeric")</f>
        <v>numeric</v>
      </c>
      <c r="F600" s="1"/>
      <c r="G600" s="1" t="str">
        <f ca="1">IFERROR(__xludf.DUMMYFUNCTION("""COMPUTED_VALUE"""),".na")</f>
        <v>.na</v>
      </c>
      <c r="H600" s="1"/>
      <c r="I600" s="1"/>
      <c r="J600" s="1"/>
      <c r="K600" s="1" t="str">
        <f ca="1">IFERROR(__xludf.DUMMYFUNCTION("""COMPUTED_VALUE"""),"response")</f>
        <v>response</v>
      </c>
      <c r="L600" s="1" t="str">
        <f ca="1">IFERROR(__xludf.DUMMYFUNCTION("""COMPUTED_VALUE"""),"10.1111/ddi.12277")</f>
        <v>10.1111/ddi.12277</v>
      </c>
      <c r="M600" s="1" t="str">
        <f ca="1">IFERROR(__xludf.DUMMYFUNCTION("""COMPUTED_VALUE"""),"Cisneros_2014")</f>
        <v>Cisneros_2014</v>
      </c>
    </row>
    <row r="601" spans="1:13" ht="13.2">
      <c r="A601" s="1" t="str">
        <f ca="1">IFERROR(__xludf.DUMMYFUNCTION("""COMPUTED_VALUE"""),"Aspect ratio")</f>
        <v>Aspect ratio</v>
      </c>
      <c r="B601" s="1"/>
      <c r="C601" s="1"/>
      <c r="D601" s="1"/>
      <c r="E601" s="1" t="str">
        <f ca="1">IFERROR(__xludf.DUMMYFUNCTION("""COMPUTED_VALUE"""),"numeric")</f>
        <v>numeric</v>
      </c>
      <c r="F601" s="1"/>
      <c r="G601" s="1" t="str">
        <f ca="1">IFERROR(__xludf.DUMMYFUNCTION("""COMPUTED_VALUE"""),".na")</f>
        <v>.na</v>
      </c>
      <c r="H601" s="1"/>
      <c r="I601" s="1"/>
      <c r="J601" s="1"/>
      <c r="K601" s="1" t="str">
        <f ca="1">IFERROR(__xludf.DUMMYFUNCTION("""COMPUTED_VALUE"""),"response")</f>
        <v>response</v>
      </c>
      <c r="L601" s="1" t="str">
        <f ca="1">IFERROR(__xludf.DUMMYFUNCTION("""COMPUTED_VALUE"""),"10.1111/ddi.12277")</f>
        <v>10.1111/ddi.12277</v>
      </c>
      <c r="M601" s="1" t="str">
        <f ca="1">IFERROR(__xludf.DUMMYFUNCTION("""COMPUTED_VALUE"""),"Cisneros_2014")</f>
        <v>Cisneros_2014</v>
      </c>
    </row>
    <row r="602" spans="1:13" ht="13.2">
      <c r="A602" s="1" t="str">
        <f ca="1">IFERROR(__xludf.DUMMYFUNCTION("""COMPUTED_VALUE"""),"Trophic guilds")</f>
        <v>Trophic guilds</v>
      </c>
      <c r="B602" s="1" t="str">
        <f ca="1">IFERROR(__xludf.DUMMYFUNCTION("""COMPUTED_VALUE"""),"Diet")</f>
        <v>Diet</v>
      </c>
      <c r="C602" s="1"/>
      <c r="D602" s="1"/>
      <c r="E602" s="1" t="str">
        <f ca="1">IFERROR(__xludf.DUMMYFUNCTION("""COMPUTED_VALUE"""),"categorical")</f>
        <v>categorical</v>
      </c>
      <c r="F602" s="1" t="str">
        <f ca="1">IFERROR(__xludf.DUMMYFUNCTION("""COMPUTED_VALUE"""),".na")</f>
        <v>.na</v>
      </c>
      <c r="G602" s="1" t="str">
        <f ca="1">IFERROR(__xludf.DUMMYFUNCTION("""COMPUTED_VALUE"""),"aerial insectivores, frugivores, gleaning animalivores, nectarivores, piscivores, sanguinivores")</f>
        <v>aerial insectivores, frugivores, gleaning animalivores, nectarivores, piscivores, sanguinivores</v>
      </c>
      <c r="H602" s="1" t="str">
        <f ca="1">IFERROR(__xludf.DUMMYFUNCTION("""COMPUTED_VALUE"""),".na")</f>
        <v>.na</v>
      </c>
      <c r="I602" s="1" t="str">
        <f ca="1">IFERROR(__xludf.DUMMYFUNCTION("""COMPUTED_VALUE"""),".na")</f>
        <v>.na</v>
      </c>
      <c r="J602" s="1"/>
      <c r="K602" s="1" t="str">
        <f ca="1">IFERROR(__xludf.DUMMYFUNCTION("""COMPUTED_VALUE"""),"response")</f>
        <v>response</v>
      </c>
      <c r="L602" s="1" t="str">
        <f ca="1">IFERROR(__xludf.DUMMYFUNCTION("""COMPUTED_VALUE"""),"10.1111/geb.12192")</f>
        <v>10.1111/geb.12192</v>
      </c>
      <c r="M602" s="1" t="str">
        <f ca="1">IFERROR(__xludf.DUMMYFUNCTION("""COMPUTED_VALUE"""),"Stevens_2014")</f>
        <v>Stevens_2014</v>
      </c>
    </row>
    <row r="603" spans="1:13" ht="13.2">
      <c r="A603" s="1" t="str">
        <f ca="1">IFERROR(__xludf.DUMMYFUNCTION("""COMPUTED_VALUE"""),"forearm length")</f>
        <v>forearm length</v>
      </c>
      <c r="B603" s="1"/>
      <c r="C603" s="1"/>
      <c r="D603" s="1"/>
      <c r="E603" s="1" t="str">
        <f ca="1">IFERROR(__xludf.DUMMYFUNCTION("""COMPUTED_VALUE"""),"numeric")</f>
        <v>numeric</v>
      </c>
      <c r="F603" s="1"/>
      <c r="G603" s="1" t="str">
        <f ca="1">IFERROR(__xludf.DUMMYFUNCTION("""COMPUTED_VALUE"""),".na")</f>
        <v>.na</v>
      </c>
      <c r="H603" s="1"/>
      <c r="I603" s="1"/>
      <c r="J603" s="1"/>
      <c r="K603" s="1" t="str">
        <f ca="1">IFERROR(__xludf.DUMMYFUNCTION("""COMPUTED_VALUE"""),"response")</f>
        <v>response</v>
      </c>
      <c r="L603" s="1" t="str">
        <f ca="1">IFERROR(__xludf.DUMMYFUNCTION("""COMPUTED_VALUE"""),"10.1111/geb.12192")</f>
        <v>10.1111/geb.12192</v>
      </c>
      <c r="M603" s="1" t="str">
        <f ca="1">IFERROR(__xludf.DUMMYFUNCTION("""COMPUTED_VALUE"""),"Stevens_2014")</f>
        <v>Stevens_2014</v>
      </c>
    </row>
    <row r="604" spans="1:13" ht="13.2">
      <c r="A604" s="1" t="str">
        <f ca="1">IFERROR(__xludf.DUMMYFUNCTION("""COMPUTED_VALUE"""),"greatest length of skull")</f>
        <v>greatest length of skull</v>
      </c>
      <c r="B604" s="1"/>
      <c r="C604" s="1"/>
      <c r="D604" s="1"/>
      <c r="E604" s="1" t="str">
        <f ca="1">IFERROR(__xludf.DUMMYFUNCTION("""COMPUTED_VALUE"""),"numeric")</f>
        <v>numeric</v>
      </c>
      <c r="F604" s="1"/>
      <c r="G604" s="1" t="str">
        <f ca="1">IFERROR(__xludf.DUMMYFUNCTION("""COMPUTED_VALUE"""),".na")</f>
        <v>.na</v>
      </c>
      <c r="H604" s="1"/>
      <c r="I604" s="1"/>
      <c r="J604" s="1"/>
      <c r="K604" s="1" t="str">
        <f ca="1">IFERROR(__xludf.DUMMYFUNCTION("""COMPUTED_VALUE"""),"response")</f>
        <v>response</v>
      </c>
      <c r="L604" s="1" t="str">
        <f ca="1">IFERROR(__xludf.DUMMYFUNCTION("""COMPUTED_VALUE"""),"10.1111/geb.12192")</f>
        <v>10.1111/geb.12192</v>
      </c>
      <c r="M604" s="1" t="str">
        <f ca="1">IFERROR(__xludf.DUMMYFUNCTION("""COMPUTED_VALUE"""),"Stevens_2014")</f>
        <v>Stevens_2014</v>
      </c>
    </row>
    <row r="605" spans="1:13" ht="13.2">
      <c r="A605" s="1" t="str">
        <f ca="1">IFERROR(__xludf.DUMMYFUNCTION("""COMPUTED_VALUE"""),"condylobasal length")</f>
        <v>condylobasal length</v>
      </c>
      <c r="B605" s="1"/>
      <c r="C605" s="1"/>
      <c r="D605" s="1"/>
      <c r="E605" s="1" t="str">
        <f ca="1">IFERROR(__xludf.DUMMYFUNCTION("""COMPUTED_VALUE"""),"numeric")</f>
        <v>numeric</v>
      </c>
      <c r="F605" s="1"/>
      <c r="G605" s="1" t="str">
        <f ca="1">IFERROR(__xludf.DUMMYFUNCTION("""COMPUTED_VALUE"""),".na")</f>
        <v>.na</v>
      </c>
      <c r="H605" s="1"/>
      <c r="I605" s="1"/>
      <c r="J605" s="1"/>
      <c r="K605" s="1" t="str">
        <f ca="1">IFERROR(__xludf.DUMMYFUNCTION("""COMPUTED_VALUE"""),"response")</f>
        <v>response</v>
      </c>
      <c r="L605" s="1" t="str">
        <f ca="1">IFERROR(__xludf.DUMMYFUNCTION("""COMPUTED_VALUE"""),"10.1111/geb.12192")</f>
        <v>10.1111/geb.12192</v>
      </c>
      <c r="M605" s="1" t="str">
        <f ca="1">IFERROR(__xludf.DUMMYFUNCTION("""COMPUTED_VALUE"""),"Stevens_2014")</f>
        <v>Stevens_2014</v>
      </c>
    </row>
    <row r="606" spans="1:13" ht="13.2">
      <c r="A606" s="1" t="str">
        <f ca="1">IFERROR(__xludf.DUMMYFUNCTION("""COMPUTED_VALUE"""),"length of maxillary toothrow")</f>
        <v>length of maxillary toothrow</v>
      </c>
      <c r="B606" s="1"/>
      <c r="C606" s="1"/>
      <c r="D606" s="1"/>
      <c r="E606" s="1" t="str">
        <f ca="1">IFERROR(__xludf.DUMMYFUNCTION("""COMPUTED_VALUE"""),"numeric")</f>
        <v>numeric</v>
      </c>
      <c r="F606" s="1"/>
      <c r="G606" s="1" t="str">
        <f ca="1">IFERROR(__xludf.DUMMYFUNCTION("""COMPUTED_VALUE"""),".na")</f>
        <v>.na</v>
      </c>
      <c r="H606" s="1"/>
      <c r="I606" s="1"/>
      <c r="J606" s="1"/>
      <c r="K606" s="1" t="str">
        <f ca="1">IFERROR(__xludf.DUMMYFUNCTION("""COMPUTED_VALUE"""),"response")</f>
        <v>response</v>
      </c>
      <c r="L606" s="1" t="str">
        <f ca="1">IFERROR(__xludf.DUMMYFUNCTION("""COMPUTED_VALUE"""),"10.1111/geb.12192")</f>
        <v>10.1111/geb.12192</v>
      </c>
      <c r="M606" s="1" t="str">
        <f ca="1">IFERROR(__xludf.DUMMYFUNCTION("""COMPUTED_VALUE"""),"Stevens_2014")</f>
        <v>Stevens_2014</v>
      </c>
    </row>
    <row r="607" spans="1:13" ht="13.2">
      <c r="A607" s="1" t="str">
        <f ca="1">IFERROR(__xludf.DUMMYFUNCTION("""COMPUTED_VALUE"""),"breadth of post-orbital constriction")</f>
        <v>breadth of post-orbital constriction</v>
      </c>
      <c r="B607" s="1"/>
      <c r="C607" s="1"/>
      <c r="D607" s="1"/>
      <c r="E607" s="1" t="str">
        <f ca="1">IFERROR(__xludf.DUMMYFUNCTION("""COMPUTED_VALUE"""),"numeric")</f>
        <v>numeric</v>
      </c>
      <c r="F607" s="1"/>
      <c r="G607" s="1" t="str">
        <f ca="1">IFERROR(__xludf.DUMMYFUNCTION("""COMPUTED_VALUE"""),".na")</f>
        <v>.na</v>
      </c>
      <c r="H607" s="1"/>
      <c r="I607" s="1"/>
      <c r="J607" s="1"/>
      <c r="K607" s="1" t="str">
        <f ca="1">IFERROR(__xludf.DUMMYFUNCTION("""COMPUTED_VALUE"""),"response")</f>
        <v>response</v>
      </c>
      <c r="L607" s="1" t="str">
        <f ca="1">IFERROR(__xludf.DUMMYFUNCTION("""COMPUTED_VALUE"""),"10.1111/geb.12192")</f>
        <v>10.1111/geb.12192</v>
      </c>
      <c r="M607" s="1" t="str">
        <f ca="1">IFERROR(__xludf.DUMMYFUNCTION("""COMPUTED_VALUE"""),"Stevens_2014")</f>
        <v>Stevens_2014</v>
      </c>
    </row>
    <row r="608" spans="1:13" ht="13.2">
      <c r="A608" s="1" t="str">
        <f ca="1">IFERROR(__xludf.DUMMYFUNCTION("""COMPUTED_VALUE"""),"breadth of braincase")</f>
        <v>breadth of braincase</v>
      </c>
      <c r="B608" s="1"/>
      <c r="C608" s="1"/>
      <c r="D608" s="1"/>
      <c r="E608" s="1" t="str">
        <f ca="1">IFERROR(__xludf.DUMMYFUNCTION("""COMPUTED_VALUE"""),"numeric")</f>
        <v>numeric</v>
      </c>
      <c r="F608" s="1"/>
      <c r="G608" s="1" t="str">
        <f ca="1">IFERROR(__xludf.DUMMYFUNCTION("""COMPUTED_VALUE"""),".na")</f>
        <v>.na</v>
      </c>
      <c r="H608" s="1"/>
      <c r="I608" s="1"/>
      <c r="J608" s="1"/>
      <c r="K608" s="1" t="str">
        <f ca="1">IFERROR(__xludf.DUMMYFUNCTION("""COMPUTED_VALUE"""),"response")</f>
        <v>response</v>
      </c>
      <c r="L608" s="1" t="str">
        <f ca="1">IFERROR(__xludf.DUMMYFUNCTION("""COMPUTED_VALUE"""),"10.1111/geb.12192")</f>
        <v>10.1111/geb.12192</v>
      </c>
      <c r="M608" s="1" t="str">
        <f ca="1">IFERROR(__xludf.DUMMYFUNCTION("""COMPUTED_VALUE"""),"Stevens_2014")</f>
        <v>Stevens_2014</v>
      </c>
    </row>
    <row r="609" spans="1:13" ht="13.2">
      <c r="A609" s="1" t="str">
        <f ca="1">IFERROR(__xludf.DUMMYFUNCTION("""COMPUTED_VALUE"""),"breadth across upper molars")</f>
        <v>breadth across upper molars</v>
      </c>
      <c r="B609" s="1"/>
      <c r="C609" s="1"/>
      <c r="D609" s="1"/>
      <c r="E609" s="1" t="str">
        <f ca="1">IFERROR(__xludf.DUMMYFUNCTION("""COMPUTED_VALUE"""),"numeric")</f>
        <v>numeric</v>
      </c>
      <c r="F609" s="1"/>
      <c r="G609" s="1" t="str">
        <f ca="1">IFERROR(__xludf.DUMMYFUNCTION("""COMPUTED_VALUE"""),".na")</f>
        <v>.na</v>
      </c>
      <c r="H609" s="1"/>
      <c r="I609" s="1"/>
      <c r="J609" s="1"/>
      <c r="K609" s="1" t="str">
        <f ca="1">IFERROR(__xludf.DUMMYFUNCTION("""COMPUTED_VALUE"""),"response")</f>
        <v>response</v>
      </c>
      <c r="L609" s="1" t="str">
        <f ca="1">IFERROR(__xludf.DUMMYFUNCTION("""COMPUTED_VALUE"""),"10.1111/geb.12192")</f>
        <v>10.1111/geb.12192</v>
      </c>
      <c r="M609" s="1" t="str">
        <f ca="1">IFERROR(__xludf.DUMMYFUNCTION("""COMPUTED_VALUE"""),"Stevens_2014")</f>
        <v>Stevens_2014</v>
      </c>
    </row>
    <row r="610" spans="1:13" ht="13.2">
      <c r="A610" s="1" t="str">
        <f ca="1">IFERROR(__xludf.DUMMYFUNCTION("""COMPUTED_VALUE"""),"Diet")</f>
        <v>Diet</v>
      </c>
      <c r="B610" s="1"/>
      <c r="C610" s="1"/>
      <c r="D610" s="1"/>
      <c r="E610" s="1" t="str">
        <f ca="1">IFERROR(__xludf.DUMMYFUNCTION("""COMPUTED_VALUE"""),"categorical")</f>
        <v>categorical</v>
      </c>
      <c r="F610" s="1" t="str">
        <f ca="1">IFERROR(__xludf.DUMMYFUNCTION("""COMPUTED_VALUE"""),".na")</f>
        <v>.na</v>
      </c>
      <c r="G610" s="1" t="str">
        <f ca="1">IFERROR(__xludf.DUMMYFUNCTION("""COMPUTED_VALUE"""),"Fruit or plant, Nectar or pollen, Invertebrates, Vertebrates, Blood")</f>
        <v>Fruit or plant, Nectar or pollen, Invertebrates, Vertebrates, Blood</v>
      </c>
      <c r="H610" s="1" t="str">
        <f ca="1">IFERROR(__xludf.DUMMYFUNCTION("""COMPUTED_VALUE"""),".na")</f>
        <v>.na</v>
      </c>
      <c r="I610" s="1" t="str">
        <f ca="1">IFERROR(__xludf.DUMMYFUNCTION("""COMPUTED_VALUE"""),".na")</f>
        <v>.na</v>
      </c>
      <c r="J610" s="1"/>
      <c r="K610" s="1" t="str">
        <f ca="1">IFERROR(__xludf.DUMMYFUNCTION("""COMPUTED_VALUE"""),"response")</f>
        <v>response</v>
      </c>
      <c r="L610" s="1" t="str">
        <f ca="1">IFERROR(__xludf.DUMMYFUNCTION("""COMPUTED_VALUE"""),"10.1111/1365-2656.12201")</f>
        <v>10.1111/1365-2656.12201</v>
      </c>
      <c r="M610" s="1" t="str">
        <f ca="1">IFERROR(__xludf.DUMMYFUNCTION("""COMPUTED_VALUE"""),"Cisneros_2014")</f>
        <v>Cisneros_2014</v>
      </c>
    </row>
    <row r="611" spans="1:13" ht="13.2">
      <c r="A611" s="1" t="str">
        <f ca="1">IFERROR(__xludf.DUMMYFUNCTION("""COMPUTED_VALUE"""),"Foraging location")</f>
        <v>Foraging location</v>
      </c>
      <c r="B611" s="1"/>
      <c r="C611" s="1"/>
      <c r="D611" s="1"/>
      <c r="E611" s="1" t="str">
        <f ca="1">IFERROR(__xludf.DUMMYFUNCTION("""COMPUTED_VALUE"""),"categorical")</f>
        <v>categorical</v>
      </c>
      <c r="F611" s="1" t="str">
        <f ca="1">IFERROR(__xludf.DUMMYFUNCTION("""COMPUTED_VALUE"""),".na")</f>
        <v>.na</v>
      </c>
      <c r="G611" s="1" t="str">
        <f ca="1">IFERROR(__xludf.DUMMYFUNCTION("""COMPUTED_VALUE"""),"Canopy, Subcanopy, Understory")</f>
        <v>Canopy, Subcanopy, Understory</v>
      </c>
      <c r="H611" s="1" t="str">
        <f ca="1">IFERROR(__xludf.DUMMYFUNCTION("""COMPUTED_VALUE"""),".na")</f>
        <v>.na</v>
      </c>
      <c r="I611" s="1" t="str">
        <f ca="1">IFERROR(__xludf.DUMMYFUNCTION("""COMPUTED_VALUE"""),".na")</f>
        <v>.na</v>
      </c>
      <c r="J611" s="1"/>
      <c r="K611" s="1" t="str">
        <f ca="1">IFERROR(__xludf.DUMMYFUNCTION("""COMPUTED_VALUE"""),"response")</f>
        <v>response</v>
      </c>
      <c r="L611" s="1" t="str">
        <f ca="1">IFERROR(__xludf.DUMMYFUNCTION("""COMPUTED_VALUE"""),"10.1111/1365-2656.12201")</f>
        <v>10.1111/1365-2656.12201</v>
      </c>
      <c r="M611" s="1" t="str">
        <f ca="1">IFERROR(__xludf.DUMMYFUNCTION("""COMPUTED_VALUE"""),"Cisneros_2014")</f>
        <v>Cisneros_2014</v>
      </c>
    </row>
    <row r="612" spans="1:13" ht="13.2">
      <c r="A612" s="1" t="str">
        <f ca="1">IFERROR(__xludf.DUMMYFUNCTION("""COMPUTED_VALUE"""),"Foraging strategy")</f>
        <v>Foraging strategy</v>
      </c>
      <c r="B612" s="1"/>
      <c r="C612" s="1"/>
      <c r="D612" s="1"/>
      <c r="E612" s="1" t="str">
        <f ca="1">IFERROR(__xludf.DUMMYFUNCTION("""COMPUTED_VALUE"""),"categorical")</f>
        <v>categorical</v>
      </c>
      <c r="F612" s="1" t="str">
        <f ca="1">IFERROR(__xludf.DUMMYFUNCTION("""COMPUTED_VALUE"""),".na")</f>
        <v>.na</v>
      </c>
      <c r="G612" s="1" t="str">
        <f ca="1">IFERROR(__xludf.DUMMYFUNCTION("""COMPUTED_VALUE"""),"Gleaning, Hover, Pounce")</f>
        <v>Gleaning, Hover, Pounce</v>
      </c>
      <c r="H612" s="1" t="str">
        <f ca="1">IFERROR(__xludf.DUMMYFUNCTION("""COMPUTED_VALUE"""),".na")</f>
        <v>.na</v>
      </c>
      <c r="I612" s="1" t="str">
        <f ca="1">IFERROR(__xludf.DUMMYFUNCTION("""COMPUTED_VALUE"""),".na")</f>
        <v>.na</v>
      </c>
      <c r="J612" s="1"/>
      <c r="K612" s="1" t="str">
        <f ca="1">IFERROR(__xludf.DUMMYFUNCTION("""COMPUTED_VALUE"""),"response")</f>
        <v>response</v>
      </c>
      <c r="L612" s="1" t="str">
        <f ca="1">IFERROR(__xludf.DUMMYFUNCTION("""COMPUTED_VALUE"""),"10.1111/1365-2656.12201")</f>
        <v>10.1111/1365-2656.12201</v>
      </c>
      <c r="M612" s="1" t="str">
        <f ca="1">IFERROR(__xludf.DUMMYFUNCTION("""COMPUTED_VALUE"""),"Cisneros_2014")</f>
        <v>Cisneros_2014</v>
      </c>
    </row>
    <row r="613" spans="1:13" ht="13.2">
      <c r="A613" s="1" t="str">
        <f ca="1">IFERROR(__xludf.DUMMYFUNCTION("""COMPUTED_VALUE"""),"Roost type")</f>
        <v>Roost type</v>
      </c>
      <c r="B613" s="1"/>
      <c r="C613" s="1"/>
      <c r="D613" s="1"/>
      <c r="E613" s="1" t="str">
        <f ca="1">IFERROR(__xludf.DUMMYFUNCTION("""COMPUTED_VALUE"""),"categorical")</f>
        <v>categorical</v>
      </c>
      <c r="F613" s="1" t="str">
        <f ca="1">IFERROR(__xludf.DUMMYFUNCTION("""COMPUTED_VALUE"""),".na")</f>
        <v>.na</v>
      </c>
      <c r="G613" s="1" t="str">
        <f ca="1">IFERROR(__xludf.DUMMYFUNCTION("""COMPUTED_VALUE"""),"Foliage, Bark or roots, Tree hole or termite nest, Man-made structures, Culvert or under large rocks, Cave, tunnels, mines or sewers")</f>
        <v>Foliage, Bark or roots, Tree hole or termite nest, Man-made structures, Culvert or under large rocks, Cave, tunnels, mines or sewers</v>
      </c>
      <c r="H613" s="1" t="str">
        <f ca="1">IFERROR(__xludf.DUMMYFUNCTION("""COMPUTED_VALUE"""),".na")</f>
        <v>.na</v>
      </c>
      <c r="I613" s="1" t="str">
        <f ca="1">IFERROR(__xludf.DUMMYFUNCTION("""COMPUTED_VALUE"""),".na")</f>
        <v>.na</v>
      </c>
      <c r="J613" s="1"/>
      <c r="K613" s="1" t="str">
        <f ca="1">IFERROR(__xludf.DUMMYFUNCTION("""COMPUTED_VALUE"""),"response")</f>
        <v>response</v>
      </c>
      <c r="L613" s="1" t="str">
        <f ca="1">IFERROR(__xludf.DUMMYFUNCTION("""COMPUTED_VALUE"""),"10.1111/1365-2656.12201")</f>
        <v>10.1111/1365-2656.12201</v>
      </c>
      <c r="M613" s="1" t="str">
        <f ca="1">IFERROR(__xludf.DUMMYFUNCTION("""COMPUTED_VALUE"""),"Cisneros_2014")</f>
        <v>Cisneros_2014</v>
      </c>
    </row>
    <row r="614" spans="1:13" ht="13.2">
      <c r="A614" s="1" t="str">
        <f ca="1">IFERROR(__xludf.DUMMYFUNCTION("""COMPUTED_VALUE"""),"Mass Mean")</f>
        <v>Mass Mean</v>
      </c>
      <c r="B614" s="1"/>
      <c r="C614" s="1"/>
      <c r="D614" s="1"/>
      <c r="E614" s="1" t="str">
        <f ca="1">IFERROR(__xludf.DUMMYFUNCTION("""COMPUTED_VALUE"""),"numeric")</f>
        <v>numeric</v>
      </c>
      <c r="F614" s="1"/>
      <c r="G614" s="1" t="str">
        <f ca="1">IFERROR(__xludf.DUMMYFUNCTION("""COMPUTED_VALUE"""),".na")</f>
        <v>.na</v>
      </c>
      <c r="H614" s="1"/>
      <c r="I614" s="1"/>
      <c r="J614" s="1"/>
      <c r="K614" s="1" t="str">
        <f ca="1">IFERROR(__xludf.DUMMYFUNCTION("""COMPUTED_VALUE"""),"response")</f>
        <v>response</v>
      </c>
      <c r="L614" s="1" t="str">
        <f ca="1">IFERROR(__xludf.DUMMYFUNCTION("""COMPUTED_VALUE"""),"10.1111/1365-2656.12201")</f>
        <v>10.1111/1365-2656.12201</v>
      </c>
      <c r="M614" s="1" t="str">
        <f ca="1">IFERROR(__xludf.DUMMYFUNCTION("""COMPUTED_VALUE"""),"Cisneros_2014")</f>
        <v>Cisneros_2014</v>
      </c>
    </row>
    <row r="615" spans="1:13" ht="13.2">
      <c r="A615" s="1" t="str">
        <f ca="1">IFERROR(__xludf.DUMMYFUNCTION("""COMPUTED_VALUE"""),"Forearm length")</f>
        <v>Forearm length</v>
      </c>
      <c r="B615" s="1"/>
      <c r="C615" s="1"/>
      <c r="D615" s="1"/>
      <c r="E615" s="1" t="str">
        <f ca="1">IFERROR(__xludf.DUMMYFUNCTION("""COMPUTED_VALUE"""),"numeric")</f>
        <v>numeric</v>
      </c>
      <c r="F615" s="1"/>
      <c r="G615" s="1" t="str">
        <f ca="1">IFERROR(__xludf.DUMMYFUNCTION("""COMPUTED_VALUE"""),".na")</f>
        <v>.na</v>
      </c>
      <c r="H615" s="1"/>
      <c r="I615" s="1"/>
      <c r="J615" s="1"/>
      <c r="K615" s="1" t="str">
        <f ca="1">IFERROR(__xludf.DUMMYFUNCTION("""COMPUTED_VALUE"""),"response")</f>
        <v>response</v>
      </c>
      <c r="L615" s="1" t="str">
        <f ca="1">IFERROR(__xludf.DUMMYFUNCTION("""COMPUTED_VALUE"""),"10.1111/1365-2656.12201")</f>
        <v>10.1111/1365-2656.12201</v>
      </c>
      <c r="M615" s="1" t="str">
        <f ca="1">IFERROR(__xludf.DUMMYFUNCTION("""COMPUTED_VALUE"""),"Cisneros_2014")</f>
        <v>Cisneros_2014</v>
      </c>
    </row>
    <row r="616" spans="1:13" ht="13.2">
      <c r="A616" s="1" t="str">
        <f ca="1">IFERROR(__xludf.DUMMYFUNCTION("""COMPUTED_VALUE"""),"Greatest length of skull")</f>
        <v>Greatest length of skull</v>
      </c>
      <c r="B616" s="1"/>
      <c r="C616" s="1"/>
      <c r="D616" s="1"/>
      <c r="E616" s="1" t="str">
        <f ca="1">IFERROR(__xludf.DUMMYFUNCTION("""COMPUTED_VALUE"""),"numeric")</f>
        <v>numeric</v>
      </c>
      <c r="F616" s="1"/>
      <c r="G616" s="1" t="str">
        <f ca="1">IFERROR(__xludf.DUMMYFUNCTION("""COMPUTED_VALUE"""),".na")</f>
        <v>.na</v>
      </c>
      <c r="H616" s="1"/>
      <c r="I616" s="1"/>
      <c r="J616" s="1"/>
      <c r="K616" s="1" t="str">
        <f ca="1">IFERROR(__xludf.DUMMYFUNCTION("""COMPUTED_VALUE"""),"response")</f>
        <v>response</v>
      </c>
      <c r="L616" s="1" t="str">
        <f ca="1">IFERROR(__xludf.DUMMYFUNCTION("""COMPUTED_VALUE"""),"10.1111/1365-2656.12201")</f>
        <v>10.1111/1365-2656.12201</v>
      </c>
      <c r="M616" s="1" t="str">
        <f ca="1">IFERROR(__xludf.DUMMYFUNCTION("""COMPUTED_VALUE"""),"Cisneros_2014")</f>
        <v>Cisneros_2014</v>
      </c>
    </row>
    <row r="617" spans="1:13" ht="13.2">
      <c r="A617" s="1" t="str">
        <f ca="1">IFERROR(__xludf.DUMMYFUNCTION("""COMPUTED_VALUE"""),"Condylobasal length")</f>
        <v>Condylobasal length</v>
      </c>
      <c r="B617" s="1"/>
      <c r="C617" s="1"/>
      <c r="D617" s="1"/>
      <c r="E617" s="1" t="str">
        <f ca="1">IFERROR(__xludf.DUMMYFUNCTION("""COMPUTED_VALUE"""),"numeric")</f>
        <v>numeric</v>
      </c>
      <c r="F617" s="1"/>
      <c r="G617" s="1" t="str">
        <f ca="1">IFERROR(__xludf.DUMMYFUNCTION("""COMPUTED_VALUE"""),".na")</f>
        <v>.na</v>
      </c>
      <c r="H617" s="1"/>
      <c r="I617" s="1"/>
      <c r="J617" s="1"/>
      <c r="K617" s="1" t="str">
        <f ca="1">IFERROR(__xludf.DUMMYFUNCTION("""COMPUTED_VALUE"""),"response")</f>
        <v>response</v>
      </c>
      <c r="L617" s="1" t="str">
        <f ca="1">IFERROR(__xludf.DUMMYFUNCTION("""COMPUTED_VALUE"""),"10.1111/1365-2656.12201")</f>
        <v>10.1111/1365-2656.12201</v>
      </c>
      <c r="M617" s="1" t="str">
        <f ca="1">IFERROR(__xludf.DUMMYFUNCTION("""COMPUTED_VALUE"""),"Cisneros_2014")</f>
        <v>Cisneros_2014</v>
      </c>
    </row>
    <row r="618" spans="1:13" ht="13.2">
      <c r="A618" s="1" t="str">
        <f ca="1">IFERROR(__xludf.DUMMYFUNCTION("""COMPUTED_VALUE"""),"Length of maxillary toothrow")</f>
        <v>Length of maxillary toothrow</v>
      </c>
      <c r="B618" s="1"/>
      <c r="C618" s="1"/>
      <c r="D618" s="1"/>
      <c r="E618" s="1" t="str">
        <f ca="1">IFERROR(__xludf.DUMMYFUNCTION("""COMPUTED_VALUE"""),"numeric")</f>
        <v>numeric</v>
      </c>
      <c r="F618" s="1"/>
      <c r="G618" s="1" t="str">
        <f ca="1">IFERROR(__xludf.DUMMYFUNCTION("""COMPUTED_VALUE"""),".na")</f>
        <v>.na</v>
      </c>
      <c r="H618" s="1"/>
      <c r="I618" s="1"/>
      <c r="J618" s="1"/>
      <c r="K618" s="1" t="str">
        <f ca="1">IFERROR(__xludf.DUMMYFUNCTION("""COMPUTED_VALUE"""),"response")</f>
        <v>response</v>
      </c>
      <c r="L618" s="1" t="str">
        <f ca="1">IFERROR(__xludf.DUMMYFUNCTION("""COMPUTED_VALUE"""),"10.1111/1365-2656.12201")</f>
        <v>10.1111/1365-2656.12201</v>
      </c>
      <c r="M618" s="1" t="str">
        <f ca="1">IFERROR(__xludf.DUMMYFUNCTION("""COMPUTED_VALUE"""),"Cisneros_2014")</f>
        <v>Cisneros_2014</v>
      </c>
    </row>
    <row r="619" spans="1:13" ht="13.2">
      <c r="A619" s="1" t="str">
        <f ca="1">IFERROR(__xludf.DUMMYFUNCTION("""COMPUTED_VALUE"""),"Breadth across upper molars")</f>
        <v>Breadth across upper molars</v>
      </c>
      <c r="B619" s="1"/>
      <c r="C619" s="1"/>
      <c r="D619" s="1"/>
      <c r="E619" s="1" t="str">
        <f ca="1">IFERROR(__xludf.DUMMYFUNCTION("""COMPUTED_VALUE"""),"numeric")</f>
        <v>numeric</v>
      </c>
      <c r="F619" s="1"/>
      <c r="G619" s="1" t="str">
        <f ca="1">IFERROR(__xludf.DUMMYFUNCTION("""COMPUTED_VALUE"""),".na")</f>
        <v>.na</v>
      </c>
      <c r="H619" s="1"/>
      <c r="I619" s="1"/>
      <c r="J619" s="1"/>
      <c r="K619" s="1" t="str">
        <f ca="1">IFERROR(__xludf.DUMMYFUNCTION("""COMPUTED_VALUE"""),"response")</f>
        <v>response</v>
      </c>
      <c r="L619" s="1" t="str">
        <f ca="1">IFERROR(__xludf.DUMMYFUNCTION("""COMPUTED_VALUE"""),"10.1111/1365-2656.12201")</f>
        <v>10.1111/1365-2656.12201</v>
      </c>
      <c r="M619" s="1" t="str">
        <f ca="1">IFERROR(__xludf.DUMMYFUNCTION("""COMPUTED_VALUE"""),"Cisneros_2014")</f>
        <v>Cisneros_2014</v>
      </c>
    </row>
    <row r="620" spans="1:13" ht="13.2">
      <c r="A620" s="1" t="str">
        <f ca="1">IFERROR(__xludf.DUMMYFUNCTION("""COMPUTED_VALUE"""),"Width across postorbital constriction")</f>
        <v>Width across postorbital constriction</v>
      </c>
      <c r="B620" s="1"/>
      <c r="C620" s="1"/>
      <c r="D620" s="1"/>
      <c r="E620" s="1" t="str">
        <f ca="1">IFERROR(__xludf.DUMMYFUNCTION("""COMPUTED_VALUE"""),"numeric")</f>
        <v>numeric</v>
      </c>
      <c r="F620" s="1"/>
      <c r="G620" s="1" t="str">
        <f ca="1">IFERROR(__xludf.DUMMYFUNCTION("""COMPUTED_VALUE"""),".na")</f>
        <v>.na</v>
      </c>
      <c r="H620" s="1"/>
      <c r="I620" s="1"/>
      <c r="J620" s="1"/>
      <c r="K620" s="1" t="str">
        <f ca="1">IFERROR(__xludf.DUMMYFUNCTION("""COMPUTED_VALUE"""),"response")</f>
        <v>response</v>
      </c>
      <c r="L620" s="1" t="str">
        <f ca="1">IFERROR(__xludf.DUMMYFUNCTION("""COMPUTED_VALUE"""),"10.1111/1365-2656.12201")</f>
        <v>10.1111/1365-2656.12201</v>
      </c>
      <c r="M620" s="1" t="str">
        <f ca="1">IFERROR(__xludf.DUMMYFUNCTION("""COMPUTED_VALUE"""),"Cisneros_2014")</f>
        <v>Cisneros_2014</v>
      </c>
    </row>
    <row r="621" spans="1:13" ht="13.2">
      <c r="A621" s="1" t="str">
        <f ca="1">IFERROR(__xludf.DUMMYFUNCTION("""COMPUTED_VALUE"""),"Breadth of braincase")</f>
        <v>Breadth of braincase</v>
      </c>
      <c r="B621" s="1"/>
      <c r="C621" s="1"/>
      <c r="D621" s="1"/>
      <c r="E621" s="1" t="str">
        <f ca="1">IFERROR(__xludf.DUMMYFUNCTION("""COMPUTED_VALUE"""),"numeric")</f>
        <v>numeric</v>
      </c>
      <c r="F621" s="1"/>
      <c r="G621" s="1" t="str">
        <f ca="1">IFERROR(__xludf.DUMMYFUNCTION("""COMPUTED_VALUE"""),".na")</f>
        <v>.na</v>
      </c>
      <c r="H621" s="1"/>
      <c r="I621" s="1"/>
      <c r="J621" s="1"/>
      <c r="K621" s="1" t="str">
        <f ca="1">IFERROR(__xludf.DUMMYFUNCTION("""COMPUTED_VALUE"""),"response")</f>
        <v>response</v>
      </c>
      <c r="L621" s="1" t="str">
        <f ca="1">IFERROR(__xludf.DUMMYFUNCTION("""COMPUTED_VALUE"""),"10.1111/1365-2656.12201")</f>
        <v>10.1111/1365-2656.12201</v>
      </c>
      <c r="M621" s="1" t="str">
        <f ca="1">IFERROR(__xludf.DUMMYFUNCTION("""COMPUTED_VALUE"""),"Cisneros_2014")</f>
        <v>Cisneros_2014</v>
      </c>
    </row>
    <row r="622" spans="1:13" ht="13.2">
      <c r="A622" s="1" t="str">
        <f ca="1">IFERROR(__xludf.DUMMYFUNCTION("""COMPUTED_VALUE"""),"Wing loading")</f>
        <v>Wing loading</v>
      </c>
      <c r="B622" s="1"/>
      <c r="C622" s="1"/>
      <c r="D622" s="1"/>
      <c r="E622" s="1" t="str">
        <f ca="1">IFERROR(__xludf.DUMMYFUNCTION("""COMPUTED_VALUE"""),"numeric")</f>
        <v>numeric</v>
      </c>
      <c r="F622" s="1"/>
      <c r="G622" s="1" t="str">
        <f ca="1">IFERROR(__xludf.DUMMYFUNCTION("""COMPUTED_VALUE"""),".na")</f>
        <v>.na</v>
      </c>
      <c r="H622" s="1"/>
      <c r="I622" s="1"/>
      <c r="J622" s="1"/>
      <c r="K622" s="1" t="str">
        <f ca="1">IFERROR(__xludf.DUMMYFUNCTION("""COMPUTED_VALUE"""),"response")</f>
        <v>response</v>
      </c>
      <c r="L622" s="1" t="str">
        <f ca="1">IFERROR(__xludf.DUMMYFUNCTION("""COMPUTED_VALUE"""),"10.1111/1365-2656.12201")</f>
        <v>10.1111/1365-2656.12201</v>
      </c>
      <c r="M622" s="1" t="str">
        <f ca="1">IFERROR(__xludf.DUMMYFUNCTION("""COMPUTED_VALUE"""),"Cisneros_2014")</f>
        <v>Cisneros_2014</v>
      </c>
    </row>
    <row r="623" spans="1:13" ht="13.2">
      <c r="A623" s="1" t="str">
        <f ca="1">IFERROR(__xludf.DUMMYFUNCTION("""COMPUTED_VALUE"""),"Aspect ratio")</f>
        <v>Aspect ratio</v>
      </c>
      <c r="B623" s="1"/>
      <c r="C623" s="1"/>
      <c r="D623" s="1"/>
      <c r="E623" s="1" t="str">
        <f ca="1">IFERROR(__xludf.DUMMYFUNCTION("""COMPUTED_VALUE"""),"numeric")</f>
        <v>numeric</v>
      </c>
      <c r="F623" s="1"/>
      <c r="G623" s="1" t="str">
        <f ca="1">IFERROR(__xludf.DUMMYFUNCTION("""COMPUTED_VALUE"""),".na")</f>
        <v>.na</v>
      </c>
      <c r="H623" s="1"/>
      <c r="I623" s="1"/>
      <c r="J623" s="1"/>
      <c r="K623" s="1" t="str">
        <f ca="1">IFERROR(__xludf.DUMMYFUNCTION("""COMPUTED_VALUE"""),"response")</f>
        <v>response</v>
      </c>
      <c r="L623" s="1" t="str">
        <f ca="1">IFERROR(__xludf.DUMMYFUNCTION("""COMPUTED_VALUE"""),"10.1111/1365-2656.12201")</f>
        <v>10.1111/1365-2656.12201</v>
      </c>
      <c r="M623" s="1" t="str">
        <f ca="1">IFERROR(__xludf.DUMMYFUNCTION("""COMPUTED_VALUE"""),"Cisneros_2014")</f>
        <v>Cisneros_2014</v>
      </c>
    </row>
    <row r="624" spans="1:13" ht="13.2">
      <c r="A624" s="1" t="str">
        <f ca="1">IFERROR(__xludf.DUMMYFUNCTION("""COMPUTED_VALUE"""),"foraging habitat")</f>
        <v>foraging habitat</v>
      </c>
      <c r="B624" s="1"/>
      <c r="C624" s="1"/>
      <c r="D624" s="1"/>
      <c r="E624" s="1" t="str">
        <f ca="1">IFERROR(__xludf.DUMMYFUNCTION("""COMPUTED_VALUE"""),"categorical")</f>
        <v>categorical</v>
      </c>
      <c r="F624" s="1" t="str">
        <f ca="1">IFERROR(__xludf.DUMMYFUNCTION("""COMPUTED_VALUE"""),".na")</f>
        <v>.na</v>
      </c>
      <c r="G624" s="1" t="str">
        <f ca="1">IFERROR(__xludf.DUMMYFUNCTION("""COMPUTED_VALUE"""),"edge-low, edge-medium, edge-medium/high, edge-high, open-adapted, clutter-adapted")</f>
        <v>edge-low, edge-medium, edge-medium/high, edge-high, open-adapted, clutter-adapted</v>
      </c>
      <c r="H624" s="1" t="str">
        <f ca="1">IFERROR(__xludf.DUMMYFUNCTION("""COMPUTED_VALUE"""),".na")</f>
        <v>.na</v>
      </c>
      <c r="I624" s="1" t="str">
        <f ca="1">IFERROR(__xludf.DUMMYFUNCTION("""COMPUTED_VALUE"""),".na")</f>
        <v>.na</v>
      </c>
      <c r="J624" s="1"/>
      <c r="K624" s="1" t="str">
        <f ca="1">IFERROR(__xludf.DUMMYFUNCTION("""COMPUTED_VALUE"""),"response")</f>
        <v>response</v>
      </c>
      <c r="L624" s="1" t="str">
        <f ca="1">IFERROR(__xludf.DUMMYFUNCTION("""COMPUTED_VALUE"""),"10.1007/s10980-012-9842-0")</f>
        <v>10.1007/s10980-012-9842-0</v>
      </c>
      <c r="M624" s="1" t="str">
        <f ca="1">IFERROR(__xludf.DUMMYFUNCTION("""COMPUTED_VALUE"""),"Luck_2013")</f>
        <v>Luck_2013</v>
      </c>
    </row>
    <row r="625" spans="1:13" ht="13.2">
      <c r="A625" s="1" t="str">
        <f ca="1">IFERROR(__xludf.DUMMYFUNCTION("""COMPUTED_VALUE"""),"total activity level")</f>
        <v>total activity level</v>
      </c>
      <c r="B625" s="1"/>
      <c r="C625" s="1"/>
      <c r="D625" s="1"/>
      <c r="E625" s="1" t="str">
        <f ca="1">IFERROR(__xludf.DUMMYFUNCTION("""COMPUTED_VALUE"""),"numeric")</f>
        <v>numeric</v>
      </c>
      <c r="F625" s="1"/>
      <c r="G625" s="1" t="str">
        <f ca="1">IFERROR(__xludf.DUMMYFUNCTION("""COMPUTED_VALUE"""),".na")</f>
        <v>.na</v>
      </c>
      <c r="H625" s="1"/>
      <c r="I625" s="1"/>
      <c r="J625" s="1" t="str">
        <f ca="1">IFERROR(__xludf.DUMMYFUNCTION("""COMPUTED_VALUE"""),"i.e. number of passes from all bat species including passes not identified to species level")</f>
        <v>i.e. number of passes from all bat species including passes not identified to species level</v>
      </c>
      <c r="K625" s="1" t="str">
        <f ca="1">IFERROR(__xludf.DUMMYFUNCTION("""COMPUTED_VALUE"""),"response")</f>
        <v>response</v>
      </c>
      <c r="L625" s="1" t="str">
        <f ca="1">IFERROR(__xludf.DUMMYFUNCTION("""COMPUTED_VALUE"""),"10.1007/s10980-012-9842-0")</f>
        <v>10.1007/s10980-012-9842-0</v>
      </c>
      <c r="M625" s="1" t="str">
        <f ca="1">IFERROR(__xludf.DUMMYFUNCTION("""COMPUTED_VALUE"""),"Luck_2013")</f>
        <v>Luck_2013</v>
      </c>
    </row>
    <row r="626" spans="1:13" ht="13.2">
      <c r="A626" s="1" t="str">
        <f ca="1">IFERROR(__xludf.DUMMYFUNCTION("""COMPUTED_VALUE"""),"functional groups")</f>
        <v>functional groups</v>
      </c>
      <c r="B626" s="1"/>
      <c r="C626" s="1"/>
      <c r="D626" s="1"/>
      <c r="E626" s="1" t="str">
        <f ca="1">IFERROR(__xludf.DUMMYFUNCTION("""COMPUTED_VALUE"""),"categorical")</f>
        <v>categorical</v>
      </c>
      <c r="F626" s="1" t="str">
        <f ca="1">IFERROR(__xludf.DUMMYFUNCTION("""COMPUTED_VALUE"""),".na")</f>
        <v>.na</v>
      </c>
      <c r="G626" s="1" t="str">
        <f ca="1">IFERROR(__xludf.DUMMYFUNCTION("""COMPUTED_VALUE"""),"aerial insectivores, frugivores, gleaning animalivores (those that glean vertebrates and invertebrates from surfaces such a leaves, tree 
trunks and the ground [3]), nectarivores, piscivores, sanguinivores.")</f>
        <v>aerial insectivores, frugivores, gleaning animalivores (those that glean vertebrates and invertebrates from surfaces such a leaves, tree 
trunks and the ground [3]), nectarivores, piscivores, sanguinivores.</v>
      </c>
      <c r="H626" s="1" t="str">
        <f ca="1">IFERROR(__xludf.DUMMYFUNCTION("""COMPUTED_VALUE"""),".na")</f>
        <v>.na</v>
      </c>
      <c r="I626" s="1" t="str">
        <f ca="1">IFERROR(__xludf.DUMMYFUNCTION("""COMPUTED_VALUE"""),".na")</f>
        <v>.na</v>
      </c>
      <c r="J626" s="1"/>
      <c r="K626" s="1" t="str">
        <f ca="1">IFERROR(__xludf.DUMMYFUNCTION("""COMPUTED_VALUE"""),"response")</f>
        <v>response</v>
      </c>
      <c r="L626" s="1" t="str">
        <f ca="1">IFERROR(__xludf.DUMMYFUNCTION("""COMPUTED_VALUE"""),"10.1371/journal.pone.0056853")</f>
        <v>10.1371/journal.pone.0056853</v>
      </c>
      <c r="M626" s="1" t="str">
        <f ca="1">IFERROR(__xludf.DUMMYFUNCTION("""COMPUTED_VALUE"""),"Stevens_2013")</f>
        <v>Stevens_2013</v>
      </c>
    </row>
    <row r="627" spans="1:13" ht="13.2">
      <c r="A627" s="1" t="str">
        <f ca="1">IFERROR(__xludf.DUMMYFUNCTION("""COMPUTED_VALUE"""),"forearm length")</f>
        <v>forearm length</v>
      </c>
      <c r="B627" s="1"/>
      <c r="C627" s="1"/>
      <c r="D627" s="1"/>
      <c r="E627" s="1" t="str">
        <f ca="1">IFERROR(__xludf.DUMMYFUNCTION("""COMPUTED_VALUE"""),"numeric")</f>
        <v>numeric</v>
      </c>
      <c r="F627" s="1"/>
      <c r="G627" s="1" t="str">
        <f ca="1">IFERROR(__xludf.DUMMYFUNCTION("""COMPUTED_VALUE"""),".na")</f>
        <v>.na</v>
      </c>
      <c r="H627" s="1"/>
      <c r="I627" s="1"/>
      <c r="J627" s="1"/>
      <c r="K627" s="1" t="str">
        <f ca="1">IFERROR(__xludf.DUMMYFUNCTION("""COMPUTED_VALUE"""),"response")</f>
        <v>response</v>
      </c>
      <c r="L627" s="1" t="str">
        <f ca="1">IFERROR(__xludf.DUMMYFUNCTION("""COMPUTED_VALUE"""),"10.1371/journal.pone.0056853")</f>
        <v>10.1371/journal.pone.0056853</v>
      </c>
      <c r="M627" s="1" t="str">
        <f ca="1">IFERROR(__xludf.DUMMYFUNCTION("""COMPUTED_VALUE"""),"Stevens_2013")</f>
        <v>Stevens_2013</v>
      </c>
    </row>
    <row r="628" spans="1:13" ht="13.2">
      <c r="A628" s="1" t="str">
        <f ca="1">IFERROR(__xludf.DUMMYFUNCTION("""COMPUTED_VALUE"""),"greatest length of skull")</f>
        <v>greatest length of skull</v>
      </c>
      <c r="B628" s="1"/>
      <c r="C628" s="1"/>
      <c r="D628" s="1"/>
      <c r="E628" s="1" t="str">
        <f ca="1">IFERROR(__xludf.DUMMYFUNCTION("""COMPUTED_VALUE"""),"numeric")</f>
        <v>numeric</v>
      </c>
      <c r="F628" s="1"/>
      <c r="G628" s="1" t="str">
        <f ca="1">IFERROR(__xludf.DUMMYFUNCTION("""COMPUTED_VALUE"""),".na")</f>
        <v>.na</v>
      </c>
      <c r="H628" s="1"/>
      <c r="I628" s="1"/>
      <c r="J628" s="1"/>
      <c r="K628" s="1" t="str">
        <f ca="1">IFERROR(__xludf.DUMMYFUNCTION("""COMPUTED_VALUE"""),"response")</f>
        <v>response</v>
      </c>
      <c r="L628" s="1" t="str">
        <f ca="1">IFERROR(__xludf.DUMMYFUNCTION("""COMPUTED_VALUE"""),"10.1371/journal.pone.0056853")</f>
        <v>10.1371/journal.pone.0056853</v>
      </c>
      <c r="M628" s="1" t="str">
        <f ca="1">IFERROR(__xludf.DUMMYFUNCTION("""COMPUTED_VALUE"""),"Stevens_2013")</f>
        <v>Stevens_2013</v>
      </c>
    </row>
    <row r="629" spans="1:13" ht="13.2">
      <c r="A629" s="1" t="str">
        <f ca="1">IFERROR(__xludf.DUMMYFUNCTION("""COMPUTED_VALUE"""),"condylobasal length")</f>
        <v>condylobasal length</v>
      </c>
      <c r="B629" s="1"/>
      <c r="C629" s="1"/>
      <c r="D629" s="1"/>
      <c r="E629" s="1" t="str">
        <f ca="1">IFERROR(__xludf.DUMMYFUNCTION("""COMPUTED_VALUE"""),"numeric")</f>
        <v>numeric</v>
      </c>
      <c r="F629" s="1"/>
      <c r="G629" s="1" t="str">
        <f ca="1">IFERROR(__xludf.DUMMYFUNCTION("""COMPUTED_VALUE"""),".na")</f>
        <v>.na</v>
      </c>
      <c r="H629" s="1"/>
      <c r="I629" s="1"/>
      <c r="J629" s="1"/>
      <c r="K629" s="1" t="str">
        <f ca="1">IFERROR(__xludf.DUMMYFUNCTION("""COMPUTED_VALUE"""),"response")</f>
        <v>response</v>
      </c>
      <c r="L629" s="1" t="str">
        <f ca="1">IFERROR(__xludf.DUMMYFUNCTION("""COMPUTED_VALUE"""),"10.1371/journal.pone.0056853")</f>
        <v>10.1371/journal.pone.0056853</v>
      </c>
      <c r="M629" s="1" t="str">
        <f ca="1">IFERROR(__xludf.DUMMYFUNCTION("""COMPUTED_VALUE"""),"Stevens_2013")</f>
        <v>Stevens_2013</v>
      </c>
    </row>
    <row r="630" spans="1:13" ht="13.2">
      <c r="A630" s="1" t="str">
        <f ca="1">IFERROR(__xludf.DUMMYFUNCTION("""COMPUTED_VALUE"""),"length of maxillary toothrow")</f>
        <v>length of maxillary toothrow</v>
      </c>
      <c r="B630" s="1"/>
      <c r="C630" s="1"/>
      <c r="D630" s="1"/>
      <c r="E630" s="1" t="str">
        <f ca="1">IFERROR(__xludf.DUMMYFUNCTION("""COMPUTED_VALUE"""),"numeric")</f>
        <v>numeric</v>
      </c>
      <c r="F630" s="1"/>
      <c r="G630" s="1" t="str">
        <f ca="1">IFERROR(__xludf.DUMMYFUNCTION("""COMPUTED_VALUE"""),".na")</f>
        <v>.na</v>
      </c>
      <c r="H630" s="1"/>
      <c r="I630" s="1"/>
      <c r="J630" s="1"/>
      <c r="K630" s="1" t="str">
        <f ca="1">IFERROR(__xludf.DUMMYFUNCTION("""COMPUTED_VALUE"""),"response")</f>
        <v>response</v>
      </c>
      <c r="L630" s="1" t="str">
        <f ca="1">IFERROR(__xludf.DUMMYFUNCTION("""COMPUTED_VALUE"""),"10.1371/journal.pone.0056853")</f>
        <v>10.1371/journal.pone.0056853</v>
      </c>
      <c r="M630" s="1" t="str">
        <f ca="1">IFERROR(__xludf.DUMMYFUNCTION("""COMPUTED_VALUE"""),"Stevens_2013")</f>
        <v>Stevens_2013</v>
      </c>
    </row>
    <row r="631" spans="1:13" ht="13.2">
      <c r="A631" s="1" t="str">
        <f ca="1">IFERROR(__xludf.DUMMYFUNCTION("""COMPUTED_VALUE"""),"breadth of post-orbital constriction")</f>
        <v>breadth of post-orbital constriction</v>
      </c>
      <c r="B631" s="1"/>
      <c r="C631" s="1"/>
      <c r="D631" s="1"/>
      <c r="E631" s="1" t="str">
        <f ca="1">IFERROR(__xludf.DUMMYFUNCTION("""COMPUTED_VALUE"""),"numeric")</f>
        <v>numeric</v>
      </c>
      <c r="F631" s="1"/>
      <c r="G631" s="1" t="str">
        <f ca="1">IFERROR(__xludf.DUMMYFUNCTION("""COMPUTED_VALUE"""),".na")</f>
        <v>.na</v>
      </c>
      <c r="H631" s="1"/>
      <c r="I631" s="1"/>
      <c r="J631" s="1"/>
      <c r="K631" s="1" t="str">
        <f ca="1">IFERROR(__xludf.DUMMYFUNCTION("""COMPUTED_VALUE"""),"response")</f>
        <v>response</v>
      </c>
      <c r="L631" s="1" t="str">
        <f ca="1">IFERROR(__xludf.DUMMYFUNCTION("""COMPUTED_VALUE"""),"10.1371/journal.pone.0056853")</f>
        <v>10.1371/journal.pone.0056853</v>
      </c>
      <c r="M631" s="1" t="str">
        <f ca="1">IFERROR(__xludf.DUMMYFUNCTION("""COMPUTED_VALUE"""),"Stevens_2013")</f>
        <v>Stevens_2013</v>
      </c>
    </row>
    <row r="632" spans="1:13" ht="13.2">
      <c r="A632" s="1" t="str">
        <f ca="1">IFERROR(__xludf.DUMMYFUNCTION("""COMPUTED_VALUE"""),"breadth of braincase")</f>
        <v>breadth of braincase</v>
      </c>
      <c r="B632" s="1"/>
      <c r="C632" s="1"/>
      <c r="D632" s="1"/>
      <c r="E632" s="1" t="str">
        <f ca="1">IFERROR(__xludf.DUMMYFUNCTION("""COMPUTED_VALUE"""),"numeric")</f>
        <v>numeric</v>
      </c>
      <c r="F632" s="1"/>
      <c r="G632" s="1" t="str">
        <f ca="1">IFERROR(__xludf.DUMMYFUNCTION("""COMPUTED_VALUE"""),".na")</f>
        <v>.na</v>
      </c>
      <c r="H632" s="1"/>
      <c r="I632" s="1"/>
      <c r="J632" s="1"/>
      <c r="K632" s="1" t="str">
        <f ca="1">IFERROR(__xludf.DUMMYFUNCTION("""COMPUTED_VALUE"""),"response")</f>
        <v>response</v>
      </c>
      <c r="L632" s="1" t="str">
        <f ca="1">IFERROR(__xludf.DUMMYFUNCTION("""COMPUTED_VALUE"""),"10.1371/journal.pone.0056853")</f>
        <v>10.1371/journal.pone.0056853</v>
      </c>
      <c r="M632" s="1" t="str">
        <f ca="1">IFERROR(__xludf.DUMMYFUNCTION("""COMPUTED_VALUE"""),"Stevens_2013")</f>
        <v>Stevens_2013</v>
      </c>
    </row>
    <row r="633" spans="1:13" ht="13.2">
      <c r="A633" s="1" t="str">
        <f ca="1">IFERROR(__xludf.DUMMYFUNCTION("""COMPUTED_VALUE"""),"breadth across upper molars")</f>
        <v>breadth across upper molars</v>
      </c>
      <c r="B633" s="1"/>
      <c r="C633" s="1"/>
      <c r="D633" s="1"/>
      <c r="E633" s="1" t="str">
        <f ca="1">IFERROR(__xludf.DUMMYFUNCTION("""COMPUTED_VALUE"""),"numeric")</f>
        <v>numeric</v>
      </c>
      <c r="F633" s="1"/>
      <c r="G633" s="1" t="str">
        <f ca="1">IFERROR(__xludf.DUMMYFUNCTION("""COMPUTED_VALUE"""),".na")</f>
        <v>.na</v>
      </c>
      <c r="H633" s="1"/>
      <c r="I633" s="1"/>
      <c r="J633" s="1"/>
      <c r="K633" s="1" t="str">
        <f ca="1">IFERROR(__xludf.DUMMYFUNCTION("""COMPUTED_VALUE"""),"response")</f>
        <v>response</v>
      </c>
      <c r="L633" s="1" t="str">
        <f ca="1">IFERROR(__xludf.DUMMYFUNCTION("""COMPUTED_VALUE"""),"10.1371/journal.pone.0056853")</f>
        <v>10.1371/journal.pone.0056853</v>
      </c>
      <c r="M633" s="1" t="str">
        <f ca="1">IFERROR(__xludf.DUMMYFUNCTION("""COMPUTED_VALUE"""),"Stevens_2013")</f>
        <v>Stevens_2013</v>
      </c>
    </row>
    <row r="634" spans="1:13" ht="13.2">
      <c r="A634" s="1" t="str">
        <f ca="1">IFERROR(__xludf.DUMMYFUNCTION("""COMPUTED_VALUE"""),"forearm length")</f>
        <v>forearm length</v>
      </c>
      <c r="B634" s="1"/>
      <c r="C634" s="1"/>
      <c r="D634" s="1"/>
      <c r="E634" s="1" t="str">
        <f ca="1">IFERROR(__xludf.DUMMYFUNCTION("""COMPUTED_VALUE"""),"numeric")</f>
        <v>numeric</v>
      </c>
      <c r="F634" s="1" t="str">
        <f ca="1">IFERROR(__xludf.DUMMYFUNCTION("""COMPUTED_VALUE"""),"cm")</f>
        <v>cm</v>
      </c>
      <c r="G634" s="1" t="str">
        <f ca="1">IFERROR(__xludf.DUMMYFUNCTION("""COMPUTED_VALUE"""),".na")</f>
        <v>.na</v>
      </c>
      <c r="H634" s="1"/>
      <c r="I634" s="1"/>
      <c r="J634" s="1"/>
      <c r="K634" s="1" t="str">
        <f ca="1">IFERROR(__xludf.DUMMYFUNCTION("""COMPUTED_VALUE"""),"response")</f>
        <v>response</v>
      </c>
      <c r="L634" s="1" t="str">
        <f ca="1">IFERROR(__xludf.DUMMYFUNCTION("""COMPUTED_VALUE"""),"10.1111/j.1365-2664.2012.02159.x")</f>
        <v>10.1111/j.1365-2664.2012.02159.x</v>
      </c>
      <c r="M634" s="1" t="str">
        <f ca="1">IFERROR(__xludf.DUMMYFUNCTION("""COMPUTED_VALUE"""),"Hanspach_2012")</f>
        <v>Hanspach_2012</v>
      </c>
    </row>
    <row r="635" spans="1:13" ht="13.2">
      <c r="A635" s="1" t="str">
        <f ca="1">IFERROR(__xludf.DUMMYFUNCTION("""COMPUTED_VALUE"""),"wing loading (total body mass/wing area)")</f>
        <v>wing loading (total body mass/wing area)</v>
      </c>
      <c r="B635" s="1"/>
      <c r="C635" s="1"/>
      <c r="D635" s="1"/>
      <c r="E635" s="1" t="str">
        <f ca="1">IFERROR(__xludf.DUMMYFUNCTION("""COMPUTED_VALUE"""),"numeric")</f>
        <v>numeric</v>
      </c>
      <c r="F635" s="1"/>
      <c r="G635" s="1" t="str">
        <f ca="1">IFERROR(__xludf.DUMMYFUNCTION("""COMPUTED_VALUE"""),".na")</f>
        <v>.na</v>
      </c>
      <c r="H635" s="1"/>
      <c r="I635" s="1"/>
      <c r="J635" s="1"/>
      <c r="K635" s="1" t="str">
        <f ca="1">IFERROR(__xludf.DUMMYFUNCTION("""COMPUTED_VALUE"""),"response")</f>
        <v>response</v>
      </c>
      <c r="L635" s="1" t="str">
        <f ca="1">IFERROR(__xludf.DUMMYFUNCTION("""COMPUTED_VALUE"""),"10.1111/j.1365-2664.2012.02159.x")</f>
        <v>10.1111/j.1365-2664.2012.02159.x</v>
      </c>
      <c r="M635" s="1" t="str">
        <f ca="1">IFERROR(__xludf.DUMMYFUNCTION("""COMPUTED_VALUE"""),"Hanspach_2012")</f>
        <v>Hanspach_2012</v>
      </c>
    </row>
    <row r="636" spans="1:13" ht="13.2">
      <c r="A636" s="1" t="str">
        <f ca="1">IFERROR(__xludf.DUMMYFUNCTION("""COMPUTED_VALUE"""),"aspect ratio (squared wing span/wing area)")</f>
        <v>aspect ratio (squared wing span/wing area)</v>
      </c>
      <c r="B636" s="1"/>
      <c r="C636" s="1"/>
      <c r="D636" s="1"/>
      <c r="E636" s="1" t="str">
        <f ca="1">IFERROR(__xludf.DUMMYFUNCTION("""COMPUTED_VALUE"""),"numeric")</f>
        <v>numeric</v>
      </c>
      <c r="F636" s="1"/>
      <c r="G636" s="1" t="str">
        <f ca="1">IFERROR(__xludf.DUMMYFUNCTION("""COMPUTED_VALUE"""),".na")</f>
        <v>.na</v>
      </c>
      <c r="H636" s="1"/>
      <c r="I636" s="1"/>
      <c r="J636" s="1"/>
      <c r="K636" s="1" t="str">
        <f ca="1">IFERROR(__xludf.DUMMYFUNCTION("""COMPUTED_VALUE"""),"response")</f>
        <v>response</v>
      </c>
      <c r="L636" s="1" t="str">
        <f ca="1">IFERROR(__xludf.DUMMYFUNCTION("""COMPUTED_VALUE"""),"10.1111/j.1365-2664.2012.02159.x")</f>
        <v>10.1111/j.1365-2664.2012.02159.x</v>
      </c>
      <c r="M636" s="1" t="str">
        <f ca="1">IFERROR(__xludf.DUMMYFUNCTION("""COMPUTED_VALUE"""),"Hanspach_2012")</f>
        <v>Hanspach_2012</v>
      </c>
    </row>
    <row r="637" spans="1:13" ht="13.2">
      <c r="A637" s="1" t="str">
        <f ca="1">IFERROR(__xludf.DUMMYFUNCTION("""COMPUTED_VALUE"""),"body mass")</f>
        <v>body mass</v>
      </c>
      <c r="B637" s="1"/>
      <c r="C637" s="1"/>
      <c r="D637" s="1"/>
      <c r="E637" s="1" t="str">
        <f ca="1">IFERROR(__xludf.DUMMYFUNCTION("""COMPUTED_VALUE"""),"numeric")</f>
        <v>numeric</v>
      </c>
      <c r="F637" s="1" t="str">
        <f ca="1">IFERROR(__xludf.DUMMYFUNCTION("""COMPUTED_VALUE"""),"g")</f>
        <v>g</v>
      </c>
      <c r="G637" s="1" t="str">
        <f ca="1">IFERROR(__xludf.DUMMYFUNCTION("""COMPUTED_VALUE"""),".na")</f>
        <v>.na</v>
      </c>
      <c r="H637" s="1"/>
      <c r="I637" s="1"/>
      <c r="J637" s="1"/>
      <c r="K637" s="1" t="str">
        <f ca="1">IFERROR(__xludf.DUMMYFUNCTION("""COMPUTED_VALUE"""),"response")</f>
        <v>response</v>
      </c>
      <c r="L637" s="1" t="str">
        <f ca="1">IFERROR(__xludf.DUMMYFUNCTION("""COMPUTED_VALUE"""),"10.1111/j.1365-2664.2012.02159.x")</f>
        <v>10.1111/j.1365-2664.2012.02159.x</v>
      </c>
      <c r="M637" s="1" t="str">
        <f ca="1">IFERROR(__xludf.DUMMYFUNCTION("""COMPUTED_VALUE"""),"Hanspach_2012")</f>
        <v>Hanspach_2012</v>
      </c>
    </row>
    <row r="638" spans="1:13" ht="13.2">
      <c r="A638" s="1" t="str">
        <f ca="1">IFERROR(__xludf.DUMMYFUNCTION("""COMPUTED_VALUE"""),"echolocation frequency")</f>
        <v>echolocation frequency</v>
      </c>
      <c r="B638" s="1"/>
      <c r="C638" s="1"/>
      <c r="D638" s="1"/>
      <c r="E638" s="1" t="str">
        <f ca="1">IFERROR(__xludf.DUMMYFUNCTION("""COMPUTED_VALUE"""),"categorical")</f>
        <v>categorical</v>
      </c>
      <c r="F638" s="1" t="str">
        <f ca="1">IFERROR(__xludf.DUMMYFUNCTION("""COMPUTED_VALUE"""),".na")</f>
        <v>.na</v>
      </c>
      <c r="G638" s="1" t="str">
        <f ca="1">IFERROR(__xludf.DUMMYFUNCTION("""COMPUTED_VALUE"""),"low = below 38 kHz, medium = 38–48 kHz, high = above 48 kHz, linear = vertically linear calls")</f>
        <v>low = below 38 kHz, medium = 38–48 kHz, high = above 48 kHz, linear = vertically linear calls</v>
      </c>
      <c r="H638" s="1" t="str">
        <f ca="1">IFERROR(__xludf.DUMMYFUNCTION("""COMPUTED_VALUE"""),".na")</f>
        <v>.na</v>
      </c>
      <c r="I638" s="1" t="str">
        <f ca="1">IFERROR(__xludf.DUMMYFUNCTION("""COMPUTED_VALUE"""),".na")</f>
        <v>.na</v>
      </c>
      <c r="J638" s="1"/>
      <c r="K638" s="1" t="str">
        <f ca="1">IFERROR(__xludf.DUMMYFUNCTION("""COMPUTED_VALUE"""),"response")</f>
        <v>response</v>
      </c>
      <c r="L638" s="1" t="str">
        <f ca="1">IFERROR(__xludf.DUMMYFUNCTION("""COMPUTED_VALUE"""),"10.1111/j.1365-2664.2012.02159.x")</f>
        <v>10.1111/j.1365-2664.2012.02159.x</v>
      </c>
      <c r="M638" s="1" t="str">
        <f ca="1">IFERROR(__xludf.DUMMYFUNCTION("""COMPUTED_VALUE"""),"Hanspach_2012")</f>
        <v>Hanspach_2012</v>
      </c>
    </row>
    <row r="639" spans="1:13" ht="13.2">
      <c r="A639" s="1" t="str">
        <f ca="1">IFERROR(__xludf.DUMMYFUNCTION("""COMPUTED_VALUE"""),"functional group")</f>
        <v>functional group</v>
      </c>
      <c r="B639" s="1"/>
      <c r="C639" s="1"/>
      <c r="D639" s="1"/>
      <c r="E639" s="1" t="str">
        <f ca="1">IFERROR(__xludf.DUMMYFUNCTION("""COMPUTED_VALUE"""),"categorical")</f>
        <v>categorical</v>
      </c>
      <c r="F639" s="1" t="str">
        <f ca="1">IFERROR(__xludf.DUMMYFUNCTION("""COMPUTED_VALUE"""),".na")</f>
        <v>.na</v>
      </c>
      <c r="G639" s="1" t="str">
        <f ca="1">IFERROR(__xludf.DUMMYFUNCTION("""COMPUTED_VALUE"""),"aerial insectivores, frugivores, gleaning animalivores, high-flying insectivores, nectarivores, piscivores, sanguinivores")</f>
        <v>aerial insectivores, frugivores, gleaning animalivores, high-flying insectivores, nectarivores, piscivores, sanguinivores</v>
      </c>
      <c r="H639" s="1" t="str">
        <f ca="1">IFERROR(__xludf.DUMMYFUNCTION("""COMPUTED_VALUE"""),".na")</f>
        <v>.na</v>
      </c>
      <c r="I639" s="1" t="str">
        <f ca="1">IFERROR(__xludf.DUMMYFUNCTION("""COMPUTED_VALUE"""),".na")</f>
        <v>.na</v>
      </c>
      <c r="J639" s="1"/>
      <c r="K639" s="1" t="str">
        <f ca="1">IFERROR(__xludf.DUMMYFUNCTION("""COMPUTED_VALUE"""),"response")</f>
        <v>response</v>
      </c>
      <c r="L639" s="1" t="str">
        <f ca="1">IFERROR(__xludf.DUMMYFUNCTION("""COMPUTED_VALUE"""),"10.1644/BWG-128")</f>
        <v>10.1644/BWG-128</v>
      </c>
      <c r="M639" s="1" t="str">
        <f ca="1">IFERROR(__xludf.DUMMYFUNCTION("""COMPUTED_VALUE"""),"Stevens_2004")</f>
        <v>Stevens_2004</v>
      </c>
    </row>
    <row r="640" spans="1:13" ht="13.2">
      <c r="A640" s="1" t="str">
        <f ca="1">IFERROR(__xludf.DUMMYFUNCTION("""COMPUTED_VALUE"""),"Diet")</f>
        <v>Diet</v>
      </c>
      <c r="B640" s="1"/>
      <c r="C640" s="1"/>
      <c r="D640" s="1"/>
      <c r="E640" s="1" t="str">
        <f ca="1">IFERROR(__xludf.DUMMYFUNCTION("""COMPUTED_VALUE"""),"categorical")</f>
        <v>categorical</v>
      </c>
      <c r="F640" s="1" t="str">
        <f ca="1">IFERROR(__xludf.DUMMYFUNCTION("""COMPUTED_VALUE"""),".na")</f>
        <v>.na</v>
      </c>
      <c r="G640" s="1" t="str">
        <f ca="1">IFERROR(__xludf.DUMMYFUNCTION("""COMPUTED_VALUE"""),"Anomala albopilosa, Other Coleoptera, Dictyoptera, Chironomidae, Other Diptera, Hemiptera, Hymenoptera, Lepidoptera, Orthoptera, Others
  ")</f>
        <v xml:space="preserve">Anomala albopilosa, Other Coleoptera, Dictyoptera, Chironomidae, Other Diptera, Hemiptera, Hymenoptera, Lepidoptera, Orthoptera, Others
  </v>
      </c>
      <c r="H640" s="1" t="str">
        <f ca="1">IFERROR(__xludf.DUMMYFUNCTION("""COMPUTED_VALUE"""),".na")</f>
        <v>.na</v>
      </c>
      <c r="I640" s="1" t="str">
        <f ca="1">IFERROR(__xludf.DUMMYFUNCTION("""COMPUTED_VALUE"""),".na")</f>
        <v>.na</v>
      </c>
      <c r="J640" s="1"/>
      <c r="K640" s="1" t="str">
        <f ca="1">IFERROR(__xludf.DUMMYFUNCTION("""COMPUTED_VALUE"""),"effect")</f>
        <v>effect</v>
      </c>
      <c r="L640" s="1" t="str">
        <f ca="1">IFERROR(__xludf.DUMMYFUNCTION("""COMPUTED_VALUE"""),"10.3354/esr00156")</f>
        <v>10.3354/esr00156</v>
      </c>
      <c r="M640" s="1" t="str">
        <f ca="1">IFERROR(__xludf.DUMMYFUNCTION("""COMPUTED_VALUE"""),"Fukui_2009")</f>
        <v>Fukui_2009</v>
      </c>
    </row>
    <row r="641" spans="1:13" ht="13.2">
      <c r="A641" s="1" t="str">
        <f ca="1">IFERROR(__xludf.DUMMYFUNCTION("""COMPUTED_VALUE"""),"wing loading")</f>
        <v>wing loading</v>
      </c>
      <c r="B641" s="1"/>
      <c r="C641" s="1"/>
      <c r="D641" s="1"/>
      <c r="E641" s="1" t="str">
        <f ca="1">IFERROR(__xludf.DUMMYFUNCTION("""COMPUTED_VALUE"""),"numeric")</f>
        <v>numeric</v>
      </c>
      <c r="F641" s="1"/>
      <c r="G641" s="1" t="str">
        <f ca="1">IFERROR(__xludf.DUMMYFUNCTION("""COMPUTED_VALUE"""),".na")</f>
        <v>.na</v>
      </c>
      <c r="H641" s="1"/>
      <c r="I641" s="1"/>
      <c r="J641" s="1"/>
      <c r="K641" s="1" t="str">
        <f ca="1">IFERROR(__xludf.DUMMYFUNCTION("""COMPUTED_VALUE"""),"effect")</f>
        <v>effect</v>
      </c>
      <c r="L641" s="1" t="str">
        <f ca="1">IFERROR(__xludf.DUMMYFUNCTION("""COMPUTED_VALUE"""),"10.3354/esr00156")</f>
        <v>10.3354/esr00156</v>
      </c>
      <c r="M641" s="1" t="str">
        <f ca="1">IFERROR(__xludf.DUMMYFUNCTION("""COMPUTED_VALUE"""),"Fukui_2009")</f>
        <v>Fukui_2009</v>
      </c>
    </row>
    <row r="642" spans="1:13" ht="13.2">
      <c r="A642" s="1" t="str">
        <f ca="1">IFERROR(__xludf.DUMMYFUNCTION("""COMPUTED_VALUE"""),"aspect ratio")</f>
        <v>aspect ratio</v>
      </c>
      <c r="B642" s="1"/>
      <c r="C642" s="1"/>
      <c r="D642" s="1"/>
      <c r="E642" s="1" t="str">
        <f ca="1">IFERROR(__xludf.DUMMYFUNCTION("""COMPUTED_VALUE"""),"numeric")</f>
        <v>numeric</v>
      </c>
      <c r="F642" s="1"/>
      <c r="G642" s="1" t="str">
        <f ca="1">IFERROR(__xludf.DUMMYFUNCTION("""COMPUTED_VALUE"""),".na")</f>
        <v>.na</v>
      </c>
      <c r="H642" s="1"/>
      <c r="I642" s="1"/>
      <c r="J642" s="1"/>
      <c r="K642" s="1" t="str">
        <f ca="1">IFERROR(__xludf.DUMMYFUNCTION("""COMPUTED_VALUE"""),"effect")</f>
        <v>effect</v>
      </c>
      <c r="L642" s="1" t="str">
        <f ca="1">IFERROR(__xludf.DUMMYFUNCTION("""COMPUTED_VALUE"""),"10.3354/esr00156")</f>
        <v>10.3354/esr00156</v>
      </c>
      <c r="M642" s="1" t="str">
        <f ca="1">IFERROR(__xludf.DUMMYFUNCTION("""COMPUTED_VALUE"""),"Fukui_2009")</f>
        <v>Fukui_2009</v>
      </c>
    </row>
    <row r="643" spans="1:13" ht="13.2">
      <c r="A643" s="1" t="str">
        <f ca="1">IFERROR(__xludf.DUMMYFUNCTION("""COMPUTED_VALUE"""),"wingtip shape index")</f>
        <v>wingtip shape index</v>
      </c>
      <c r="B643" s="1"/>
      <c r="C643" s="1"/>
      <c r="D643" s="1"/>
      <c r="E643" s="1" t="str">
        <f ca="1">IFERROR(__xludf.DUMMYFUNCTION("""COMPUTED_VALUE"""),"numeric")</f>
        <v>numeric</v>
      </c>
      <c r="F643" s="1"/>
      <c r="G643" s="1" t="str">
        <f ca="1">IFERROR(__xludf.DUMMYFUNCTION("""COMPUTED_VALUE"""),".na")</f>
        <v>.na</v>
      </c>
      <c r="H643" s="1"/>
      <c r="I643" s="1"/>
      <c r="J643" s="1"/>
      <c r="K643" s="1" t="str">
        <f ca="1">IFERROR(__xludf.DUMMYFUNCTION("""COMPUTED_VALUE"""),"effect")</f>
        <v>effect</v>
      </c>
      <c r="L643" s="1" t="str">
        <f ca="1">IFERROR(__xludf.DUMMYFUNCTION("""COMPUTED_VALUE"""),"10.3354/esr00156")</f>
        <v>10.3354/esr00156</v>
      </c>
      <c r="M643" s="1" t="str">
        <f ca="1">IFERROR(__xludf.DUMMYFUNCTION("""COMPUTED_VALUE"""),"Fukui_2009")</f>
        <v>Fukui_2009</v>
      </c>
    </row>
    <row r="644" spans="1:13" ht="13.2">
      <c r="A644" s="1" t="str">
        <f ca="1">IFERROR(__xludf.DUMMYFUNCTION("""COMPUTED_VALUE"""),"Trophic guilds")</f>
        <v>Trophic guilds</v>
      </c>
      <c r="B644" s="1"/>
      <c r="C644" s="1"/>
      <c r="D644" s="1"/>
      <c r="E644" s="1" t="str">
        <f ca="1">IFERROR(__xludf.DUMMYFUNCTION("""COMPUTED_VALUE"""),"categorical")</f>
        <v>categorical</v>
      </c>
      <c r="F644" s="1" t="str">
        <f ca="1">IFERROR(__xludf.DUMMYFUNCTION("""COMPUTED_VALUE"""),".na")</f>
        <v>.na</v>
      </c>
      <c r="G644" s="1" t="str">
        <f ca="1">IFERROR(__xludf.DUMMYFUNCTION("""COMPUTED_VALUE"""),"carnívoros = consumen vertebrados terrestres regularmente, piscívoros = consumen principalmente peces, insectívoros aéreos = cazan insectos en el aire, insectívoros recolectores (Insectivorous gleaners) = capturan invertebrados de superficies, frugívoros "&amp;"= consumen principalmente frutas, nectarívoros = consumen principalmente recursos florales como néctar, polen y/o pétalos, omnívoros = consumen regularmente varios de los alimentos mencionados.")</f>
        <v>carnívoros = consumen vertebrados terrestres regularmente, piscívoros = consumen principalmente peces, insectívoros aéreos = cazan insectos en el aire, insectívoros recolectores (Insectivorous gleaners) = capturan invertebrados de superficies, frugívoros = consumen principalmente frutas, nectarívoros = consumen principalmente recursos florales como néctar, polen y/o pétalos, omnívoros = consumen regularmente varios de los alimentos mencionados.</v>
      </c>
      <c r="H644" s="1" t="str">
        <f ca="1">IFERROR(__xludf.DUMMYFUNCTION("""COMPUTED_VALUE"""),".na")</f>
        <v>.na</v>
      </c>
      <c r="I644" s="1" t="str">
        <f ca="1">IFERROR(__xludf.DUMMYFUNCTION("""COMPUTED_VALUE"""),".na")</f>
        <v>.na</v>
      </c>
      <c r="J644" s="1"/>
      <c r="K644" s="1" t="str">
        <f ca="1">IFERROR(__xludf.DUMMYFUNCTION("""COMPUTED_VALUE"""),"both")</f>
        <v>both</v>
      </c>
      <c r="L644" s="1" t="str">
        <f ca="1">IFERROR(__xludf.DUMMYFUNCTION("""COMPUTED_VALUE"""),"10.17151/bccm.2017.21.1.8")</f>
        <v>10.17151/bccm.2017.21.1.8</v>
      </c>
      <c r="M644" s="1" t="str">
        <f ca="1">IFERROR(__xludf.DUMMYFUNCTION("""COMPUTED_VALUE"""),"Sánchez_2017")</f>
        <v>Sánchez_2017</v>
      </c>
    </row>
    <row r="645" spans="1:13" ht="13.2">
      <c r="A645" s="1" t="str">
        <f ca="1">IFERROR(__xludf.DUMMYFUNCTION("""COMPUTED_VALUE"""),"dietary habits")</f>
        <v>dietary habits</v>
      </c>
      <c r="B645" s="1"/>
      <c r="C645" s="1"/>
      <c r="D645" s="1"/>
      <c r="E645" s="1" t="str">
        <f ca="1">IFERROR(__xludf.DUMMYFUNCTION("""COMPUTED_VALUE"""),"categorical")</f>
        <v>categorical</v>
      </c>
      <c r="F645" s="1" t="str">
        <f ca="1">IFERROR(__xludf.DUMMYFUNCTION("""COMPUTED_VALUE"""),".na")</f>
        <v>.na</v>
      </c>
      <c r="G645" s="1" t="str">
        <f ca="1">IFERROR(__xludf.DUMMYFUNCTION("""COMPUTED_VALUE"""),"IN-  Insectivore, FR- Frugivore, N- Nectarivore, S- Sanguinivore., n/d = no data")</f>
        <v>IN-  Insectivore, FR- Frugivore, N- Nectarivore, S- Sanguinivore., n/d = no data</v>
      </c>
      <c r="H645" s="1" t="str">
        <f ca="1">IFERROR(__xludf.DUMMYFUNCTION("""COMPUTED_VALUE"""),".na")</f>
        <v>.na</v>
      </c>
      <c r="I645" s="1" t="str">
        <f ca="1">IFERROR(__xludf.DUMMYFUNCTION("""COMPUTED_VALUE"""),".na")</f>
        <v>.na</v>
      </c>
      <c r="J645" s="1"/>
      <c r="K645" s="1" t="str">
        <f ca="1">IFERROR(__xludf.DUMMYFUNCTION("""COMPUTED_VALUE"""),"response")</f>
        <v>response</v>
      </c>
      <c r="L645" s="1" t="str">
        <f ca="1">IFERROR(__xludf.DUMMYFUNCTION("""COMPUTED_VALUE"""),"10.12933/therya-17-463")</f>
        <v>10.12933/therya-17-463</v>
      </c>
      <c r="M645" s="1" t="str">
        <f ca="1">IFERROR(__xludf.DUMMYFUNCTION("""COMPUTED_VALUE"""),"Lucho_2017")</f>
        <v>Lucho_2017</v>
      </c>
    </row>
    <row r="646" spans="1:13" ht="13.2">
      <c r="A646" s="1" t="str">
        <f ca="1">IFERROR(__xludf.DUMMYFUNCTION("""COMPUTED_VALUE"""),"biomass")</f>
        <v>biomass</v>
      </c>
      <c r="B646" s="1"/>
      <c r="C646" s="1"/>
      <c r="D646" s="1"/>
      <c r="E646" s="1" t="str">
        <f ca="1">IFERROR(__xludf.DUMMYFUNCTION("""COMPUTED_VALUE"""),"numeric")</f>
        <v>numeric</v>
      </c>
      <c r="F646" s="1" t="str">
        <f ca="1">IFERROR(__xludf.DUMMYFUNCTION("""COMPUTED_VALUE"""),"g")</f>
        <v>g</v>
      </c>
      <c r="G646" s="1" t="str">
        <f ca="1">IFERROR(__xludf.DUMMYFUNCTION("""COMPUTED_VALUE"""),".na")</f>
        <v>.na</v>
      </c>
      <c r="H646" s="1"/>
      <c r="I646" s="1"/>
      <c r="J646" s="1" t="str">
        <f ca="1">IFERROR(__xludf.DUMMYFUNCTION("""COMPUTED_VALUE"""),"% B = Contribution of species to total Biomass")</f>
        <v>% B = Contribution of species to total Biomass</v>
      </c>
      <c r="K646" s="1" t="str">
        <f ca="1">IFERROR(__xludf.DUMMYFUNCTION("""COMPUTED_VALUE"""),"response")</f>
        <v>response</v>
      </c>
      <c r="L646" s="1" t="str">
        <f ca="1">IFERROR(__xludf.DUMMYFUNCTION("""COMPUTED_VALUE"""),"10.12933/therya-17-463")</f>
        <v>10.12933/therya-17-463</v>
      </c>
      <c r="M646" s="1" t="str">
        <f ca="1">IFERROR(__xludf.DUMMYFUNCTION("""COMPUTED_VALUE"""),"Lucho_2017")</f>
        <v>Lucho_2017</v>
      </c>
    </row>
    <row r="647" spans="1:13" ht="13.2">
      <c r="A647" s="1" t="str">
        <f ca="1">IFERROR(__xludf.DUMMYFUNCTION("""COMPUTED_VALUE"""),"total length")</f>
        <v>total length</v>
      </c>
      <c r="B647" s="1"/>
      <c r="C647" s="1"/>
      <c r="D647" s="1"/>
      <c r="E647" s="1" t="str">
        <f ca="1">IFERROR(__xludf.DUMMYFUNCTION("""COMPUTED_VALUE"""),"numeric")</f>
        <v>numeric</v>
      </c>
      <c r="F647" s="1"/>
      <c r="G647" s="1" t="str">
        <f ca="1">IFERROR(__xludf.DUMMYFUNCTION("""COMPUTED_VALUE"""),".na")</f>
        <v>.na</v>
      </c>
      <c r="H647" s="1"/>
      <c r="I647" s="1"/>
      <c r="J647" s="1"/>
      <c r="K647" s="1" t="str">
        <f ca="1">IFERROR(__xludf.DUMMYFUNCTION("""COMPUTED_VALUE"""),"response")</f>
        <v>response</v>
      </c>
      <c r="L647" s="1" t="str">
        <f ca="1">IFERROR(__xludf.DUMMYFUNCTION("""COMPUTED_VALUE"""),"10.12933/therya-17-463")</f>
        <v>10.12933/therya-17-463</v>
      </c>
      <c r="M647" s="1" t="str">
        <f ca="1">IFERROR(__xludf.DUMMYFUNCTION("""COMPUTED_VALUE"""),"Lucho_2017")</f>
        <v>Lucho_2017</v>
      </c>
    </row>
    <row r="648" spans="1:13" ht="13.2">
      <c r="A648" s="1" t="str">
        <f ca="1">IFERROR(__xludf.DUMMYFUNCTION("""COMPUTED_VALUE"""),"tail length")</f>
        <v>tail length</v>
      </c>
      <c r="B648" s="1"/>
      <c r="C648" s="1"/>
      <c r="D648" s="1"/>
      <c r="E648" s="1" t="str">
        <f ca="1">IFERROR(__xludf.DUMMYFUNCTION("""COMPUTED_VALUE"""),"numeric")</f>
        <v>numeric</v>
      </c>
      <c r="F648" s="1"/>
      <c r="G648" s="1" t="str">
        <f ca="1">IFERROR(__xludf.DUMMYFUNCTION("""COMPUTED_VALUE"""),".na")</f>
        <v>.na</v>
      </c>
      <c r="H648" s="1"/>
      <c r="I648" s="1"/>
      <c r="J648" s="1"/>
      <c r="K648" s="1" t="str">
        <f ca="1">IFERROR(__xludf.DUMMYFUNCTION("""COMPUTED_VALUE"""),"response")</f>
        <v>response</v>
      </c>
      <c r="L648" s="1" t="str">
        <f ca="1">IFERROR(__xludf.DUMMYFUNCTION("""COMPUTED_VALUE"""),"10.12933/therya-17-463")</f>
        <v>10.12933/therya-17-463</v>
      </c>
      <c r="M648" s="1" t="str">
        <f ca="1">IFERROR(__xludf.DUMMYFUNCTION("""COMPUTED_VALUE"""),"Lucho_2017")</f>
        <v>Lucho_2017</v>
      </c>
    </row>
    <row r="649" spans="1:13" ht="13.2">
      <c r="A649" s="1" t="str">
        <f ca="1">IFERROR(__xludf.DUMMYFUNCTION("""COMPUTED_VALUE"""),"hind foot length")</f>
        <v>hind foot length</v>
      </c>
      <c r="B649" s="1"/>
      <c r="C649" s="1"/>
      <c r="D649" s="1"/>
      <c r="E649" s="1" t="str">
        <f ca="1">IFERROR(__xludf.DUMMYFUNCTION("""COMPUTED_VALUE"""),"numeric")</f>
        <v>numeric</v>
      </c>
      <c r="F649" s="1"/>
      <c r="G649" s="1" t="str">
        <f ca="1">IFERROR(__xludf.DUMMYFUNCTION("""COMPUTED_VALUE"""),".na")</f>
        <v>.na</v>
      </c>
      <c r="H649" s="1"/>
      <c r="I649" s="1"/>
      <c r="J649" s="1"/>
      <c r="K649" s="1" t="str">
        <f ca="1">IFERROR(__xludf.DUMMYFUNCTION("""COMPUTED_VALUE"""),"response")</f>
        <v>response</v>
      </c>
      <c r="L649" s="1" t="str">
        <f ca="1">IFERROR(__xludf.DUMMYFUNCTION("""COMPUTED_VALUE"""),"10.12933/therya-17-463")</f>
        <v>10.12933/therya-17-463</v>
      </c>
      <c r="M649" s="1" t="str">
        <f ca="1">IFERROR(__xludf.DUMMYFUNCTION("""COMPUTED_VALUE"""),"Lucho_2017")</f>
        <v>Lucho_2017</v>
      </c>
    </row>
    <row r="650" spans="1:13" ht="13.2">
      <c r="A650" s="1" t="str">
        <f ca="1">IFERROR(__xludf.DUMMYFUNCTION("""COMPUTED_VALUE"""),"ear length")</f>
        <v>ear length</v>
      </c>
      <c r="B650" s="1"/>
      <c r="C650" s="1"/>
      <c r="D650" s="1"/>
      <c r="E650" s="1" t="str">
        <f ca="1">IFERROR(__xludf.DUMMYFUNCTION("""COMPUTED_VALUE"""),"numeric")</f>
        <v>numeric</v>
      </c>
      <c r="F650" s="1"/>
      <c r="G650" s="1" t="str">
        <f ca="1">IFERROR(__xludf.DUMMYFUNCTION("""COMPUTED_VALUE"""),".na")</f>
        <v>.na</v>
      </c>
      <c r="H650" s="1"/>
      <c r="I650" s="1"/>
      <c r="J650" s="1"/>
      <c r="K650" s="1" t="str">
        <f ca="1">IFERROR(__xludf.DUMMYFUNCTION("""COMPUTED_VALUE"""),"response")</f>
        <v>response</v>
      </c>
      <c r="L650" s="1" t="str">
        <f ca="1">IFERROR(__xludf.DUMMYFUNCTION("""COMPUTED_VALUE"""),"10.12933/therya-17-463")</f>
        <v>10.12933/therya-17-463</v>
      </c>
      <c r="M650" s="1" t="str">
        <f ca="1">IFERROR(__xludf.DUMMYFUNCTION("""COMPUTED_VALUE"""),"Lucho_2017")</f>
        <v>Lucho_2017</v>
      </c>
    </row>
    <row r="651" spans="1:13" ht="13.2">
      <c r="A651" s="1" t="str">
        <f ca="1">IFERROR(__xludf.DUMMYFUNCTION("""COMPUTED_VALUE"""),"forearm length")</f>
        <v>forearm length</v>
      </c>
      <c r="B651" s="1"/>
      <c r="C651" s="1"/>
      <c r="D651" s="1"/>
      <c r="E651" s="1" t="str">
        <f ca="1">IFERROR(__xludf.DUMMYFUNCTION("""COMPUTED_VALUE"""),"numeric")</f>
        <v>numeric</v>
      </c>
      <c r="F651" s="1"/>
      <c r="G651" s="1" t="str">
        <f ca="1">IFERROR(__xludf.DUMMYFUNCTION("""COMPUTED_VALUE"""),".na")</f>
        <v>.na</v>
      </c>
      <c r="H651" s="1"/>
      <c r="I651" s="1"/>
      <c r="J651" s="1"/>
      <c r="K651" s="1" t="str">
        <f ca="1">IFERROR(__xludf.DUMMYFUNCTION("""COMPUTED_VALUE"""),"response")</f>
        <v>response</v>
      </c>
      <c r="L651" s="1" t="str">
        <f ca="1">IFERROR(__xludf.DUMMYFUNCTION("""COMPUTED_VALUE"""),"10.12933/therya-17-463")</f>
        <v>10.12933/therya-17-463</v>
      </c>
      <c r="M651" s="1" t="str">
        <f ca="1">IFERROR(__xludf.DUMMYFUNCTION("""COMPUTED_VALUE"""),"Lucho_2017")</f>
        <v>Lucho_2017</v>
      </c>
    </row>
    <row r="652" spans="1:13" ht="13.2">
      <c r="A652" s="1" t="str">
        <f ca="1">IFERROR(__xludf.DUMMYFUNCTION("""COMPUTED_VALUE"""),"diet")</f>
        <v>diet</v>
      </c>
      <c r="B652" s="1"/>
      <c r="C652" s="1"/>
      <c r="D652" s="1"/>
      <c r="E652" s="1" t="str">
        <f ca="1">IFERROR(__xludf.DUMMYFUNCTION("""COMPUTED_VALUE"""),"categorical")</f>
        <v>categorical</v>
      </c>
      <c r="F652" s="1" t="str">
        <f ca="1">IFERROR(__xludf.DUMMYFUNCTION("""COMPUTED_VALUE"""),".na")</f>
        <v>.na</v>
      </c>
      <c r="G652" s="1" t="str">
        <f ca="1">IFERROR(__xludf.DUMMYFUNCTION("""COMPUTED_VALUE"""),"fruit, nectar, invertebrates, terrestrial vertebrates, fish, blood")</f>
        <v>fruit, nectar, invertebrates, terrestrial vertebrates, fish, blood</v>
      </c>
      <c r="H652" s="1" t="str">
        <f ca="1">IFERROR(__xludf.DUMMYFUNCTION("""COMPUTED_VALUE"""),".na")</f>
        <v>.na</v>
      </c>
      <c r="I652" s="1" t="str">
        <f ca="1">IFERROR(__xludf.DUMMYFUNCTION("""COMPUTED_VALUE"""),".na")</f>
        <v>.na</v>
      </c>
      <c r="J652" s="1"/>
      <c r="K652" s="1" t="str">
        <f ca="1">IFERROR(__xludf.DUMMYFUNCTION("""COMPUTED_VALUE"""),"response")</f>
        <v>response</v>
      </c>
      <c r="L652" s="1" t="str">
        <f ca="1">IFERROR(__xludf.DUMMYFUNCTION("""COMPUTED_VALUE"""),"10.3390/D12060238")</f>
        <v>10.3390/D12060238</v>
      </c>
      <c r="M652" s="1" t="str">
        <f ca="1">IFERROR(__xludf.DUMMYFUNCTION("""COMPUTED_VALUE"""),"Carrasco-Rueda_2020")</f>
        <v>Carrasco-Rueda_2020</v>
      </c>
    </row>
    <row r="653" spans="1:13" ht="13.2">
      <c r="A653" s="1" t="str">
        <f ca="1">IFERROR(__xludf.DUMMYFUNCTION("""COMPUTED_VALUE"""),"foraging location")</f>
        <v>foraging location</v>
      </c>
      <c r="B653" s="1"/>
      <c r="C653" s="1"/>
      <c r="D653" s="1"/>
      <c r="E653" s="1" t="str">
        <f ca="1">IFERROR(__xludf.DUMMYFUNCTION("""COMPUTED_VALUE"""),"categorical")</f>
        <v>categorical</v>
      </c>
      <c r="F653" s="1" t="str">
        <f ca="1">IFERROR(__xludf.DUMMYFUNCTION("""COMPUTED_VALUE"""),".na")</f>
        <v>.na</v>
      </c>
      <c r="G653" s="1" t="str">
        <f ca="1">IFERROR(__xludf.DUMMYFUNCTION("""COMPUTED_VALUE"""),"open habitat, over water, above canopy, canopy, subcanopy, understory")</f>
        <v>open habitat, over water, above canopy, canopy, subcanopy, understory</v>
      </c>
      <c r="H653" s="1" t="str">
        <f ca="1">IFERROR(__xludf.DUMMYFUNCTION("""COMPUTED_VALUE"""),".na")</f>
        <v>.na</v>
      </c>
      <c r="I653" s="1" t="str">
        <f ca="1">IFERROR(__xludf.DUMMYFUNCTION("""COMPUTED_VALUE"""),".na")</f>
        <v>.na</v>
      </c>
      <c r="J653" s="1"/>
      <c r="K653" s="1" t="str">
        <f ca="1">IFERROR(__xludf.DUMMYFUNCTION("""COMPUTED_VALUE"""),"response")</f>
        <v>response</v>
      </c>
      <c r="L653" s="1" t="str">
        <f ca="1">IFERROR(__xludf.DUMMYFUNCTION("""COMPUTED_VALUE"""),"10.3390/D12060238")</f>
        <v>10.3390/D12060238</v>
      </c>
      <c r="M653" s="1" t="str">
        <f ca="1">IFERROR(__xludf.DUMMYFUNCTION("""COMPUTED_VALUE"""),"Carrasco-Rueda_2020")</f>
        <v>Carrasco-Rueda_2020</v>
      </c>
    </row>
    <row r="654" spans="1:13" ht="13.2">
      <c r="A654" s="1" t="str">
        <f ca="1">IFERROR(__xludf.DUMMYFUNCTION("""COMPUTED_VALUE"""),"foraging method")</f>
        <v>foraging method</v>
      </c>
      <c r="B654" s="1"/>
      <c r="C654" s="1"/>
      <c r="D654" s="1"/>
      <c r="E654" s="1" t="str">
        <f ca="1">IFERROR(__xludf.DUMMYFUNCTION("""COMPUTED_VALUE"""),"categorical")</f>
        <v>categorical</v>
      </c>
      <c r="F654" s="1" t="str">
        <f ca="1">IFERROR(__xludf.DUMMYFUNCTION("""COMPUTED_VALUE"""),".na")</f>
        <v>.na</v>
      </c>
      <c r="G654" s="1" t="str">
        <f ca="1">IFERROR(__xludf.DUMMYFUNCTION("""COMPUTED_VALUE"""),"aerial, gleaning, hover, other")</f>
        <v>aerial, gleaning, hover, other</v>
      </c>
      <c r="H654" s="1" t="str">
        <f ca="1">IFERROR(__xludf.DUMMYFUNCTION("""COMPUTED_VALUE"""),".na")</f>
        <v>.na</v>
      </c>
      <c r="I654" s="1" t="str">
        <f ca="1">IFERROR(__xludf.DUMMYFUNCTION("""COMPUTED_VALUE"""),".na")</f>
        <v>.na</v>
      </c>
      <c r="J654" s="1"/>
      <c r="K654" s="1" t="str">
        <f ca="1">IFERROR(__xludf.DUMMYFUNCTION("""COMPUTED_VALUE"""),"response")</f>
        <v>response</v>
      </c>
      <c r="L654" s="1" t="str">
        <f ca="1">IFERROR(__xludf.DUMMYFUNCTION("""COMPUTED_VALUE"""),"10.3390/D12060238")</f>
        <v>10.3390/D12060238</v>
      </c>
      <c r="M654" s="1" t="str">
        <f ca="1">IFERROR(__xludf.DUMMYFUNCTION("""COMPUTED_VALUE"""),"Carrasco-Rueda_2020")</f>
        <v>Carrasco-Rueda_2020</v>
      </c>
    </row>
    <row r="655" spans="1:13" ht="13.2">
      <c r="A655" s="1" t="str">
        <f ca="1">IFERROR(__xludf.DUMMYFUNCTION("""COMPUTED_VALUE"""),"body mass")</f>
        <v>body mass</v>
      </c>
      <c r="B655" s="1" t="str">
        <f ca="1">IFERROR(__xludf.DUMMYFUNCTION("""COMPUTED_VALUE"""),"body size")</f>
        <v>body size</v>
      </c>
      <c r="C655" s="1"/>
      <c r="D655" s="1"/>
      <c r="E655" s="1" t="str">
        <f ca="1">IFERROR(__xludf.DUMMYFUNCTION("""COMPUTED_VALUE"""),"numeric")</f>
        <v>numeric</v>
      </c>
      <c r="F655" s="1"/>
      <c r="G655" s="1" t="str">
        <f ca="1">IFERROR(__xludf.DUMMYFUNCTION("""COMPUTED_VALUE"""),".na")</f>
        <v>.na</v>
      </c>
      <c r="H655" s="1"/>
      <c r="I655" s="1"/>
      <c r="J655" s="1"/>
      <c r="K655" s="1" t="str">
        <f ca="1">IFERROR(__xludf.DUMMYFUNCTION("""COMPUTED_VALUE"""),"response")</f>
        <v>response</v>
      </c>
      <c r="L655" s="1" t="str">
        <f ca="1">IFERROR(__xludf.DUMMYFUNCTION("""COMPUTED_VALUE"""),"10.3390/D12060238")</f>
        <v>10.3390/D12060238</v>
      </c>
      <c r="M655" s="1" t="str">
        <f ca="1">IFERROR(__xludf.DUMMYFUNCTION("""COMPUTED_VALUE"""),"Carrasco-Rueda_2020")</f>
        <v>Carrasco-Rueda_2020</v>
      </c>
    </row>
    <row r="656" spans="1:13" ht="13.2">
      <c r="A656" s="1" t="str">
        <f ca="1">IFERROR(__xludf.DUMMYFUNCTION("""COMPUTED_VALUE"""),"forearm length")</f>
        <v>forearm length</v>
      </c>
      <c r="B656" s="1" t="str">
        <f ca="1">IFERROR(__xludf.DUMMYFUNCTION("""COMPUTED_VALUE"""),"body size")</f>
        <v>body size</v>
      </c>
      <c r="C656" s="1"/>
      <c r="D656" s="1"/>
      <c r="E656" s="1" t="str">
        <f ca="1">IFERROR(__xludf.DUMMYFUNCTION("""COMPUTED_VALUE"""),"numeric")</f>
        <v>numeric</v>
      </c>
      <c r="F656" s="1"/>
      <c r="G656" s="1" t="str">
        <f ca="1">IFERROR(__xludf.DUMMYFUNCTION("""COMPUTED_VALUE"""),".na")</f>
        <v>.na</v>
      </c>
      <c r="H656" s="1"/>
      <c r="I656" s="1"/>
      <c r="J656" s="1"/>
      <c r="K656" s="1" t="str">
        <f ca="1">IFERROR(__xludf.DUMMYFUNCTION("""COMPUTED_VALUE"""),"response")</f>
        <v>response</v>
      </c>
      <c r="L656" s="1" t="str">
        <f ca="1">IFERROR(__xludf.DUMMYFUNCTION("""COMPUTED_VALUE"""),"10.3390/D12060238")</f>
        <v>10.3390/D12060238</v>
      </c>
      <c r="M656" s="1" t="str">
        <f ca="1">IFERROR(__xludf.DUMMYFUNCTION("""COMPUTED_VALUE"""),"Carrasco-Rueda_2020")</f>
        <v>Carrasco-Rueda_2020</v>
      </c>
    </row>
    <row r="657" spans="1:13" ht="13.2">
      <c r="A657" s="1" t="str">
        <f ca="1">IFERROR(__xludf.DUMMYFUNCTION("""COMPUTED_VALUE"""),"greatest length of the skull")</f>
        <v>greatest length of the skull</v>
      </c>
      <c r="B657" s="1" t="str">
        <f ca="1">IFERROR(__xludf.DUMMYFUNCTION("""COMPUTED_VALUE"""),"masticatory characteristics")</f>
        <v>masticatory characteristics</v>
      </c>
      <c r="C657" s="1"/>
      <c r="D657" s="1"/>
      <c r="E657" s="1" t="str">
        <f ca="1">IFERROR(__xludf.DUMMYFUNCTION("""COMPUTED_VALUE"""),"numeric")</f>
        <v>numeric</v>
      </c>
      <c r="F657" s="1"/>
      <c r="G657" s="1" t="str">
        <f ca="1">IFERROR(__xludf.DUMMYFUNCTION("""COMPUTED_VALUE"""),".na")</f>
        <v>.na</v>
      </c>
      <c r="H657" s="1"/>
      <c r="I657" s="1"/>
      <c r="J657" s="1"/>
      <c r="K657" s="1" t="str">
        <f ca="1">IFERROR(__xludf.DUMMYFUNCTION("""COMPUTED_VALUE"""),"response")</f>
        <v>response</v>
      </c>
      <c r="L657" s="1" t="str">
        <f ca="1">IFERROR(__xludf.DUMMYFUNCTION("""COMPUTED_VALUE"""),"10.3390/D12060238")</f>
        <v>10.3390/D12060238</v>
      </c>
      <c r="M657" s="1" t="str">
        <f ca="1">IFERROR(__xludf.DUMMYFUNCTION("""COMPUTED_VALUE"""),"Carrasco-Rueda_2020")</f>
        <v>Carrasco-Rueda_2020</v>
      </c>
    </row>
    <row r="658" spans="1:13" ht="13.2">
      <c r="A658" s="1" t="str">
        <f ca="1">IFERROR(__xludf.DUMMYFUNCTION("""COMPUTED_VALUE"""),"condylobasal length")</f>
        <v>condylobasal length</v>
      </c>
      <c r="B658" s="1" t="str">
        <f ca="1">IFERROR(__xludf.DUMMYFUNCTION("""COMPUTED_VALUE"""),"masticatory characteristics")</f>
        <v>masticatory characteristics</v>
      </c>
      <c r="C658" s="1"/>
      <c r="D658" s="1"/>
      <c r="E658" s="1" t="str">
        <f ca="1">IFERROR(__xludf.DUMMYFUNCTION("""COMPUTED_VALUE"""),"numeric")</f>
        <v>numeric</v>
      </c>
      <c r="F658" s="1"/>
      <c r="G658" s="1" t="str">
        <f ca="1">IFERROR(__xludf.DUMMYFUNCTION("""COMPUTED_VALUE"""),".na")</f>
        <v>.na</v>
      </c>
      <c r="H658" s="1"/>
      <c r="I658" s="1"/>
      <c r="J658" s="1"/>
      <c r="K658" s="1" t="str">
        <f ca="1">IFERROR(__xludf.DUMMYFUNCTION("""COMPUTED_VALUE"""),"response")</f>
        <v>response</v>
      </c>
      <c r="L658" s="1" t="str">
        <f ca="1">IFERROR(__xludf.DUMMYFUNCTION("""COMPUTED_VALUE"""),"10.3390/D12060238")</f>
        <v>10.3390/D12060238</v>
      </c>
      <c r="M658" s="1" t="str">
        <f ca="1">IFERROR(__xludf.DUMMYFUNCTION("""COMPUTED_VALUE"""),"Carrasco-Rueda_2020")</f>
        <v>Carrasco-Rueda_2020</v>
      </c>
    </row>
    <row r="659" spans="1:13" ht="13.2">
      <c r="A659" s="1" t="str">
        <f ca="1">IFERROR(__xludf.DUMMYFUNCTION("""COMPUTED_VALUE"""),"molar tooth row length")</f>
        <v>molar tooth row length</v>
      </c>
      <c r="B659" s="1" t="str">
        <f ca="1">IFERROR(__xludf.DUMMYFUNCTION("""COMPUTED_VALUE"""),"masticatory characteristics")</f>
        <v>masticatory characteristics</v>
      </c>
      <c r="C659" s="1"/>
      <c r="D659" s="1"/>
      <c r="E659" s="1" t="str">
        <f ca="1">IFERROR(__xludf.DUMMYFUNCTION("""COMPUTED_VALUE"""),"numeric")</f>
        <v>numeric</v>
      </c>
      <c r="F659" s="1"/>
      <c r="G659" s="1" t="str">
        <f ca="1">IFERROR(__xludf.DUMMYFUNCTION("""COMPUTED_VALUE"""),".na")</f>
        <v>.na</v>
      </c>
      <c r="H659" s="1"/>
      <c r="I659" s="1"/>
      <c r="J659" s="1"/>
      <c r="K659" s="1" t="str">
        <f ca="1">IFERROR(__xludf.DUMMYFUNCTION("""COMPUTED_VALUE"""),"response")</f>
        <v>response</v>
      </c>
      <c r="L659" s="1" t="str">
        <f ca="1">IFERROR(__xludf.DUMMYFUNCTION("""COMPUTED_VALUE"""),"10.3390/D12060238")</f>
        <v>10.3390/D12060238</v>
      </c>
      <c r="M659" s="1" t="str">
        <f ca="1">IFERROR(__xludf.DUMMYFUNCTION("""COMPUTED_VALUE"""),"Carrasco-Rueda_2020")</f>
        <v>Carrasco-Rueda_2020</v>
      </c>
    </row>
    <row r="660" spans="1:13" ht="13.2">
      <c r="A660" s="1" t="str">
        <f ca="1">IFERROR(__xludf.DUMMYFUNCTION("""COMPUTED_VALUE"""),"breadth across molars")</f>
        <v>breadth across molars</v>
      </c>
      <c r="B660" s="1" t="str">
        <f ca="1">IFERROR(__xludf.DUMMYFUNCTION("""COMPUTED_VALUE"""),"masticatory characteristics")</f>
        <v>masticatory characteristics</v>
      </c>
      <c r="C660" s="1"/>
      <c r="D660" s="1"/>
      <c r="E660" s="1" t="str">
        <f ca="1">IFERROR(__xludf.DUMMYFUNCTION("""COMPUTED_VALUE"""),"numeric")</f>
        <v>numeric</v>
      </c>
      <c r="F660" s="1"/>
      <c r="G660" s="1" t="str">
        <f ca="1">IFERROR(__xludf.DUMMYFUNCTION("""COMPUTED_VALUE"""),".na")</f>
        <v>.na</v>
      </c>
      <c r="H660" s="1"/>
      <c r="I660" s="1"/>
      <c r="J660" s="1"/>
      <c r="K660" s="1" t="str">
        <f ca="1">IFERROR(__xludf.DUMMYFUNCTION("""COMPUTED_VALUE"""),"response")</f>
        <v>response</v>
      </c>
      <c r="L660" s="1" t="str">
        <f ca="1">IFERROR(__xludf.DUMMYFUNCTION("""COMPUTED_VALUE"""),"10.3390/D12060238")</f>
        <v>10.3390/D12060238</v>
      </c>
      <c r="M660" s="1" t="str">
        <f ca="1">IFERROR(__xludf.DUMMYFUNCTION("""COMPUTED_VALUE"""),"Carrasco-Rueda_2020")</f>
        <v>Carrasco-Rueda_2020</v>
      </c>
    </row>
    <row r="661" spans="1:13" ht="13.2">
      <c r="A661" s="1" t="str">
        <f ca="1">IFERROR(__xludf.DUMMYFUNCTION("""COMPUTED_VALUE"""),"post-orbital constriction")</f>
        <v>post-orbital constriction</v>
      </c>
      <c r="B661" s="1" t="str">
        <f ca="1">IFERROR(__xludf.DUMMYFUNCTION("""COMPUTED_VALUE"""),"masticatory characteristics")</f>
        <v>masticatory characteristics</v>
      </c>
      <c r="C661" s="1"/>
      <c r="D661" s="1"/>
      <c r="E661" s="1" t="str">
        <f ca="1">IFERROR(__xludf.DUMMYFUNCTION("""COMPUTED_VALUE"""),"numeric")</f>
        <v>numeric</v>
      </c>
      <c r="F661" s="1"/>
      <c r="G661" s="1" t="str">
        <f ca="1">IFERROR(__xludf.DUMMYFUNCTION("""COMPUTED_VALUE"""),".na")</f>
        <v>.na</v>
      </c>
      <c r="H661" s="1"/>
      <c r="I661" s="1"/>
      <c r="J661" s="1"/>
      <c r="K661" s="1" t="str">
        <f ca="1">IFERROR(__xludf.DUMMYFUNCTION("""COMPUTED_VALUE"""),"response")</f>
        <v>response</v>
      </c>
      <c r="L661" s="1" t="str">
        <f ca="1">IFERROR(__xludf.DUMMYFUNCTION("""COMPUTED_VALUE"""),"10.3390/D12060238")</f>
        <v>10.3390/D12060238</v>
      </c>
      <c r="M661" s="1" t="str">
        <f ca="1">IFERROR(__xludf.DUMMYFUNCTION("""COMPUTED_VALUE"""),"Carrasco-Rueda_2020")</f>
        <v>Carrasco-Rueda_2020</v>
      </c>
    </row>
    <row r="662" spans="1:13" ht="13.2">
      <c r="A662" s="1" t="str">
        <f ca="1">IFERROR(__xludf.DUMMYFUNCTION("""COMPUTED_VALUE"""),"breadth of braincase")</f>
        <v>breadth of braincase</v>
      </c>
      <c r="B662" s="1" t="str">
        <f ca="1">IFERROR(__xludf.DUMMYFUNCTION("""COMPUTED_VALUE"""),"masticatory characteristics")</f>
        <v>masticatory characteristics</v>
      </c>
      <c r="C662" s="1"/>
      <c r="D662" s="1"/>
      <c r="E662" s="1" t="str">
        <f ca="1">IFERROR(__xludf.DUMMYFUNCTION("""COMPUTED_VALUE"""),"numeric")</f>
        <v>numeric</v>
      </c>
      <c r="F662" s="1"/>
      <c r="G662" s="1" t="str">
        <f ca="1">IFERROR(__xludf.DUMMYFUNCTION("""COMPUTED_VALUE"""),".na")</f>
        <v>.na</v>
      </c>
      <c r="H662" s="1"/>
      <c r="I662" s="1"/>
      <c r="J662" s="1"/>
      <c r="K662" s="1" t="str">
        <f ca="1">IFERROR(__xludf.DUMMYFUNCTION("""COMPUTED_VALUE"""),"response")</f>
        <v>response</v>
      </c>
      <c r="L662" s="1" t="str">
        <f ca="1">IFERROR(__xludf.DUMMYFUNCTION("""COMPUTED_VALUE"""),"10.3390/D12060238")</f>
        <v>10.3390/D12060238</v>
      </c>
      <c r="M662" s="1" t="str">
        <f ca="1">IFERROR(__xludf.DUMMYFUNCTION("""COMPUTED_VALUE"""),"Carrasco-Rueda_2020")</f>
        <v>Carrasco-Rueda_2020</v>
      </c>
    </row>
    <row r="663" spans="1:13" ht="13.2">
      <c r="A663" s="1" t="str">
        <f ca="1">IFERROR(__xludf.DUMMYFUNCTION("""COMPUTED_VALUE"""),"wing aspect ratio")</f>
        <v>wing aspect ratio</v>
      </c>
      <c r="B663" s="1" t="str">
        <f ca="1">IFERROR(__xludf.DUMMYFUNCTION("""COMPUTED_VALUE"""),"flight characteristics")</f>
        <v>flight characteristics</v>
      </c>
      <c r="C663" s="1"/>
      <c r="D663" s="1"/>
      <c r="E663" s="1" t="str">
        <f ca="1">IFERROR(__xludf.DUMMYFUNCTION("""COMPUTED_VALUE"""),"numeric")</f>
        <v>numeric</v>
      </c>
      <c r="F663" s="1"/>
      <c r="G663" s="1" t="str">
        <f ca="1">IFERROR(__xludf.DUMMYFUNCTION("""COMPUTED_VALUE"""),".na")</f>
        <v>.na</v>
      </c>
      <c r="H663" s="1"/>
      <c r="I663" s="1"/>
      <c r="J663" s="1"/>
      <c r="K663" s="1" t="str">
        <f ca="1">IFERROR(__xludf.DUMMYFUNCTION("""COMPUTED_VALUE"""),"response")</f>
        <v>response</v>
      </c>
      <c r="L663" s="1" t="str">
        <f ca="1">IFERROR(__xludf.DUMMYFUNCTION("""COMPUTED_VALUE"""),"10.3390/D12060238")</f>
        <v>10.3390/D12060238</v>
      </c>
      <c r="M663" s="1" t="str">
        <f ca="1">IFERROR(__xludf.DUMMYFUNCTION("""COMPUTED_VALUE"""),"Carrasco-Rueda_2020")</f>
        <v>Carrasco-Rueda_2020</v>
      </c>
    </row>
    <row r="664" spans="1:13" ht="13.2">
      <c r="A664" s="1" t="str">
        <f ca="1">IFERROR(__xludf.DUMMYFUNCTION("""COMPUTED_VALUE"""),"wing loading")</f>
        <v>wing loading</v>
      </c>
      <c r="B664" s="1" t="str">
        <f ca="1">IFERROR(__xludf.DUMMYFUNCTION("""COMPUTED_VALUE"""),"flight characteristics")</f>
        <v>flight characteristics</v>
      </c>
      <c r="C664" s="1"/>
      <c r="D664" s="1"/>
      <c r="E664" s="1" t="str">
        <f ca="1">IFERROR(__xludf.DUMMYFUNCTION("""COMPUTED_VALUE"""),"numeric")</f>
        <v>numeric</v>
      </c>
      <c r="F664" s="1"/>
      <c r="G664" s="1" t="str">
        <f ca="1">IFERROR(__xludf.DUMMYFUNCTION("""COMPUTED_VALUE"""),".na")</f>
        <v>.na</v>
      </c>
      <c r="H664" s="1"/>
      <c r="I664" s="1"/>
      <c r="J664" s="1"/>
      <c r="K664" s="1" t="str">
        <f ca="1">IFERROR(__xludf.DUMMYFUNCTION("""COMPUTED_VALUE"""),"response")</f>
        <v>response</v>
      </c>
      <c r="L664" s="1" t="str">
        <f ca="1">IFERROR(__xludf.DUMMYFUNCTION("""COMPUTED_VALUE"""),"10.3390/D12060238")</f>
        <v>10.3390/D12060238</v>
      </c>
      <c r="M664" s="1" t="str">
        <f ca="1">IFERROR(__xludf.DUMMYFUNCTION("""COMPUTED_VALUE"""),"Carrasco-Rueda_2020")</f>
        <v>Carrasco-Rueda_2020</v>
      </c>
    </row>
    <row r="665" spans="1:13" ht="13.2">
      <c r="A665" s="1" t="str">
        <f ca="1">IFERROR(__xludf.DUMMYFUNCTION("""COMPUTED_VALUE"""),"Weight")</f>
        <v>Weight</v>
      </c>
      <c r="B665" s="1"/>
      <c r="C665" s="1"/>
      <c r="D665" s="1"/>
      <c r="E665" s="1" t="str">
        <f ca="1">IFERROR(__xludf.DUMMYFUNCTION("""COMPUTED_VALUE"""),"numeric")</f>
        <v>numeric</v>
      </c>
      <c r="F665" s="1" t="str">
        <f ca="1">IFERROR(__xludf.DUMMYFUNCTION("""COMPUTED_VALUE"""),"g")</f>
        <v>g</v>
      </c>
      <c r="G665" s="1" t="str">
        <f ca="1">IFERROR(__xludf.DUMMYFUNCTION("""COMPUTED_VALUE"""),".na")</f>
        <v>.na</v>
      </c>
      <c r="H665" s="1"/>
      <c r="I665" s="1"/>
      <c r="J665" s="1" t="str">
        <f ca="1">IFERROR(__xludf.DUMMYFUNCTION("""COMPUTED_VALUE"""),"Based on the average body mass of each species (g)")</f>
        <v>Based on the average body mass of each species (g)</v>
      </c>
      <c r="K665" s="1" t="str">
        <f ca="1">IFERROR(__xludf.DUMMYFUNCTION("""COMPUTED_VALUE"""),"response")</f>
        <v>response</v>
      </c>
      <c r="L665" s="1" t="str">
        <f ca="1">IFERROR(__xludf.DUMMYFUNCTION("""COMPUTED_VALUE"""),"10.31687/saremMN.19.26.1.0.09")</f>
        <v>10.31687/saremMN.19.26.1.0.09</v>
      </c>
      <c r="M665" s="1" t="str">
        <f ca="1">IFERROR(__xludf.DUMMYFUNCTION("""COMPUTED_VALUE"""),"Pereira_2019")</f>
        <v>Pereira_2019</v>
      </c>
    </row>
    <row r="666" spans="1:13" ht="13.2">
      <c r="A666" s="1" t="str">
        <f ca="1">IFERROR(__xludf.DUMMYFUNCTION("""COMPUTED_VALUE"""),"Size")</f>
        <v>Size</v>
      </c>
      <c r="B666" s="1"/>
      <c r="C666" s="1"/>
      <c r="D666" s="1"/>
      <c r="E666" s="1" t="str">
        <f ca="1">IFERROR(__xludf.DUMMYFUNCTION("""COMPUTED_VALUE"""),"numeric")</f>
        <v>numeric</v>
      </c>
      <c r="F666" s="1" t="str">
        <f ca="1">IFERROR(__xludf.DUMMYFUNCTION("""COMPUTED_VALUE"""),"mm")</f>
        <v>mm</v>
      </c>
      <c r="G666" s="1" t="str">
        <f ca="1">IFERROR(__xludf.DUMMYFUNCTION("""COMPUTED_VALUE"""),".na")</f>
        <v>.na</v>
      </c>
      <c r="H666" s="1"/>
      <c r="I666" s="1"/>
      <c r="J666" s="1" t="str">
        <f ca="1">IFERROR(__xludf.DUMMYFUNCTION("""COMPUTED_VALUE"""),"Based on the average forearm of each species (mm)")</f>
        <v>Based on the average forearm of each species (mm)</v>
      </c>
      <c r="K666" s="1" t="str">
        <f ca="1">IFERROR(__xludf.DUMMYFUNCTION("""COMPUTED_VALUE"""),"response")</f>
        <v>response</v>
      </c>
      <c r="L666" s="1" t="str">
        <f ca="1">IFERROR(__xludf.DUMMYFUNCTION("""COMPUTED_VALUE"""),"10.31687/saremMN.19.26.1.0.09")</f>
        <v>10.31687/saremMN.19.26.1.0.09</v>
      </c>
      <c r="M666" s="1" t="str">
        <f ca="1">IFERROR(__xludf.DUMMYFUNCTION("""COMPUTED_VALUE"""),"Pereira_2019")</f>
        <v>Pereira_2019</v>
      </c>
    </row>
    <row r="667" spans="1:13" ht="13.2">
      <c r="A667" s="1" t="str">
        <f ca="1">IFERROR(__xludf.DUMMYFUNCTION("""COMPUTED_VALUE"""),"wing loading")</f>
        <v>wing loading</v>
      </c>
      <c r="B667" s="1"/>
      <c r="C667" s="1"/>
      <c r="D667" s="1"/>
      <c r="E667" s="1" t="str">
        <f ca="1">IFERROR(__xludf.DUMMYFUNCTION("""COMPUTED_VALUE"""),"numeric")</f>
        <v>numeric</v>
      </c>
      <c r="F667" s="1"/>
      <c r="G667" s="1" t="str">
        <f ca="1">IFERROR(__xludf.DUMMYFUNCTION("""COMPUTED_VALUE"""),".na")</f>
        <v>.na</v>
      </c>
      <c r="H667" s="1"/>
      <c r="I667" s="1"/>
      <c r="J667" s="1" t="str">
        <f ca="1">IFERROR(__xludf.DUMMYFUNCTION("""COMPUTED_VALUE"""),"Based on the average of aspect ratio and relative wing loading of each species")</f>
        <v>Based on the average of aspect ratio and relative wing loading of each species</v>
      </c>
      <c r="K667" s="1" t="str">
        <f ca="1">IFERROR(__xludf.DUMMYFUNCTION("""COMPUTED_VALUE"""),"response")</f>
        <v>response</v>
      </c>
      <c r="L667" s="1" t="str">
        <f ca="1">IFERROR(__xludf.DUMMYFUNCTION("""COMPUTED_VALUE"""),"10.31687/saremMN.19.26.1.0.09")</f>
        <v>10.31687/saremMN.19.26.1.0.09</v>
      </c>
      <c r="M667" s="1" t="str">
        <f ca="1">IFERROR(__xludf.DUMMYFUNCTION("""COMPUTED_VALUE"""),"Pereira_2019")</f>
        <v>Pereira_2019</v>
      </c>
    </row>
    <row r="668" spans="1:13" ht="13.2">
      <c r="A668" s="1" t="str">
        <f ca="1">IFERROR(__xludf.DUMMYFUNCTION("""COMPUTED_VALUE"""),"aspect ratio")</f>
        <v>aspect ratio</v>
      </c>
      <c r="B668" s="1"/>
      <c r="C668" s="1"/>
      <c r="D668" s="1"/>
      <c r="E668" s="1" t="str">
        <f ca="1">IFERROR(__xludf.DUMMYFUNCTION("""COMPUTED_VALUE"""),"numeric")</f>
        <v>numeric</v>
      </c>
      <c r="F668" s="1"/>
      <c r="G668" s="1" t="str">
        <f ca="1">IFERROR(__xludf.DUMMYFUNCTION("""COMPUTED_VALUE"""),".na")</f>
        <v>.na</v>
      </c>
      <c r="H668" s="1"/>
      <c r="I668" s="1"/>
      <c r="J668" s="1" t="str">
        <f ca="1">IFERROR(__xludf.DUMMYFUNCTION("""COMPUTED_VALUE"""),"Based on the average of aspect ratio and relative wing loading of each species")</f>
        <v>Based on the average of aspect ratio and relative wing loading of each species</v>
      </c>
      <c r="K668" s="1" t="str">
        <f ca="1">IFERROR(__xludf.DUMMYFUNCTION("""COMPUTED_VALUE"""),"response")</f>
        <v>response</v>
      </c>
      <c r="L668" s="1" t="str">
        <f ca="1">IFERROR(__xludf.DUMMYFUNCTION("""COMPUTED_VALUE"""),"10.31687/saremMN.19.26.1.0.09")</f>
        <v>10.31687/saremMN.19.26.1.0.09</v>
      </c>
      <c r="M668" s="1" t="str">
        <f ca="1">IFERROR(__xludf.DUMMYFUNCTION("""COMPUTED_VALUE"""),"Pereira_2019")</f>
        <v>Pereira_2019</v>
      </c>
    </row>
    <row r="669" spans="1:13" ht="13.2">
      <c r="A669" s="1" t="str">
        <f ca="1">IFERROR(__xludf.DUMMYFUNCTION("""COMPUTED_VALUE"""),"Invertebrates-general (Diet-Inv)")</f>
        <v>Invertebrates-general (Diet-Inv)</v>
      </c>
      <c r="B669" s="1" t="str">
        <f ca="1">IFERROR(__xludf.DUMMYFUNCTION("""COMPUTED_VALUE"""),"Dietary specialization")</f>
        <v>Dietary specialization</v>
      </c>
      <c r="C669" s="1"/>
      <c r="D669" s="1"/>
      <c r="E669" s="1" t="str">
        <f ca="1">IFERROR(__xludf.DUMMYFUNCTION("""COMPUTED_VALUE"""),"numeric")</f>
        <v>numeric</v>
      </c>
      <c r="F669" s="1"/>
      <c r="G669" s="1" t="str">
        <f ca="1">IFERROR(__xludf.DUMMYFUNCTION("""COMPUTED_VALUE"""),".na")</f>
        <v>.na</v>
      </c>
      <c r="H669" s="1"/>
      <c r="I669" s="1"/>
      <c r="J669" s="1" t="str">
        <f ca="1">IFERROR(__xludf.DUMMYFUNCTION("""COMPUTED_VALUE"""),"Percentage of the contribution of each food item to the total dietary records for each species")</f>
        <v>Percentage of the contribution of each food item to the total dietary records for each species</v>
      </c>
      <c r="K669" s="1" t="str">
        <f ca="1">IFERROR(__xludf.DUMMYFUNCTION("""COMPUTED_VALUE"""),"response")</f>
        <v>response</v>
      </c>
      <c r="L669" s="1" t="str">
        <f ca="1">IFERROR(__xludf.DUMMYFUNCTION("""COMPUTED_VALUE"""),"10.31687/saremMN.19.26.1.0.09")</f>
        <v>10.31687/saremMN.19.26.1.0.09</v>
      </c>
      <c r="M669" s="1" t="str">
        <f ca="1">IFERROR(__xludf.DUMMYFUNCTION("""COMPUTED_VALUE"""),"Pereira_2019")</f>
        <v>Pereira_2019</v>
      </c>
    </row>
    <row r="670" spans="1:13" ht="13.2">
      <c r="A670" s="1" t="str">
        <f ca="1">IFERROR(__xludf.DUMMYFUNCTION("""COMPUTED_VALUE"""),"blood of vertebrates (Diet-Vend)")</f>
        <v>blood of vertebrates (Diet-Vend)</v>
      </c>
      <c r="B670" s="1" t="str">
        <f ca="1">IFERROR(__xludf.DUMMYFUNCTION("""COMPUTED_VALUE"""),"Dietary specialization")</f>
        <v>Dietary specialization</v>
      </c>
      <c r="C670" s="1"/>
      <c r="D670" s="1"/>
      <c r="E670" s="1" t="str">
        <f ca="1">IFERROR(__xludf.DUMMYFUNCTION("""COMPUTED_VALUE"""),"numeric")</f>
        <v>numeric</v>
      </c>
      <c r="F670" s="1"/>
      <c r="G670" s="1" t="str">
        <f ca="1">IFERROR(__xludf.DUMMYFUNCTION("""COMPUTED_VALUE"""),".na")</f>
        <v>.na</v>
      </c>
      <c r="H670" s="1"/>
      <c r="I670" s="1"/>
      <c r="J670" s="1" t="str">
        <f ca="1">IFERROR(__xludf.DUMMYFUNCTION("""COMPUTED_VALUE"""),"Percentage of the contribution of each food item to the total dietary records for each species")</f>
        <v>Percentage of the contribution of each food item to the total dietary records for each species</v>
      </c>
      <c r="K670" s="1" t="str">
        <f ca="1">IFERROR(__xludf.DUMMYFUNCTION("""COMPUTED_VALUE"""),"response")</f>
        <v>response</v>
      </c>
      <c r="L670" s="1" t="str">
        <f ca="1">IFERROR(__xludf.DUMMYFUNCTION("""COMPUTED_VALUE"""),"10.31687/saremMN.19.26.1.0.09")</f>
        <v>10.31687/saremMN.19.26.1.0.09</v>
      </c>
      <c r="M670" s="1" t="str">
        <f ca="1">IFERROR(__xludf.DUMMYFUNCTION("""COMPUTED_VALUE"""),"Pereira_2019")</f>
        <v>Pereira_2019</v>
      </c>
    </row>
    <row r="671" spans="1:13" ht="13.2">
      <c r="A671" s="1" t="str">
        <f ca="1">IFERROR(__xludf.DUMMYFUNCTION("""COMPUTED_VALUE"""),"Reptiles, snakes, amphibians, salamanders (Diet-Vect)")</f>
        <v>Reptiles, snakes, amphibians, salamanders (Diet-Vect)</v>
      </c>
      <c r="B671" s="1" t="str">
        <f ca="1">IFERROR(__xludf.DUMMYFUNCTION("""COMPUTED_VALUE"""),"Dietary specialization")</f>
        <v>Dietary specialization</v>
      </c>
      <c r="C671" s="1"/>
      <c r="D671" s="1"/>
      <c r="E671" s="1" t="str">
        <f ca="1">IFERROR(__xludf.DUMMYFUNCTION("""COMPUTED_VALUE"""),"numeric")</f>
        <v>numeric</v>
      </c>
      <c r="F671" s="1"/>
      <c r="G671" s="1" t="str">
        <f ca="1">IFERROR(__xludf.DUMMYFUNCTION("""COMPUTED_VALUE"""),".na")</f>
        <v>.na</v>
      </c>
      <c r="H671" s="1"/>
      <c r="I671" s="1"/>
      <c r="J671" s="1" t="str">
        <f ca="1">IFERROR(__xludf.DUMMYFUNCTION("""COMPUTED_VALUE"""),"Percentage of the contribution of each food item to the total dietary records for each species")</f>
        <v>Percentage of the contribution of each food item to the total dietary records for each species</v>
      </c>
      <c r="K671" s="1" t="str">
        <f ca="1">IFERROR(__xludf.DUMMYFUNCTION("""COMPUTED_VALUE"""),"response")</f>
        <v>response</v>
      </c>
      <c r="L671" s="1" t="str">
        <f ca="1">IFERROR(__xludf.DUMMYFUNCTION("""COMPUTED_VALUE"""),"10.31687/saremMN.19.26.1.0.09")</f>
        <v>10.31687/saremMN.19.26.1.0.09</v>
      </c>
      <c r="M671" s="1" t="str">
        <f ca="1">IFERROR(__xludf.DUMMYFUNCTION("""COMPUTED_VALUE"""),"Pereira_2019")</f>
        <v>Pereira_2019</v>
      </c>
    </row>
    <row r="672" spans="1:13" ht="13.2">
      <c r="A672" s="1" t="str">
        <f ca="1">IFERROR(__xludf.DUMMYFUNCTION("""COMPUTED_VALUE"""),"Fruit, drupes (Diet-Fruit)")</f>
        <v>Fruit, drupes (Diet-Fruit)</v>
      </c>
      <c r="B672" s="1" t="str">
        <f ca="1">IFERROR(__xludf.DUMMYFUNCTION("""COMPUTED_VALUE"""),"Dietary specialization")</f>
        <v>Dietary specialization</v>
      </c>
      <c r="C672" s="1"/>
      <c r="D672" s="1"/>
      <c r="E672" s="1" t="str">
        <f ca="1">IFERROR(__xludf.DUMMYFUNCTION("""COMPUTED_VALUE"""),"numeric")</f>
        <v>numeric</v>
      </c>
      <c r="F672" s="1"/>
      <c r="G672" s="1" t="str">
        <f ca="1">IFERROR(__xludf.DUMMYFUNCTION("""COMPUTED_VALUE"""),".na")</f>
        <v>.na</v>
      </c>
      <c r="H672" s="1"/>
      <c r="I672" s="1"/>
      <c r="J672" s="1" t="str">
        <f ca="1">IFERROR(__xludf.DUMMYFUNCTION("""COMPUTED_VALUE"""),"Percentage of the contribution of each food item to the total dietary records for each species")</f>
        <v>Percentage of the contribution of each food item to the total dietary records for each species</v>
      </c>
      <c r="K672" s="1" t="str">
        <f ca="1">IFERROR(__xludf.DUMMYFUNCTION("""COMPUTED_VALUE"""),"response")</f>
        <v>response</v>
      </c>
      <c r="L672" s="1" t="str">
        <f ca="1">IFERROR(__xludf.DUMMYFUNCTION("""COMPUTED_VALUE"""),"10.31687/saremMN.19.26.1.0.09")</f>
        <v>10.31687/saremMN.19.26.1.0.09</v>
      </c>
      <c r="M672" s="1" t="str">
        <f ca="1">IFERROR(__xludf.DUMMYFUNCTION("""COMPUTED_VALUE"""),"Pereira_2019")</f>
        <v>Pereira_2019</v>
      </c>
    </row>
    <row r="673" spans="1:13" ht="13.2">
      <c r="A673" s="1" t="str">
        <f ca="1">IFERROR(__xludf.DUMMYFUNCTION("""COMPUTED_VALUE"""),"Nectar, pollen, plant exudates, gums (Diet-Nect).")</f>
        <v>Nectar, pollen, plant exudates, gums (Diet-Nect).</v>
      </c>
      <c r="B673" s="1" t="str">
        <f ca="1">IFERROR(__xludf.DUMMYFUNCTION("""COMPUTED_VALUE"""),"Dietary specialization")</f>
        <v>Dietary specialization</v>
      </c>
      <c r="C673" s="1"/>
      <c r="D673" s="1"/>
      <c r="E673" s="1" t="str">
        <f ca="1">IFERROR(__xludf.DUMMYFUNCTION("""COMPUTED_VALUE"""),"numeric")</f>
        <v>numeric</v>
      </c>
      <c r="F673" s="1"/>
      <c r="G673" s="1" t="str">
        <f ca="1">IFERROR(__xludf.DUMMYFUNCTION("""COMPUTED_VALUE"""),".na")</f>
        <v>.na</v>
      </c>
      <c r="H673" s="1"/>
      <c r="I673" s="1"/>
      <c r="J673" s="1" t="str">
        <f ca="1">IFERROR(__xludf.DUMMYFUNCTION("""COMPUTED_VALUE"""),"Percentage of the contribution of each food item to the total dietary records for each species")</f>
        <v>Percentage of the contribution of each food item to the total dietary records for each species</v>
      </c>
      <c r="K673" s="1" t="str">
        <f ca="1">IFERROR(__xludf.DUMMYFUNCTION("""COMPUTED_VALUE"""),"response")</f>
        <v>response</v>
      </c>
      <c r="L673" s="1" t="str">
        <f ca="1">IFERROR(__xludf.DUMMYFUNCTION("""COMPUTED_VALUE"""),"10.31687/saremMN.19.26.1.0.09")</f>
        <v>10.31687/saremMN.19.26.1.0.09</v>
      </c>
      <c r="M673" s="1" t="str">
        <f ca="1">IFERROR(__xludf.DUMMYFUNCTION("""COMPUTED_VALUE"""),"Pereira_2019")</f>
        <v>Pereira_2019</v>
      </c>
    </row>
    <row r="674" spans="1:13" ht="13.2">
      <c r="A674" s="1" t="str">
        <f ca="1">IFERROR(__xludf.DUMMYFUNCTION("""COMPUTED_VALUE"""),"Weight")</f>
        <v>Weight</v>
      </c>
      <c r="B674" s="1"/>
      <c r="C674" s="1"/>
      <c r="D674" s="1"/>
      <c r="E674" s="1" t="str">
        <f ca="1">IFERROR(__xludf.DUMMYFUNCTION("""COMPUTED_VALUE"""),"numeric")</f>
        <v>numeric</v>
      </c>
      <c r="F674" s="1" t="str">
        <f ca="1">IFERROR(__xludf.DUMMYFUNCTION("""COMPUTED_VALUE"""),"g")</f>
        <v>g</v>
      </c>
      <c r="G674" s="1" t="str">
        <f ca="1">IFERROR(__xludf.DUMMYFUNCTION("""COMPUTED_VALUE"""),".na")</f>
        <v>.na</v>
      </c>
      <c r="H674" s="1"/>
      <c r="I674" s="1"/>
      <c r="J674" s="1"/>
      <c r="K674" s="1" t="str">
        <f ca="1">IFERROR(__xludf.DUMMYFUNCTION("""COMPUTED_VALUE"""),"response")</f>
        <v>response</v>
      </c>
      <c r="L674" s="1" t="str">
        <f ca="1">IFERROR(__xludf.DUMMYFUNCTION("""COMPUTED_VALUE"""),"10.3161/15081109ACC2018.20.1.009")</f>
        <v>10.3161/15081109ACC2018.20.1.009</v>
      </c>
      <c r="M674" s="1" t="str">
        <f ca="1">IFERROR(__xludf.DUMMYFUNCTION("""COMPUTED_VALUE"""),"Coelho_2018")</f>
        <v>Coelho_2018</v>
      </c>
    </row>
    <row r="675" spans="1:13" ht="13.2">
      <c r="A675" s="1" t="str">
        <f ca="1">IFERROR(__xludf.DUMMYFUNCTION("""COMPUTED_VALUE"""),"Feeding guild")</f>
        <v>Feeding guild</v>
      </c>
      <c r="B675" s="1"/>
      <c r="C675" s="1"/>
      <c r="D675" s="1"/>
      <c r="E675" s="1" t="str">
        <f ca="1">IFERROR(__xludf.DUMMYFUNCTION("""COMPUTED_VALUE"""),"categorical")</f>
        <v>categorical</v>
      </c>
      <c r="F675" s="1" t="str">
        <f ca="1">IFERROR(__xludf.DUMMYFUNCTION("""COMPUTED_VALUE"""),".na")</f>
        <v>.na</v>
      </c>
      <c r="G675" s="1" t="str">
        <f ca="1">IFERROR(__xludf.DUMMYFUNCTION("""COMPUTED_VALUE"""),"Nect= nectarivorous, Frug= frugivorous, Inset= insectivorous, Hema= hematophagous")</f>
        <v>Nect= nectarivorous, Frug= frugivorous, Inset= insectivorous, Hema= hematophagous</v>
      </c>
      <c r="H675" s="1" t="str">
        <f ca="1">IFERROR(__xludf.DUMMYFUNCTION("""COMPUTED_VALUE"""),".na")</f>
        <v>.na</v>
      </c>
      <c r="I675" s="1" t="str">
        <f ca="1">IFERROR(__xludf.DUMMYFUNCTION("""COMPUTED_VALUE"""),".na")</f>
        <v>.na</v>
      </c>
      <c r="J675" s="1"/>
      <c r="K675" s="1" t="str">
        <f ca="1">IFERROR(__xludf.DUMMYFUNCTION("""COMPUTED_VALUE"""),"response")</f>
        <v>response</v>
      </c>
      <c r="L675" s="1" t="str">
        <f ca="1">IFERROR(__xludf.DUMMYFUNCTION("""COMPUTED_VALUE"""),"10.3161/15081109ACC2018.20.1.009")</f>
        <v>10.3161/15081109ACC2018.20.1.009</v>
      </c>
      <c r="M675" s="1" t="str">
        <f ca="1">IFERROR(__xludf.DUMMYFUNCTION("""COMPUTED_VALUE"""),"Coelho_2018")</f>
        <v>Coelho_2018</v>
      </c>
    </row>
    <row r="676" spans="1:13" ht="13.2">
      <c r="A676" s="1" t="str">
        <f ca="1">IFERROR(__xludf.DUMMYFUNCTION("""COMPUTED_VALUE"""),"Aspect ratio (ratio between wing span and width)")</f>
        <v>Aspect ratio (ratio between wing span and width)</v>
      </c>
      <c r="B676" s="1"/>
      <c r="C676" s="1"/>
      <c r="D676" s="1"/>
      <c r="E676" s="1" t="str">
        <f ca="1">IFERROR(__xludf.DUMMYFUNCTION("""COMPUTED_VALUE"""),"numeric")</f>
        <v>numeric</v>
      </c>
      <c r="F676" s="1"/>
      <c r="G676" s="1" t="str">
        <f ca="1">IFERROR(__xludf.DUMMYFUNCTION("""COMPUTED_VALUE"""),".na")</f>
        <v>.na</v>
      </c>
      <c r="H676" s="1"/>
      <c r="I676" s="1"/>
      <c r="J676" s="1"/>
      <c r="K676" s="1" t="str">
        <f ca="1">IFERROR(__xludf.DUMMYFUNCTION("""COMPUTED_VALUE"""),"response")</f>
        <v>response</v>
      </c>
      <c r="L676" s="1" t="str">
        <f ca="1">IFERROR(__xludf.DUMMYFUNCTION("""COMPUTED_VALUE"""),"10.3161/15081109ACC2018.20.1.009")</f>
        <v>10.3161/15081109ACC2018.20.1.009</v>
      </c>
      <c r="M676" s="1" t="str">
        <f ca="1">IFERROR(__xludf.DUMMYFUNCTION("""COMPUTED_VALUE"""),"Coelho_2018")</f>
        <v>Coelho_2018</v>
      </c>
    </row>
    <row r="677" spans="1:13" ht="13.2">
      <c r="A677" s="1" t="str">
        <f ca="1">IFERROR(__xludf.DUMMYFUNCTION("""COMPUTED_VALUE"""),"Type of shelterused")</f>
        <v>Type of shelterused</v>
      </c>
      <c r="B677" s="1"/>
      <c r="C677" s="1"/>
      <c r="D677" s="1"/>
      <c r="E677" s="1" t="str">
        <f ca="1">IFERROR(__xludf.DUMMYFUNCTION("""COMPUTED_VALUE"""),"categorical")</f>
        <v>categorical</v>
      </c>
      <c r="F677" s="1" t="str">
        <f ca="1">IFERROR(__xludf.DUMMYFUNCTION("""COMPUTED_VALUE"""),".na")</f>
        <v>.na</v>
      </c>
      <c r="G677" s="1" t="str">
        <f ca="1">IFERROR(__xludf.DUMMYFUNCTION("""COMPUTED_VALUE"""),"Tr= tree, Cav=cave, Le=leaf, Build=buildings")</f>
        <v>Tr= tree, Cav=cave, Le=leaf, Build=buildings</v>
      </c>
      <c r="H677" s="1" t="str">
        <f ca="1">IFERROR(__xludf.DUMMYFUNCTION("""COMPUTED_VALUE"""),".na")</f>
        <v>.na</v>
      </c>
      <c r="I677" s="1" t="str">
        <f ca="1">IFERROR(__xludf.DUMMYFUNCTION("""COMPUTED_VALUE"""),".na")</f>
        <v>.na</v>
      </c>
      <c r="J677" s="1"/>
      <c r="K677" s="1" t="str">
        <f ca="1">IFERROR(__xludf.DUMMYFUNCTION("""COMPUTED_VALUE"""),"response")</f>
        <v>response</v>
      </c>
      <c r="L677" s="1" t="str">
        <f ca="1">IFERROR(__xludf.DUMMYFUNCTION("""COMPUTED_VALUE"""),"10.3161/15081109ACC2018.20.1.009")</f>
        <v>10.3161/15081109ACC2018.20.1.009</v>
      </c>
      <c r="M677" s="1" t="str">
        <f ca="1">IFERROR(__xludf.DUMMYFUNCTION("""COMPUTED_VALUE"""),"Coelho_2018")</f>
        <v>Coelho_2018</v>
      </c>
    </row>
  </sheetData>
  <hyperlinks>
    <hyperlink ref="L2" r:id="rId1" display="https://doi.org/10.11606/1807-0205/2021.61.24" xr:uid="{00000000-0004-0000-0200-000000000000}"/>
    <hyperlink ref="L3" r:id="rId2" display="https://doi.org/10.11606/1807-0205/2021.61.24" xr:uid="{00000000-0004-0000-0200-000001000000}"/>
    <hyperlink ref="L4" r:id="rId3" display="https://doi.org/10.11606/1807-0205/2021.61.24" xr:uid="{00000000-0004-0000-0200-000002000000}"/>
    <hyperlink ref="L5" r:id="rId4" display="https://doi.org/10.11606/1807-0205/2021.61.24" xr:uid="{00000000-0004-0000-0200-000003000000}"/>
    <hyperlink ref="L6" r:id="rId5" display="https://doi.org/10.11606/1807-0205/2021.61.24" xr:uid="{00000000-0004-0000-0200-000004000000}"/>
    <hyperlink ref="L7" r:id="rId6" display="https://doi.org/10.11606/1807-0205/2021.61.24" xr:uid="{00000000-0004-0000-0200-000005000000}"/>
    <hyperlink ref="L8" r:id="rId7" display="https://doi.org/10.11606/1807-0205/2021.61.24" xr:uid="{00000000-0004-0000-0200-000006000000}"/>
    <hyperlink ref="L9" r:id="rId8" display="https://doi.org/10.11606/1807-0205/2021.61.24" xr:uid="{00000000-0004-0000-0200-000007000000}"/>
    <hyperlink ref="L10" r:id="rId9" display="https://doi.org/10.11606/1807-0205/2021.61.24" xr:uid="{00000000-0004-0000-0200-000008000000}"/>
    <hyperlink ref="L11" r:id="rId10" display="https://doi.org/10.11606/1807-0205/2021.61.24" xr:uid="{00000000-0004-0000-0200-000009000000}"/>
    <hyperlink ref="L12" r:id="rId11" display="https://doi.org/10.11606/1807-0205/2021.61.24" xr:uid="{00000000-0004-0000-0200-00000A000000}"/>
    <hyperlink ref="L13" r:id="rId12" display="https://doi.org/10.11606/1807-0205/2021.61.24" xr:uid="{00000000-0004-0000-0200-00000B000000}"/>
    <hyperlink ref="L14" r:id="rId13" display="https://doi.org/10.11606/1807-0205/2021.61.24" xr:uid="{00000000-0004-0000-0200-00000C000000}"/>
    <hyperlink ref="L15" r:id="rId14" display="https://doi.org/10.11606/1807-0205/2021.61.24" xr:uid="{00000000-0004-0000-0200-00000D000000}"/>
    <hyperlink ref="L16" r:id="rId15" display="https://doi.org/10.11606/1807-0205/2021.61.24" xr:uid="{00000000-0004-0000-0200-00000E000000}"/>
    <hyperlink ref="L17" r:id="rId16" display="https://doi.org/10.11606/1807-0205/2021.61.24" xr:uid="{00000000-0004-0000-0200-00000F000000}"/>
    <hyperlink ref="L18" r:id="rId17" display="https://doi.org/10.11606/1807-0205/2021.61.24" xr:uid="{00000000-0004-0000-0200-000010000000}"/>
    <hyperlink ref="L19" r:id="rId18" display="https://doi.org/10.11606/1807-0205/2021.61.24" xr:uid="{00000000-0004-0000-0200-000011000000}"/>
    <hyperlink ref="L20" r:id="rId19" display="https://doi.org/10.11606/1807-0205/2021.61.24" xr:uid="{00000000-0004-0000-0200-000012000000}"/>
    <hyperlink ref="L21" r:id="rId20" display="https://doi.org/10.11606/1807-0205/2021.61.24" xr:uid="{00000000-0004-0000-0200-000013000000}"/>
    <hyperlink ref="L22" r:id="rId21" display="https://doi.org/10.11606/1807-0205/2021.61.24" xr:uid="{00000000-0004-0000-0200-000014000000}"/>
    <hyperlink ref="L23" r:id="rId22" display="https://doi.org/10.11606/1807-0205/2021.61.24" xr:uid="{00000000-0004-0000-0200-000015000000}"/>
    <hyperlink ref="L24" r:id="rId23" display="https://doi.org/10.11606/1807-0205/2021.61.24" xr:uid="{00000000-0004-0000-0200-000016000000}"/>
    <hyperlink ref="L25" r:id="rId24" display="https://doi.org/10.11606/1807-0205/2021.61.24" xr:uid="{00000000-0004-0000-0200-000017000000}"/>
    <hyperlink ref="L26" r:id="rId25" display="https://doi.org/10.11606/1807-0205/2021.61.24" xr:uid="{00000000-0004-0000-0200-000018000000}"/>
    <hyperlink ref="L27" r:id="rId26" display="https://doi.org/10.11606/1807-0205/2021.61.24" xr:uid="{00000000-0004-0000-0200-000019000000}"/>
    <hyperlink ref="L28" r:id="rId27" display="https://doi.org/10.11606/1807-0205/2021.61.24" xr:uid="{00000000-0004-0000-0200-00001A000000}"/>
    <hyperlink ref="L29" r:id="rId28" display="https://doi.org/10.11606/1807-0205/2021.61.24" xr:uid="{00000000-0004-0000-0200-00001B000000}"/>
    <hyperlink ref="L30" r:id="rId29" display="https://doi.org/10.11606/1807-0205/2021.61.24" xr:uid="{00000000-0004-0000-0200-00001C000000}"/>
    <hyperlink ref="L31" r:id="rId30" display="https://doi.org/10.11606/1807-0205/2021.61.24" xr:uid="{00000000-0004-0000-0200-00001D000000}"/>
    <hyperlink ref="L32" r:id="rId31" display="https://doi.org/10.11606/1807-0205/2021.61.24" xr:uid="{00000000-0004-0000-0200-00001E000000}"/>
    <hyperlink ref="L33" r:id="rId32" display="https://doi.org/10.11606/1807-0205/2021.61.24" xr:uid="{00000000-0004-0000-0200-00001F000000}"/>
    <hyperlink ref="L34" r:id="rId33" display="https://doi.org/10.11606/1807-0205/2021.61.24" xr:uid="{00000000-0004-0000-0200-000020000000}"/>
    <hyperlink ref="L35" r:id="rId34" display="https://doi.org/10.11606/1807-0205/2021.61.24" xr:uid="{00000000-0004-0000-0200-000021000000}"/>
    <hyperlink ref="L36" r:id="rId35" display="https://doi.org/10.11606/1807-0205/2021.61.24" xr:uid="{00000000-0004-0000-0200-000022000000}"/>
    <hyperlink ref="L37" r:id="rId36" display="https://doi.org/10.11606/1807-0205/2021.61.24" xr:uid="{00000000-0004-0000-0200-000023000000}"/>
    <hyperlink ref="L38" r:id="rId37" display="https://doi.org/10.11606/1807-0205/2021.61.24" xr:uid="{00000000-0004-0000-0200-000024000000}"/>
    <hyperlink ref="L39" r:id="rId38" display="https://doi.org/10.11606/1807-0205/2021.61.24" xr:uid="{00000000-0004-0000-0200-000025000000}"/>
    <hyperlink ref="L40" r:id="rId39" display="https://doi.org/10.11606/1807-0205/2021.61.24" xr:uid="{00000000-0004-0000-0200-000026000000}"/>
    <hyperlink ref="L41" r:id="rId40" display="https://doi.org/10.11606/1807-0205/2021.61.24" xr:uid="{00000000-0004-0000-0200-000027000000}"/>
    <hyperlink ref="L42" r:id="rId41" display="https://doi.org/10.11606/1807-0205/2021.61.24" xr:uid="{00000000-0004-0000-0200-000028000000}"/>
    <hyperlink ref="L43" r:id="rId42" display="https://doi.org/10.11606/1807-0205/2021.61.24" xr:uid="{00000000-0004-0000-0200-000029000000}"/>
    <hyperlink ref="L44" r:id="rId43" display="https://doi.org/10.11606/1807-0205/2021.61.24" xr:uid="{00000000-0004-0000-0200-00002A000000}"/>
    <hyperlink ref="L45" r:id="rId44" display="https://doi.org/10.11606/1807-0205/2021.61.24" xr:uid="{00000000-0004-0000-0200-00002B000000}"/>
    <hyperlink ref="L46" r:id="rId45" display="https://doi.org/10.11606/1807-0205/2021.61.24" xr:uid="{00000000-0004-0000-0200-00002C000000}"/>
    <hyperlink ref="L47" r:id="rId46" display="https://doi.org/10.11606/1807-0205/2021.61.24" xr:uid="{00000000-0004-0000-0200-00002D000000}"/>
    <hyperlink ref="L48" r:id="rId47" display="https://doi.org/10.11606/1807-0205/2021.61.24" xr:uid="{00000000-0004-0000-0200-00002E000000}"/>
    <hyperlink ref="L49" r:id="rId48" display="https://doi.org/10.11606/1807-0205/2021.61.24" xr:uid="{00000000-0004-0000-0200-00002F000000}"/>
    <hyperlink ref="L50" r:id="rId49" display="https://doi.org/10.11606/1807-0205/2021.61.24" xr:uid="{00000000-0004-0000-0200-000030000000}"/>
    <hyperlink ref="L51" r:id="rId50" display="https://doi.org/10.11606/1807-0205/2021.61.24" xr:uid="{00000000-0004-0000-0200-000031000000}"/>
    <hyperlink ref="L52" r:id="rId51" display="https://doi.org/10.1002/ecy.3344" xr:uid="{00000000-0004-0000-0200-000032000000}"/>
    <hyperlink ref="L53" r:id="rId52" display="https://doi.org/10.1002/ecy.3344" xr:uid="{00000000-0004-0000-0200-000033000000}"/>
    <hyperlink ref="L54" r:id="rId53" display="https://doi.org/10.1002/ecy.3344" xr:uid="{00000000-0004-0000-0200-000034000000}"/>
    <hyperlink ref="L55" r:id="rId54" display="https://doi.org/10.1002/ecy.3344" xr:uid="{00000000-0004-0000-0200-000035000000}"/>
    <hyperlink ref="L56" r:id="rId55" display="https://doi.org/10.1002/ecy.3344" xr:uid="{00000000-0004-0000-0200-000036000000}"/>
    <hyperlink ref="L57" r:id="rId56" display="https://doi.org/10.1002/ecy.3344" xr:uid="{00000000-0004-0000-0200-000037000000}"/>
    <hyperlink ref="L58" r:id="rId57" display="https://doi.org/10.1002/ecy.3344" xr:uid="{00000000-0004-0000-0200-000038000000}"/>
    <hyperlink ref="L59" r:id="rId58" display="https://doi.org/10.1002/ecy.3344" xr:uid="{00000000-0004-0000-0200-000039000000}"/>
    <hyperlink ref="L60" r:id="rId59" display="https://doi.org/10.1002/ecy.3344" xr:uid="{00000000-0004-0000-0200-00003A000000}"/>
    <hyperlink ref="L61" r:id="rId60" display="https://doi.org/10.1002/ecy.3344" xr:uid="{00000000-0004-0000-0200-00003B000000}"/>
    <hyperlink ref="L62" r:id="rId61" display="https://doi.org/10.1002/ecy.3344" xr:uid="{00000000-0004-0000-0200-00003C000000}"/>
    <hyperlink ref="L63" r:id="rId62" display="https://doi.org/10.1002/ecy.3344" xr:uid="{00000000-0004-0000-0200-00003D000000}"/>
    <hyperlink ref="L64" r:id="rId63" display="https://doi.org/10.1002/ecy.3344" xr:uid="{00000000-0004-0000-0200-00003E000000}"/>
    <hyperlink ref="L65" r:id="rId64" display="https://doi.org/10.1002/ecy.3344" xr:uid="{00000000-0004-0000-0200-00003F000000}"/>
    <hyperlink ref="L66" r:id="rId65" display="https://doi.org/10.1002/ecy.3344" xr:uid="{00000000-0004-0000-0200-000040000000}"/>
    <hyperlink ref="L67" r:id="rId66" display="https://doi.org/10.1002/ecy.3344" xr:uid="{00000000-0004-0000-0200-000041000000}"/>
    <hyperlink ref="L68" r:id="rId67" display="https://doi.org/10.1002/ecy.3344" xr:uid="{00000000-0004-0000-0200-000042000000}"/>
    <hyperlink ref="L69" r:id="rId68" display="https://doi.org/10.1002/ecy.3344" xr:uid="{00000000-0004-0000-0200-000043000000}"/>
    <hyperlink ref="L70" r:id="rId69" display="https://doi.org/10.1002/ecy.3344" xr:uid="{00000000-0004-0000-0200-000044000000}"/>
    <hyperlink ref="L71" r:id="rId70" display="https://doi.org/10.1002/ecy.3344" xr:uid="{00000000-0004-0000-0200-000045000000}"/>
    <hyperlink ref="L72" r:id="rId71" display="https://doi.org/10.1002/ecy.3344" xr:uid="{00000000-0004-0000-0200-000046000000}"/>
    <hyperlink ref="L73" r:id="rId72" display="https://doi.org/10.1002/ecy.3344" xr:uid="{00000000-0004-0000-0200-000047000000}"/>
    <hyperlink ref="L74" r:id="rId73" display="https://doi.org/10.1002/ecy.3344" xr:uid="{00000000-0004-0000-0200-000048000000}"/>
    <hyperlink ref="L75" r:id="rId74" display="https://doi.org/10.1002/ecy.3344" xr:uid="{00000000-0004-0000-0200-000049000000}"/>
    <hyperlink ref="L76" r:id="rId75" display="https://doi.org/10.1002/ecy.3344" xr:uid="{00000000-0004-0000-0200-00004A000000}"/>
    <hyperlink ref="L77" r:id="rId76" display="https://doi.org/10.1002/ecy.3344" xr:uid="{00000000-0004-0000-0200-00004B000000}"/>
    <hyperlink ref="L78" r:id="rId77" display="https://doi.org/10.1002/ecy.3344" xr:uid="{00000000-0004-0000-0200-00004C000000}"/>
    <hyperlink ref="L79" r:id="rId78" display="https://doi.org/10.1002/ecy.3344" xr:uid="{00000000-0004-0000-0200-00004D000000}"/>
    <hyperlink ref="L80" r:id="rId79" display="https://doi.org/10.1002/ecy.3344" xr:uid="{00000000-0004-0000-0200-00004E000000}"/>
    <hyperlink ref="L81" r:id="rId80" display="https://doi.org/10.1002/ecy.3344" xr:uid="{00000000-0004-0000-0200-00004F000000}"/>
    <hyperlink ref="L82" r:id="rId81" display="https://doi.org/10.1002/ecy.3344" xr:uid="{00000000-0004-0000-0200-000050000000}"/>
    <hyperlink ref="L83" r:id="rId82" display="https://doi.org/10.1002/ecy.3344" xr:uid="{00000000-0004-0000-0200-000051000000}"/>
    <hyperlink ref="L84" r:id="rId83" display="https://doi.org/10.1002/ecy.3344" xr:uid="{00000000-0004-0000-0200-000052000000}"/>
    <hyperlink ref="L85" r:id="rId84" display="https://doi.org/10.1002/ecy.3344" xr:uid="{00000000-0004-0000-0200-000053000000}"/>
    <hyperlink ref="L86" r:id="rId85" display="https://doi.org/10.1002/ecy.3344" xr:uid="{00000000-0004-0000-0200-000054000000}"/>
    <hyperlink ref="L87" r:id="rId86" display="https://doi.org/10.1002/ecy.3344" xr:uid="{00000000-0004-0000-0200-000055000000}"/>
    <hyperlink ref="L88" r:id="rId87" display="https://doi.org/10.1002/ecy.3344" xr:uid="{00000000-0004-0000-0200-000056000000}"/>
    <hyperlink ref="L89" r:id="rId88" display="https://doi.org/10.1002/ecy.3344" xr:uid="{00000000-0004-0000-0200-000057000000}"/>
    <hyperlink ref="L90" r:id="rId89" display="https://doi.org/10.1002/ecy.3344" xr:uid="{00000000-0004-0000-0200-000058000000}"/>
    <hyperlink ref="L91" r:id="rId90" display="https://doi.org/10.1002/ecy.3344" xr:uid="{00000000-0004-0000-0200-000059000000}"/>
    <hyperlink ref="L92" r:id="rId91" display="https://doi.org/10.1002/ecy.3344" xr:uid="{00000000-0004-0000-0200-00005A000000}"/>
    <hyperlink ref="L93" r:id="rId92" display="https://doi.org/10.1002/ecy.3344" xr:uid="{00000000-0004-0000-0200-00005B000000}"/>
    <hyperlink ref="L94" r:id="rId93" display="https://doi.org/10.1002/ecy.3344" xr:uid="{00000000-0004-0000-0200-00005C000000}"/>
    <hyperlink ref="L95" r:id="rId94" display="https://doi.org/10.1002/ecy.3344" xr:uid="{00000000-0004-0000-0200-00005D000000}"/>
    <hyperlink ref="L96" r:id="rId95" display="https://doi.org/10.1002/ecy.3344" xr:uid="{00000000-0004-0000-0200-00005E000000}"/>
    <hyperlink ref="L97" r:id="rId96" display="https://doi.org/10.1002/ecy.3344" xr:uid="{00000000-0004-0000-0200-00005F000000}"/>
    <hyperlink ref="L98" r:id="rId97" display="https://doi.org/10.1002/ecy.3344" xr:uid="{00000000-0004-0000-0200-000060000000}"/>
    <hyperlink ref="L99" r:id="rId98" display="https://doi.org/10.1002/ecy.3344" xr:uid="{00000000-0004-0000-0200-000061000000}"/>
    <hyperlink ref="L100" r:id="rId99" display="https://doi.org/10.1002/ecy.3344" xr:uid="{00000000-0004-0000-0200-000062000000}"/>
    <hyperlink ref="L101" r:id="rId100" display="https://doi.org/10.1002/ecy.3344" xr:uid="{00000000-0004-0000-0200-000063000000}"/>
    <hyperlink ref="L102" r:id="rId101" display="https://doi.org/10.1002/ecy.3344" xr:uid="{00000000-0004-0000-0200-000064000000}"/>
    <hyperlink ref="L103" r:id="rId102" display="https://doi.org/10.1002/ecy.3344" xr:uid="{00000000-0004-0000-0200-000065000000}"/>
    <hyperlink ref="L104" r:id="rId103" display="https://doi.org/10.1002/ecy.3344" xr:uid="{00000000-0004-0000-0200-000066000000}"/>
    <hyperlink ref="L105" r:id="rId104" display="https://doi.org/10.1002/ecy.3344" xr:uid="{00000000-0004-0000-0200-000067000000}"/>
    <hyperlink ref="L106" r:id="rId105" display="https://doi.org/10.1038/s41597-023-02472-w" xr:uid="{00000000-0004-0000-0200-000068000000}"/>
    <hyperlink ref="L107" r:id="rId106" display="https://doi.org/10.1038/s41597-023-02472-w" xr:uid="{00000000-0004-0000-0200-000069000000}"/>
    <hyperlink ref="L108" r:id="rId107" display="https://doi.org/10.1038/s41597-023-02472-w" xr:uid="{00000000-0004-0000-0200-00006A000000}"/>
    <hyperlink ref="L109" r:id="rId108" display="https://doi.org/10.1038/s41597-023-02472-w" xr:uid="{00000000-0004-0000-0200-00006B000000}"/>
    <hyperlink ref="L110" r:id="rId109" display="https://doi.org/10.1038/s41597-023-02472-w" xr:uid="{00000000-0004-0000-0200-00006C000000}"/>
    <hyperlink ref="L111" r:id="rId110" display="https://doi.org/10.1038/s41597-023-02472-w" xr:uid="{00000000-0004-0000-0200-00006D000000}"/>
    <hyperlink ref="L112" r:id="rId111" display="https://doi.org/10.1038/s41597-023-02472-w" xr:uid="{00000000-0004-0000-0200-00006E000000}"/>
    <hyperlink ref="L113" r:id="rId112" display="https://doi.org/10.1038/s41597-023-02472-w" xr:uid="{00000000-0004-0000-0200-00006F000000}"/>
    <hyperlink ref="L114" r:id="rId113" display="https://doi.org/10.1038/s41597-023-02472-w" xr:uid="{00000000-0004-0000-0200-000070000000}"/>
    <hyperlink ref="L115" r:id="rId114" display="https://doi.org/10.1038/s41597-023-02472-w" xr:uid="{00000000-0004-0000-0200-000071000000}"/>
    <hyperlink ref="L116" r:id="rId115" display="https://doi.org/10.1038/s41597-023-02472-w" xr:uid="{00000000-0004-0000-0200-000072000000}"/>
    <hyperlink ref="L117" r:id="rId116" display="https://doi.org/10.1038/s41597-023-02472-w" xr:uid="{00000000-0004-0000-0200-000073000000}"/>
    <hyperlink ref="L118" r:id="rId117" display="https://doi.org/10.1038/s41597-023-02472-w" xr:uid="{00000000-0004-0000-0200-000074000000}"/>
    <hyperlink ref="L119" r:id="rId118" display="https://doi.org/10.1038/s41597-023-02472-w" xr:uid="{00000000-0004-0000-0200-000075000000}"/>
    <hyperlink ref="L120" r:id="rId119" display="https://doi.org/10.1038/s41597-023-02472-w" xr:uid="{00000000-0004-0000-0200-000076000000}"/>
    <hyperlink ref="L121" r:id="rId120" display="https://doi.org/10.1038/s41597-023-02472-w" xr:uid="{00000000-0004-0000-0200-000077000000}"/>
    <hyperlink ref="L122" r:id="rId121" display="https://doi.org/10.1038/s41597-023-02472-w" xr:uid="{00000000-0004-0000-0200-000078000000}"/>
    <hyperlink ref="L123" r:id="rId122" display="https://doi.org/10.1038/s41597-023-02472-w" xr:uid="{00000000-0004-0000-0200-000079000000}"/>
    <hyperlink ref="L124" r:id="rId123" display="https://doi.org/10.1038/s41597-023-02472-w" xr:uid="{00000000-0004-0000-0200-00007A000000}"/>
    <hyperlink ref="L125" r:id="rId124" display="https://doi.org/10.1038/s41597-023-02472-w" xr:uid="{00000000-0004-0000-0200-00007B000000}"/>
    <hyperlink ref="L126" r:id="rId125" display="https://doi.org/10.1038/s41597-023-02472-w" xr:uid="{00000000-0004-0000-0200-00007C000000}"/>
    <hyperlink ref="L127" r:id="rId126" display="https://doi.org/10.1038/s41597-023-02472-w" xr:uid="{00000000-0004-0000-0200-00007D000000}"/>
    <hyperlink ref="L128" r:id="rId127" display="https://doi.org/10.1038/s41597-023-02472-w" xr:uid="{00000000-0004-0000-0200-00007E000000}"/>
    <hyperlink ref="L129" r:id="rId128" display="https://doi.org/10.1038/s41597-023-02472-w" xr:uid="{00000000-0004-0000-0200-00007F000000}"/>
    <hyperlink ref="L130" r:id="rId129" display="https://doi.org/10.1038/s41597-023-02472-w" xr:uid="{00000000-0004-0000-0200-000080000000}"/>
    <hyperlink ref="L131" r:id="rId130" display="https://doi.org/10.1038/s41597-023-02472-w" xr:uid="{00000000-0004-0000-0200-000081000000}"/>
    <hyperlink ref="L132" r:id="rId131" display="https://doi.org/10.1038/s41597-023-02472-w" xr:uid="{00000000-0004-0000-0200-000082000000}"/>
    <hyperlink ref="L133" r:id="rId132" display="https://doi.org/10.1038/s41597-023-02472-w" xr:uid="{00000000-0004-0000-0200-000083000000}"/>
    <hyperlink ref="L134" r:id="rId133" display="https://doi.org/10.1038/s41597-023-02472-w" xr:uid="{00000000-0004-0000-0200-000084000000}"/>
    <hyperlink ref="L135" r:id="rId134" display="https://doi.org/10.1038/s41597-023-02472-w" xr:uid="{00000000-0004-0000-0200-000085000000}"/>
    <hyperlink ref="L136" r:id="rId135" display="https://doi.org/10.1038/s41597-023-02472-w" xr:uid="{00000000-0004-0000-0200-000086000000}"/>
    <hyperlink ref="L137" r:id="rId136" display="https://doi.org/10.1038/s41597-023-02472-w" xr:uid="{00000000-0004-0000-0200-000087000000}"/>
    <hyperlink ref="L138" r:id="rId137" display="https://doi.org/10.1038/s41597-023-02472-w" xr:uid="{00000000-0004-0000-0200-000088000000}"/>
    <hyperlink ref="L139" r:id="rId138" display="https://doi.org/10.1038/s41597-023-02472-w" xr:uid="{00000000-0004-0000-0200-000089000000}"/>
    <hyperlink ref="L140" r:id="rId139" display="https://doi.org/10.1038/s41597-023-02472-w" xr:uid="{00000000-0004-0000-0200-00008A000000}"/>
    <hyperlink ref="L141" r:id="rId140" display="https://doi.org/10.1038/s41597-023-02472-w" xr:uid="{00000000-0004-0000-0200-00008B000000}"/>
    <hyperlink ref="L142" r:id="rId141" display="https://doi.org/10.1038/s41597-023-02472-w" xr:uid="{00000000-0004-0000-0200-00008C000000}"/>
    <hyperlink ref="L143" r:id="rId142" display="https://doi.org/10.1038/s41597-023-02472-w" xr:uid="{00000000-0004-0000-0200-00008D000000}"/>
    <hyperlink ref="L144" r:id="rId143" display="https://doi.org/10.1038/s41597-023-02472-w" xr:uid="{00000000-0004-0000-0200-00008E000000}"/>
    <hyperlink ref="L145" r:id="rId144" display="https://doi.org/10.1038/s41597-023-02472-w" xr:uid="{00000000-0004-0000-0200-00008F000000}"/>
    <hyperlink ref="L146" r:id="rId145" display="https://doi.org/10.1038/s41597-023-02472-w" xr:uid="{00000000-0004-0000-0200-000090000000}"/>
    <hyperlink ref="L147" r:id="rId146" display="https://doi.org/10.1038/s41597-023-02472-w" xr:uid="{00000000-0004-0000-0200-000091000000}"/>
    <hyperlink ref="L148" r:id="rId147" display="https://doi.org/10.1038/s41597-023-02472-w" xr:uid="{00000000-0004-0000-0200-000092000000}"/>
    <hyperlink ref="L149" r:id="rId148" display="https://doi.org/10.1038/s41597-023-02472-w" xr:uid="{00000000-0004-0000-0200-000093000000}"/>
    <hyperlink ref="L150" r:id="rId149" display="https://doi.org/10.1038/s41597-023-02472-w" xr:uid="{00000000-0004-0000-0200-000094000000}"/>
    <hyperlink ref="L151" r:id="rId150" display="https://doi.org/10.1038/s41597-023-02472-w" xr:uid="{00000000-0004-0000-0200-000095000000}"/>
    <hyperlink ref="L152" r:id="rId151" display="https://doi.org/10.1038/s41597-023-02472-w" xr:uid="{00000000-0004-0000-0200-000096000000}"/>
    <hyperlink ref="L153" r:id="rId152" display="https://doi.org/10.1038/s41597-023-02472-w" xr:uid="{00000000-0004-0000-0200-000097000000}"/>
    <hyperlink ref="L154" r:id="rId153" display="https://doi.org/10.1038/s41597-023-02472-w" xr:uid="{00000000-0004-0000-0200-000098000000}"/>
    <hyperlink ref="L155" r:id="rId154" display="https://doi.org/10.1038/s41597-023-02472-w" xr:uid="{00000000-0004-0000-0200-000099000000}"/>
    <hyperlink ref="L156" r:id="rId155" display="https://doi.org/10.1038/s41597-023-02472-w" xr:uid="{00000000-0004-0000-0200-00009A000000}"/>
    <hyperlink ref="L157" r:id="rId156" display="https://doi.org/10.1038/s41597-023-02472-w" xr:uid="{00000000-0004-0000-0200-00009B000000}"/>
    <hyperlink ref="L158" r:id="rId157" display="https://doi.org/10.1038/s41597-023-02472-w" xr:uid="{00000000-0004-0000-0200-00009C000000}"/>
    <hyperlink ref="L159" r:id="rId158" display="https://doi.org/10.1038/s41597-023-02472-w" xr:uid="{00000000-0004-0000-0200-00009D000000}"/>
    <hyperlink ref="L160" r:id="rId159" display="https://doi.org/10.1038/s41597-023-02472-w" xr:uid="{00000000-0004-0000-0200-00009E000000}"/>
    <hyperlink ref="L161" r:id="rId160" display="https://doi.org/10.1038/s41597-023-02472-w" xr:uid="{00000000-0004-0000-0200-00009F000000}"/>
    <hyperlink ref="L162" r:id="rId161" display="https://doi.org/10.1038/s41597-023-02472-w" xr:uid="{00000000-0004-0000-0200-0000A0000000}"/>
    <hyperlink ref="L163" r:id="rId162" display="https://doi.org/10.1038/s41597-023-02472-w" xr:uid="{00000000-0004-0000-0200-0000A1000000}"/>
    <hyperlink ref="L164" r:id="rId163" display="https://doi.org/10.1038/s41597-023-02472-w" xr:uid="{00000000-0004-0000-0200-0000A2000000}"/>
    <hyperlink ref="L165" r:id="rId164" display="https://doi.org/10.1038/s41597-023-02472-w" xr:uid="{00000000-0004-0000-0200-0000A3000000}"/>
    <hyperlink ref="L166" r:id="rId165" display="https://doi.org/10.1038/s41597-023-02472-w" xr:uid="{00000000-0004-0000-0200-0000A4000000}"/>
    <hyperlink ref="L167" r:id="rId166" display="https://doi.org/10.1038/s41597-023-02472-w" xr:uid="{00000000-0004-0000-0200-0000A5000000}"/>
    <hyperlink ref="L168" r:id="rId167" display="https://doi.org/10.1038/s41597-023-02472-w" xr:uid="{00000000-0004-0000-0200-0000A6000000}"/>
    <hyperlink ref="L169" r:id="rId168" display="https://doi.org/10.1038/s41597-023-02472-w" xr:uid="{00000000-0004-0000-0200-0000A7000000}"/>
    <hyperlink ref="L170" r:id="rId169" display="https://doi.org/10.1038/s41597-023-02472-w" xr:uid="{00000000-0004-0000-0200-0000A8000000}"/>
    <hyperlink ref="L171" r:id="rId170" display="https://doi.org/10.1038/s41597-023-02472-w" xr:uid="{00000000-0004-0000-0200-0000A9000000}"/>
    <hyperlink ref="L172" r:id="rId171" display="https://doi.org/10.1038/s41597-023-02472-w" xr:uid="{00000000-0004-0000-0200-0000AA000000}"/>
    <hyperlink ref="L173" r:id="rId172" display="https://doi.org/10.1038/s41597-023-02472-w" xr:uid="{00000000-0004-0000-0200-0000AB000000}"/>
    <hyperlink ref="L174" r:id="rId173" display="https://doi.org/10.1038/s41597-023-02472-w" xr:uid="{00000000-0004-0000-0200-0000AC000000}"/>
    <hyperlink ref="L175" r:id="rId174" display="https://doi.org/10.1038/s41597-023-02472-w" xr:uid="{00000000-0004-0000-0200-0000AD000000}"/>
    <hyperlink ref="L176" r:id="rId175" display="https://doi.org/10.1038/s41597-023-02472-w" xr:uid="{00000000-0004-0000-0200-0000AE000000}"/>
    <hyperlink ref="L177" r:id="rId176" display="https://doi.org/10.1038/s41597-023-02472-w" xr:uid="{00000000-0004-0000-0200-0000AF000000}"/>
    <hyperlink ref="L178" r:id="rId177" display="https://doi.org/10.1038/s41597-023-02472-w" xr:uid="{00000000-0004-0000-0200-0000B0000000}"/>
    <hyperlink ref="L179" r:id="rId178" display="https://doi.org/10.1038/s41597-023-02472-w" xr:uid="{00000000-0004-0000-0200-0000B1000000}"/>
    <hyperlink ref="L180" r:id="rId179" display="https://doi.org/10.1038/s41597-023-02472-w" xr:uid="{00000000-0004-0000-0200-0000B2000000}"/>
    <hyperlink ref="L181" r:id="rId180" display="https://doi.org/10.1038/s41597-023-02472-w" xr:uid="{00000000-0004-0000-0200-0000B3000000}"/>
    <hyperlink ref="L182" r:id="rId181" display="https://doi.org/10.1038/s41597-023-02472-w" xr:uid="{00000000-0004-0000-0200-0000B4000000}"/>
    <hyperlink ref="L183" r:id="rId182" display="https://doi.org/10.1038/s41597-023-02472-w" xr:uid="{00000000-0004-0000-0200-0000B5000000}"/>
    <hyperlink ref="L184" r:id="rId183" display="https://doi.org/10.1038/s41597-023-02472-w" xr:uid="{00000000-0004-0000-0200-0000B6000000}"/>
    <hyperlink ref="L185" r:id="rId184" display="https://doi.org/10.1038/s41597-023-02472-w" xr:uid="{00000000-0004-0000-0200-0000B7000000}"/>
    <hyperlink ref="L186" r:id="rId185" display="https://doi.org/10.1038/s41597-023-02472-w" xr:uid="{00000000-0004-0000-0200-0000B8000000}"/>
    <hyperlink ref="L187" r:id="rId186" display="https://doi.org/10.1038/s41597-023-02472-w" xr:uid="{00000000-0004-0000-0200-0000B9000000}"/>
    <hyperlink ref="L188" r:id="rId187" display="https://doi.org/10.1038/s41597-023-02472-w" xr:uid="{00000000-0004-0000-0200-0000BA000000}"/>
    <hyperlink ref="L189" r:id="rId188" display="https://doi.org/10.1038/s41597-023-02472-w" xr:uid="{00000000-0004-0000-0200-0000BB000000}"/>
    <hyperlink ref="L190" r:id="rId189" display="https://doi.org/10.1038/s41597-023-02472-w" xr:uid="{00000000-0004-0000-0200-0000BC000000}"/>
    <hyperlink ref="L191" r:id="rId190" display="https://doi.org/10.1038/s41597-023-02472-w" xr:uid="{00000000-0004-0000-0200-0000BD000000}"/>
    <hyperlink ref="L192" r:id="rId191" display="https://doi.org/10.1038/s41597-023-02472-w" xr:uid="{00000000-0004-0000-0200-0000BE000000}"/>
    <hyperlink ref="L193" r:id="rId192" display="https://doi.org/10.1038/s41597-023-02472-w" xr:uid="{00000000-0004-0000-0200-0000BF000000}"/>
    <hyperlink ref="L194" r:id="rId193" display="https://doi.org/10.1038/s41597-023-02472-w" xr:uid="{00000000-0004-0000-0200-0000C0000000}"/>
    <hyperlink ref="L195" r:id="rId194" display="https://doi.org/10.1038/s41597-023-02472-w" xr:uid="{00000000-0004-0000-0200-0000C1000000}"/>
    <hyperlink ref="L196" r:id="rId195" display="https://doi.org/10.1038/s41597-023-02472-w" xr:uid="{00000000-0004-0000-0200-0000C2000000}"/>
    <hyperlink ref="L197" r:id="rId196" display="https://doi.org/10.1038/s41597-023-02472-w" xr:uid="{00000000-0004-0000-0200-0000C3000000}"/>
    <hyperlink ref="L198" r:id="rId197" display="https://doi.org/10.1038/s41597-023-02472-w" xr:uid="{00000000-0004-0000-0200-0000C4000000}"/>
    <hyperlink ref="L199" r:id="rId198" display="https://doi.org/10.1038/s41597-023-02472-w" xr:uid="{00000000-0004-0000-0200-0000C5000000}"/>
    <hyperlink ref="L200" r:id="rId199" display="https://doi.org/10.1038/s41597-023-02472-w" xr:uid="{00000000-0004-0000-0200-0000C6000000}"/>
    <hyperlink ref="L201" r:id="rId200" display="https://doi.org/10.1038/s41597-023-02472-w" xr:uid="{00000000-0004-0000-0200-0000C7000000}"/>
    <hyperlink ref="L202" r:id="rId201" display="https://doi.org/10.1038/s41597-023-02472-w" xr:uid="{00000000-0004-0000-0200-0000C8000000}"/>
    <hyperlink ref="L203" r:id="rId202" display="https://doi.org/10.1038/s41597-023-02472-w" xr:uid="{00000000-0004-0000-0200-0000C9000000}"/>
    <hyperlink ref="L204" r:id="rId203" display="https://doi.org/10.1038/s41597-023-02472-w" xr:uid="{00000000-0004-0000-0200-0000CA000000}"/>
    <hyperlink ref="L205" r:id="rId204" display="https://doi.org/10.1038/s41597-023-02472-w" xr:uid="{00000000-0004-0000-0200-0000CB000000}"/>
    <hyperlink ref="L206" r:id="rId205" display="https://doi.org/10.1038/s41597-023-02472-w" xr:uid="{00000000-0004-0000-0200-0000CC000000}"/>
    <hyperlink ref="L207" r:id="rId206" display="https://doi.org/10.1038/s41597-023-02472-w" xr:uid="{00000000-0004-0000-0200-0000CD000000}"/>
    <hyperlink ref="L208" r:id="rId207" display="https://doi.org/10.1038/s41597-023-02472-w" xr:uid="{00000000-0004-0000-0200-0000CE000000}"/>
    <hyperlink ref="L209" r:id="rId208" display="https://doi.org/10.1038/s41597-023-02472-w" xr:uid="{00000000-0004-0000-0200-0000CF000000}"/>
    <hyperlink ref="L210" r:id="rId209" display="https://doi.org/10.1038/s41597-023-02472-w" xr:uid="{00000000-0004-0000-0200-0000D0000000}"/>
    <hyperlink ref="L211" r:id="rId210" display="https://doi.org/10.1038/s41597-023-02157-4" xr:uid="{00000000-0004-0000-0200-0000D1000000}"/>
    <hyperlink ref="L212" r:id="rId211" display="https://doi.org/10.1038/s41597-023-02157-4" xr:uid="{00000000-0004-0000-0200-0000D2000000}"/>
    <hyperlink ref="L213" r:id="rId212" display="https://doi.org/10.1038/s41597-023-02157-4" xr:uid="{00000000-0004-0000-0200-0000D3000000}"/>
    <hyperlink ref="L214" r:id="rId213" display="https://doi.org/10.1038/s41597-023-02157-4" xr:uid="{00000000-0004-0000-0200-0000D4000000}"/>
    <hyperlink ref="L215" r:id="rId214" display="https://doi.org/10.1038/s41597-023-02157-4" xr:uid="{00000000-0004-0000-0200-0000D5000000}"/>
    <hyperlink ref="L216" r:id="rId215" display="https://doi.org/10.1038/s41597-023-02157-4" xr:uid="{00000000-0004-0000-0200-0000D6000000}"/>
    <hyperlink ref="L217" r:id="rId216" display="https://doi.org/10.1038/s41597-023-02157-4" xr:uid="{00000000-0004-0000-0200-0000D7000000}"/>
    <hyperlink ref="L218" r:id="rId217" display="https://doi.org/10.1038/s41597-023-02157-4" xr:uid="{00000000-0004-0000-0200-0000D8000000}"/>
    <hyperlink ref="L219" r:id="rId218" display="https://doi.org/10.1038/s41597-023-02157-4" xr:uid="{00000000-0004-0000-0200-0000D9000000}"/>
    <hyperlink ref="L220" r:id="rId219" display="https://doi.org/10.1038/s41597-023-02157-4" xr:uid="{00000000-0004-0000-0200-0000DA000000}"/>
    <hyperlink ref="L221" r:id="rId220" display="https://doi.org/10.1038/s41597-023-02157-4" xr:uid="{00000000-0004-0000-0200-0000DB000000}"/>
    <hyperlink ref="L222" r:id="rId221" display="https://doi.org/10.1038/s41597-023-02157-4" xr:uid="{00000000-0004-0000-0200-0000DC000000}"/>
    <hyperlink ref="L223" r:id="rId222" display="https://doi.org/10.1038/s41597-023-02157-4" xr:uid="{00000000-0004-0000-0200-0000DD000000}"/>
    <hyperlink ref="L224" r:id="rId223" display="https://doi.org/10.1038/s41597-023-02157-4" xr:uid="{00000000-0004-0000-0200-0000DE000000}"/>
    <hyperlink ref="L225" r:id="rId224" display="https://doi.org/10.1038/s41597-023-02157-4" xr:uid="{00000000-0004-0000-0200-0000DF000000}"/>
    <hyperlink ref="L226" r:id="rId225" display="https://doi.org/10.1038/s41597-023-02157-4" xr:uid="{00000000-0004-0000-0200-0000E0000000}"/>
    <hyperlink ref="L227" r:id="rId226" display="https://doi.org/10.1038/s41597-023-02157-4" xr:uid="{00000000-0004-0000-0200-0000E1000000}"/>
    <hyperlink ref="L228" r:id="rId227" display="https://doi.org/10.1038/s41597-023-02157-4" xr:uid="{00000000-0004-0000-0200-0000E2000000}"/>
    <hyperlink ref="L229" r:id="rId228" display="https://doi.org/10.1038/s41597-023-02157-4" xr:uid="{00000000-0004-0000-0200-0000E3000000}"/>
    <hyperlink ref="L230" r:id="rId229" display="https://doi.org/10.1038/s41597-023-02157-4" xr:uid="{00000000-0004-0000-0200-0000E4000000}"/>
    <hyperlink ref="L231" r:id="rId230" display="https://doi.org/10.1038/s41597-023-02157-4" xr:uid="{00000000-0004-0000-0200-0000E5000000}"/>
    <hyperlink ref="L232" r:id="rId231" display="https://doi.org/10.1038/s41597-023-02157-4" xr:uid="{00000000-0004-0000-0200-0000E6000000}"/>
    <hyperlink ref="L233" r:id="rId232" display="https://doi.org/10.1038/s41597-023-02157-4" xr:uid="{00000000-0004-0000-0200-0000E7000000}"/>
    <hyperlink ref="L234" r:id="rId233" display="https://doi.org/10.1038/s41597-023-02157-4" xr:uid="{00000000-0004-0000-0200-0000E8000000}"/>
    <hyperlink ref="L235" r:id="rId234" display="https://doi.org/10.1038/s41597-023-02157-4" xr:uid="{00000000-0004-0000-0200-0000E9000000}"/>
    <hyperlink ref="L236" r:id="rId235" display="https://doi.org/10.1038/s41597-023-02157-4" xr:uid="{00000000-0004-0000-0200-0000EA000000}"/>
    <hyperlink ref="L237" r:id="rId236" display="https://doi.org/10.1038/s41597-023-02157-4" xr:uid="{00000000-0004-0000-0200-0000EB000000}"/>
    <hyperlink ref="L238" r:id="rId237" display="https://doi.org/10.1038/s41597-023-02157-4" xr:uid="{00000000-0004-0000-0200-0000EC000000}"/>
    <hyperlink ref="L239" r:id="rId238" display="https://doi.org/10.1038/s41597-023-02157-4" xr:uid="{00000000-0004-0000-0200-0000ED000000}"/>
    <hyperlink ref="L240" r:id="rId239" display="https://doi.org/10.1038/s41597-023-02157-4" xr:uid="{00000000-0004-0000-0200-0000EE000000}"/>
    <hyperlink ref="L241" r:id="rId240" display="https://doi.org/10.1038/s41597-023-02157-4" xr:uid="{00000000-0004-0000-0200-0000EF000000}"/>
    <hyperlink ref="L242" r:id="rId241" display="https://doi.org/10.1038/s41597-023-02157-4" xr:uid="{00000000-0004-0000-0200-0000F0000000}"/>
    <hyperlink ref="L243" r:id="rId242" display="https://doi.org/10.1038/s41597-023-02157-4" xr:uid="{00000000-0004-0000-0200-0000F1000000}"/>
    <hyperlink ref="L244" r:id="rId243" display="https://doi.org/10.1038/s41597-023-02157-4" xr:uid="{00000000-0004-0000-0200-0000F2000000}"/>
    <hyperlink ref="L245" r:id="rId244" display="https://doi.org/10.1038/s41597-023-02157-4" xr:uid="{00000000-0004-0000-0200-0000F3000000}"/>
    <hyperlink ref="L246" r:id="rId245" display="https://doi.org/10.1038/s41597-023-02157-4" xr:uid="{00000000-0004-0000-0200-0000F4000000}"/>
    <hyperlink ref="L247" r:id="rId246" display="https://doi.org/10.1038/s41597-023-02157-4" xr:uid="{00000000-0004-0000-0200-0000F5000000}"/>
    <hyperlink ref="L248" r:id="rId247" display="https://doi.org/10.1038/s41597-023-02157-4" xr:uid="{00000000-0004-0000-0200-0000F6000000}"/>
    <hyperlink ref="L249" r:id="rId248" display="https://doi.org/10.1038/s41597-023-02157-4" xr:uid="{00000000-0004-0000-0200-0000F7000000}"/>
    <hyperlink ref="L250" r:id="rId249" display="https://doi.org/10.1038/s41597-023-02157-4" xr:uid="{00000000-0004-0000-0200-0000F8000000}"/>
    <hyperlink ref="L251" r:id="rId250" display="https://doi.org/10.1038/s41597-023-02157-4" xr:uid="{00000000-0004-0000-0200-0000F9000000}"/>
    <hyperlink ref="L252" r:id="rId251" display="https://doi.org/10.1038/s41597-023-02157-4" xr:uid="{00000000-0004-0000-0200-0000FA000000}"/>
    <hyperlink ref="L253" r:id="rId252" display="https://doi.org/10.1038/s41597-023-02157-4" xr:uid="{00000000-0004-0000-0200-0000FB000000}"/>
    <hyperlink ref="L254" r:id="rId253" display="https://doi.org/10.1038/s41597-023-02157-4" xr:uid="{00000000-0004-0000-0200-0000FC000000}"/>
    <hyperlink ref="L255" r:id="rId254" display="https://doi.org/10.1038/s41597-023-02157-4" xr:uid="{00000000-0004-0000-0200-0000FD000000}"/>
    <hyperlink ref="L256" r:id="rId255" display="https://doi.org/10.1038/s41597-023-02157-4" xr:uid="{00000000-0004-0000-0200-0000FE000000}"/>
    <hyperlink ref="L257" r:id="rId256" display="https://doi.org/10.1038/s41597-023-02157-4" xr:uid="{00000000-0004-0000-0200-0000FF000000}"/>
    <hyperlink ref="L258" r:id="rId257" display="https://doi.org/10.1038/s41597-023-02157-4" xr:uid="{00000000-0004-0000-0200-000000010000}"/>
    <hyperlink ref="L259" r:id="rId258" display="https://doi.org/10.1038/s41597-023-02157-4" xr:uid="{00000000-0004-0000-0200-000001010000}"/>
    <hyperlink ref="L260" r:id="rId259" display="https://doi.org/10.1038/s41597-023-02157-4" xr:uid="{00000000-0004-0000-0200-000002010000}"/>
    <hyperlink ref="L261" r:id="rId260" display="https://doi.org/10.1038/s41597-023-02157-4" xr:uid="{00000000-0004-0000-0200-000003010000}"/>
    <hyperlink ref="L262" r:id="rId261" display="https://doi.org/10.1038/s41597-023-02157-4" xr:uid="{00000000-0004-0000-0200-000004010000}"/>
    <hyperlink ref="L263" r:id="rId262" display="https://doi.org/10.1038/s41597-023-02157-4" xr:uid="{00000000-0004-0000-0200-000005010000}"/>
    <hyperlink ref="L264" r:id="rId263" display="https://doi.org/10.1038/s41597-023-02157-4" xr:uid="{00000000-0004-0000-0200-000006010000}"/>
    <hyperlink ref="L265" r:id="rId264" display="https://doi.org/10.1038/s41597-023-02157-4" xr:uid="{00000000-0004-0000-0200-000007010000}"/>
    <hyperlink ref="L266" r:id="rId265" display="https://doi.org/10.1038/s41597-023-02157-4" xr:uid="{00000000-0004-0000-0200-000008010000}"/>
    <hyperlink ref="L267" r:id="rId266" display="https://doi.org/10.1038/s41597-023-02157-4" xr:uid="{00000000-0004-0000-0200-000009010000}"/>
    <hyperlink ref="L268" r:id="rId267" display="https://doi.org/10.1038/s41597-023-02157-4" xr:uid="{00000000-0004-0000-0200-00000A010000}"/>
    <hyperlink ref="L269" r:id="rId268" display="https://doi.org/10.1038/s41597-023-02157-4" xr:uid="{00000000-0004-0000-0200-00000B010000}"/>
    <hyperlink ref="L270" r:id="rId269" display="https://doi.org/10.1038/s41597-023-02157-4" xr:uid="{00000000-0004-0000-0200-00000C010000}"/>
    <hyperlink ref="L271" r:id="rId270" display="https://doi.org/10.1038/s41597-023-02157-4" xr:uid="{00000000-0004-0000-0200-00000D010000}"/>
    <hyperlink ref="L272" r:id="rId271" display="https://doi.org/10.1038/s41597-023-02157-4" xr:uid="{00000000-0004-0000-0200-00000E010000}"/>
    <hyperlink ref="L273" r:id="rId272" display="https://doi.org/10.1038/s41597-023-02157-4" xr:uid="{00000000-0004-0000-0200-00000F010000}"/>
    <hyperlink ref="L274" r:id="rId273" display="https://doi.org/10.1038/s41597-023-02157-4" xr:uid="{00000000-0004-0000-0200-000010010000}"/>
    <hyperlink ref="L275" r:id="rId274" display="https://doi.org/10.1038/s41597-023-02157-4" xr:uid="{00000000-0004-0000-0200-000011010000}"/>
    <hyperlink ref="L276" r:id="rId275" display="https://doi.org/10.1038/s41597-023-02157-4" xr:uid="{00000000-0004-0000-0200-000012010000}"/>
    <hyperlink ref="L277" r:id="rId276" display="https://doi.org/10.1038/s41597-023-02157-4" xr:uid="{00000000-0004-0000-0200-000013010000}"/>
    <hyperlink ref="L278" r:id="rId277" display="https://doi.org/10.1038/s41597-023-02157-4" xr:uid="{00000000-0004-0000-0200-000014010000}"/>
    <hyperlink ref="L279" r:id="rId278" display="https://doi.org/10.1038/s41597-023-02157-4" xr:uid="{00000000-0004-0000-0200-000015010000}"/>
    <hyperlink ref="L280" r:id="rId279" display="https://doi.org/10.1038/s41597-023-02157-4" xr:uid="{00000000-0004-0000-0200-000016010000}"/>
    <hyperlink ref="L281" r:id="rId280" display="https://doi.org/10.1038/s41597-023-02157-4" xr:uid="{00000000-0004-0000-0200-000017010000}"/>
    <hyperlink ref="L282" r:id="rId281" display="https://doi.org/10.1038/s41597-023-02157-4" xr:uid="{00000000-0004-0000-0200-000018010000}"/>
    <hyperlink ref="L283" r:id="rId282" display="https://doi.org/10.1038/s41597-023-02157-4" xr:uid="{00000000-0004-0000-0200-000019010000}"/>
    <hyperlink ref="L284" r:id="rId283" display="https://doi.org/10.1038/s41597-023-02157-4" xr:uid="{00000000-0004-0000-0200-00001A010000}"/>
    <hyperlink ref="L285" r:id="rId284" display="https://doi.org/10.1038/s41597-023-02157-4" xr:uid="{00000000-0004-0000-0200-00001B010000}"/>
    <hyperlink ref="L286" r:id="rId285" display="https://doi.org/10.1038/s41597-023-02157-4" xr:uid="{00000000-0004-0000-0200-00001C010000}"/>
    <hyperlink ref="L287" r:id="rId286" display="https://doi.org/10.1038/s41597-023-02157-4" xr:uid="{00000000-0004-0000-0200-00001D010000}"/>
    <hyperlink ref="L288" r:id="rId287" display="https://doi.org/10.1038/s41597-023-02157-4" xr:uid="{00000000-0004-0000-0200-00001E010000}"/>
    <hyperlink ref="L289" r:id="rId288" display="https://doi.org/10.1038/s41597-023-02157-4" xr:uid="{00000000-0004-0000-0200-00001F010000}"/>
    <hyperlink ref="L290" r:id="rId289" display="https://doi.org/10.1038/s41597-023-02157-4" xr:uid="{00000000-0004-0000-0200-000020010000}"/>
    <hyperlink ref="L291" r:id="rId290" display="https://doi.org/10.1038/s41597-023-02157-4" xr:uid="{00000000-0004-0000-0200-000021010000}"/>
    <hyperlink ref="L292" r:id="rId291" display="https://doi.org/10.1038/s41597-023-02157-4" xr:uid="{00000000-0004-0000-0200-000022010000}"/>
    <hyperlink ref="L293" r:id="rId292" display="https://doi.org/10.1038/s41597-023-02157-4" xr:uid="{00000000-0004-0000-0200-000023010000}"/>
    <hyperlink ref="L294" r:id="rId293" display="https://doi.org/10.1038/s41597-023-02157-4" xr:uid="{00000000-0004-0000-0200-000024010000}"/>
    <hyperlink ref="L295" r:id="rId294" display="https://doi.org/10.1038/s41597-023-02157-4" xr:uid="{00000000-0004-0000-0200-000025010000}"/>
    <hyperlink ref="L296" r:id="rId295" display="https://doi.org/10.1038/s41597-023-02157-4" xr:uid="{00000000-0004-0000-0200-000026010000}"/>
    <hyperlink ref="L297" r:id="rId296" display="https://doi.org/10.1038/s41597-023-02157-4" xr:uid="{00000000-0004-0000-0200-000027010000}"/>
    <hyperlink ref="L298" r:id="rId297" display="https://doi.org/10.1038/s41597-023-02157-4" xr:uid="{00000000-0004-0000-0200-000028010000}"/>
    <hyperlink ref="L299" r:id="rId298" display="https://doi.org/10.1038/s41597-023-02157-4" xr:uid="{00000000-0004-0000-0200-000029010000}"/>
    <hyperlink ref="L300" r:id="rId299" display="https://doi.org/10.1038/s41597-023-02157-4" xr:uid="{00000000-0004-0000-0200-00002A010000}"/>
    <hyperlink ref="L301" r:id="rId300" display="https://doi.org/10.1038/s41597-023-02157-4" xr:uid="{00000000-0004-0000-0200-00002B010000}"/>
    <hyperlink ref="L302" r:id="rId301" display="https://doi.org/10.1038/s41597-023-02157-4" xr:uid="{00000000-0004-0000-0200-00002C010000}"/>
    <hyperlink ref="L303" r:id="rId302" display="https://doi.org/10.1038/s41597-023-02157-4" xr:uid="{00000000-0004-0000-0200-00002D010000}"/>
    <hyperlink ref="L304" r:id="rId303" display="https://doi.org/10.1038/s41597-023-02157-4" xr:uid="{00000000-0004-0000-0200-00002E010000}"/>
    <hyperlink ref="L305" r:id="rId304" display="https://doi.org/10.1038/s41597-023-02157-4" xr:uid="{00000000-0004-0000-0200-00002F010000}"/>
    <hyperlink ref="L306" r:id="rId305" display="https://doi.org/10.1038/s41597-023-02157-4" xr:uid="{00000000-0004-0000-0200-000030010000}"/>
    <hyperlink ref="L307" r:id="rId306" display="https://doi.org/10.1038/s41597-023-02157-4" xr:uid="{00000000-0004-0000-0200-000031010000}"/>
    <hyperlink ref="L308" r:id="rId307" display="https://doi.org/10.1038/s41597-023-02157-4" xr:uid="{00000000-0004-0000-0200-000032010000}"/>
    <hyperlink ref="L309" r:id="rId308" display="https://doi.org/10.1038/s41597-023-02157-4" xr:uid="{00000000-0004-0000-0200-000033010000}"/>
    <hyperlink ref="L310" r:id="rId309" display="https://doi.org/10.1038/s41597-023-02157-4" xr:uid="{00000000-0004-0000-0200-000034010000}"/>
    <hyperlink ref="L311" r:id="rId310" display="https://doi.org/10.1038/s41597-023-02157-4" xr:uid="{00000000-0004-0000-0200-000035010000}"/>
    <hyperlink ref="L312" r:id="rId311" display="https://doi.org/10.1038/s41597-023-02157-4" xr:uid="{00000000-0004-0000-0200-000036010000}"/>
    <hyperlink ref="L313" r:id="rId312" display="https://doi.org/10.1038/s41597-023-02157-4" xr:uid="{00000000-0004-0000-0200-000037010000}"/>
    <hyperlink ref="L314" r:id="rId313" display="https://doi.org/10.1038/s41597-023-02157-4" xr:uid="{00000000-0004-0000-0200-000038010000}"/>
    <hyperlink ref="L315" r:id="rId314" display="https://doi.org/10.1038/s41597-023-02157-4" xr:uid="{00000000-0004-0000-0200-000039010000}"/>
    <hyperlink ref="L316" r:id="rId315" display="https://doi.org/10.1038/s41597-023-02157-4" xr:uid="{00000000-0004-0000-0200-00003A010000}"/>
    <hyperlink ref="L317" r:id="rId316" display="https://doi.org/10.1038/s41597-023-02157-4" xr:uid="{00000000-0004-0000-0200-00003B010000}"/>
    <hyperlink ref="L318" r:id="rId317" display="https://doi.org/10.1038/s41597-023-02157-4" xr:uid="{00000000-0004-0000-0200-00003C010000}"/>
    <hyperlink ref="L319" r:id="rId318" display="https://doi.org/10.1038/s41597-023-02157-4" xr:uid="{00000000-0004-0000-0200-00003D010000}"/>
    <hyperlink ref="L320" r:id="rId319" display="https://doi.org/10.1038/s41597-023-02157-4" xr:uid="{00000000-0004-0000-0200-00003E010000}"/>
    <hyperlink ref="L321" r:id="rId320" display="https://doi.org/10.1038/s41597-023-02157-4" xr:uid="{00000000-0004-0000-0200-00003F010000}"/>
    <hyperlink ref="L322" r:id="rId321" display="https://doi.org/10.1038/s41597-023-02157-4" xr:uid="{00000000-0004-0000-0200-000040010000}"/>
    <hyperlink ref="L323" r:id="rId322" display="https://doi.org/10.1038/s41597-023-02157-4" xr:uid="{00000000-0004-0000-0200-000041010000}"/>
    <hyperlink ref="L324" r:id="rId323" display="https://doi.org/10.1038/s41597-023-02157-4" xr:uid="{00000000-0004-0000-0200-000042010000}"/>
    <hyperlink ref="L325" r:id="rId324" display="https://doi.org/10.1038/s41597-023-02157-4" xr:uid="{00000000-0004-0000-0200-000043010000}"/>
    <hyperlink ref="L326" r:id="rId325" display="https://doi.org/10.1038/s41597-023-02157-4" xr:uid="{00000000-0004-0000-0200-000044010000}"/>
    <hyperlink ref="L327" r:id="rId326" display="https://doi.org/10.1038/s41597-023-02157-4" xr:uid="{00000000-0004-0000-0200-000045010000}"/>
    <hyperlink ref="L328" r:id="rId327" display="https://doi.org/10.1038/s41597-023-02157-4" xr:uid="{00000000-0004-0000-0200-000046010000}"/>
    <hyperlink ref="L329" r:id="rId328" display="https://doi.org/10.1111/mam.12270" xr:uid="{00000000-0004-0000-0200-000047010000}"/>
    <hyperlink ref="L330" r:id="rId329" display="https://doi.org/10.1111/mam.12270" xr:uid="{00000000-0004-0000-0200-000048010000}"/>
    <hyperlink ref="L331" r:id="rId330" display="https://doi.org/10.1111/mam.12270" xr:uid="{00000000-0004-0000-0200-000049010000}"/>
    <hyperlink ref="L332" r:id="rId331" display="https://doi.org/10.1111/mam.12270" xr:uid="{00000000-0004-0000-0200-00004A010000}"/>
    <hyperlink ref="L333" r:id="rId332" display="https://doi.org/10.1111/mam.12270" xr:uid="{00000000-0004-0000-0200-00004B010000}"/>
    <hyperlink ref="L334" r:id="rId333" display="https://doi.org/10.1111/mam.12270" xr:uid="{00000000-0004-0000-0200-00004C010000}"/>
    <hyperlink ref="L335" r:id="rId334" display="https://doi.org/10.1111/mam.12270" xr:uid="{00000000-0004-0000-0200-00004D010000}"/>
    <hyperlink ref="L336" r:id="rId335" display="https://doi.org/10.1111/mam.12270" xr:uid="{00000000-0004-0000-0200-00004E010000}"/>
    <hyperlink ref="L337" r:id="rId336" display="https://doi.org/10.1111/mam.12270" xr:uid="{00000000-0004-0000-0200-00004F010000}"/>
    <hyperlink ref="L338" r:id="rId337" display="https://doi.org/10.1111/mam.12270" xr:uid="{00000000-0004-0000-0200-000050010000}"/>
    <hyperlink ref="L339" r:id="rId338" display="https://doi.org/10.1890/15-0846R.1" xr:uid="{00000000-0004-0000-0200-000051010000}"/>
    <hyperlink ref="L340" r:id="rId339" display="https://doi.org/10.1890/15-0846R.1" xr:uid="{00000000-0004-0000-0200-000052010000}"/>
    <hyperlink ref="L341" r:id="rId340" display="https://doi.org/10.1890/15-0846R.1" xr:uid="{00000000-0004-0000-0200-000053010000}"/>
    <hyperlink ref="L342" r:id="rId341" display="https://doi.org/10.1890/15-0846R.1" xr:uid="{00000000-0004-0000-0200-000054010000}"/>
    <hyperlink ref="L343" r:id="rId342" display="https://doi.org/10.1890/15-0846R.1" xr:uid="{00000000-0004-0000-0200-000055010000}"/>
    <hyperlink ref="L344" r:id="rId343" display="https://doi.org/10.1890/15-0846R.1" xr:uid="{00000000-0004-0000-0200-000056010000}"/>
    <hyperlink ref="L345" r:id="rId344" display="https://doi.org/10.1890/15-0846R.1" xr:uid="{00000000-0004-0000-0200-000057010000}"/>
    <hyperlink ref="L346" r:id="rId345" display="https://doi.org/10.1890/15-0846R.1" xr:uid="{00000000-0004-0000-0200-000058010000}"/>
    <hyperlink ref="L347" r:id="rId346" display="https://doi.org/10.1890/15-0846R.1" xr:uid="{00000000-0004-0000-0200-000059010000}"/>
    <hyperlink ref="L348" r:id="rId347" display="https://doi.org/10.1890/15-0846R.1" xr:uid="{00000000-0004-0000-0200-00005A010000}"/>
    <hyperlink ref="L349" r:id="rId348" display="https://doi.org/10.1890/15-0846R.1" xr:uid="{00000000-0004-0000-0200-00005B010000}"/>
    <hyperlink ref="L350" r:id="rId349" display="https://doi.org/10.1890/15-0846R.1" xr:uid="{00000000-0004-0000-0200-00005C010000}"/>
    <hyperlink ref="L351" r:id="rId350" display="https://doi.org/10.1890/15-0846R.1" xr:uid="{00000000-0004-0000-0200-00005D010000}"/>
    <hyperlink ref="L352" r:id="rId351" display="https://doi.org/10.1890/15-0846R.1" xr:uid="{00000000-0004-0000-0200-00005E010000}"/>
    <hyperlink ref="L353" r:id="rId352" display="https://doi.org/10.1890/15-0846R.1" xr:uid="{00000000-0004-0000-0200-00005F010000}"/>
    <hyperlink ref="L354" r:id="rId353" display="https://doi.org/10.1890/15-0846R.1" xr:uid="{00000000-0004-0000-0200-000060010000}"/>
    <hyperlink ref="L355" r:id="rId354" display="https://doi.org/10.1890/15-0846R.1" xr:uid="{00000000-0004-0000-0200-000061010000}"/>
    <hyperlink ref="L356" r:id="rId355" display="https://doi.org/10.1890/15-0846R.1" xr:uid="{00000000-0004-0000-0200-000062010000}"/>
    <hyperlink ref="L357" r:id="rId356" display="https://doi.org/10.1890/15-0846R.1" xr:uid="{00000000-0004-0000-0200-000063010000}"/>
    <hyperlink ref="L358" r:id="rId357" display="https://doi.org/10.1890/15-0846R.1" xr:uid="{00000000-0004-0000-0200-000064010000}"/>
    <hyperlink ref="L359" r:id="rId358" display="https://doi.org/10.1890/15-0846R.1" xr:uid="{00000000-0004-0000-0200-000065010000}"/>
    <hyperlink ref="L360" r:id="rId359" display="https://doi.org/10.1890/15-0846R.1" xr:uid="{00000000-0004-0000-0200-000066010000}"/>
    <hyperlink ref="L361" r:id="rId360" display="https://doi.org/10.1890/15-0846R.1" xr:uid="{00000000-0004-0000-0200-000067010000}"/>
    <hyperlink ref="L362" r:id="rId361" display="https://doi.org/10.1890/15-0846R.1" xr:uid="{00000000-0004-0000-0200-000068010000}"/>
    <hyperlink ref="L363" r:id="rId362" display="https://doi.org/10.1890/15-0846R.1" xr:uid="{00000000-0004-0000-0200-000069010000}"/>
    <hyperlink ref="L364" r:id="rId363" display="https://doi.org/10.1890/15-0846R.1" xr:uid="{00000000-0004-0000-0200-00006A010000}"/>
    <hyperlink ref="L365" r:id="rId364" display="https://doi.org/10.1890/15-0846R.1" xr:uid="{00000000-0004-0000-0200-00006B010000}"/>
    <hyperlink ref="L366" r:id="rId365" display="https://doi.org/10.1890/15-0846R.1" xr:uid="{00000000-0004-0000-0200-00006C010000}"/>
    <hyperlink ref="L367" r:id="rId366" display="https://doi.org/10.1890/15-0846R.1" xr:uid="{00000000-0004-0000-0200-00006D010000}"/>
    <hyperlink ref="L368" r:id="rId367" display="https://doi.org/10.1002/ecy.2106" xr:uid="{00000000-0004-0000-0200-00006E010000}"/>
    <hyperlink ref="L369" r:id="rId368" display="https://doi.org/10.1002/ecy.2106" xr:uid="{00000000-0004-0000-0200-00006F010000}"/>
    <hyperlink ref="L370" r:id="rId369" display="https://doi.org/10.1002/ecy.2106" xr:uid="{00000000-0004-0000-0200-000070010000}"/>
    <hyperlink ref="L371" r:id="rId370" display="https://doi.org/10.1002/ecy.2106" xr:uid="{00000000-0004-0000-0200-000071010000}"/>
    <hyperlink ref="L372" r:id="rId371" display="https://doi.org/10.1002/ecy.2106" xr:uid="{00000000-0004-0000-0200-000072010000}"/>
    <hyperlink ref="L373" r:id="rId372" display="https://doi.org/10.1002/ecy.2106" xr:uid="{00000000-0004-0000-0200-000073010000}"/>
    <hyperlink ref="L374" r:id="rId373" display="https://doi.org/10.1002/ecy.2106" xr:uid="{00000000-0004-0000-0200-000074010000}"/>
    <hyperlink ref="L375" r:id="rId374" display="https://doi.org/10.1002/ecy.2106" xr:uid="{00000000-0004-0000-0200-000075010000}"/>
    <hyperlink ref="L378" r:id="rId375" display="https://doi.org/10.1038/s41597-022-01234-4" xr:uid="{00000000-0004-0000-0200-000076010000}"/>
    <hyperlink ref="L379" r:id="rId376" display="https://doi.org/10.1038/s41597-022-01234-4" xr:uid="{00000000-0004-0000-0200-000077010000}"/>
    <hyperlink ref="L380" r:id="rId377" display="https://doi.org/10.1038/s41597-022-01234-4" xr:uid="{00000000-0004-0000-0200-000078010000}"/>
    <hyperlink ref="L381" r:id="rId378" display="https://doi.org/10.1038/s41597-022-01234-4" xr:uid="{00000000-0004-0000-0200-000079010000}"/>
    <hyperlink ref="L382" r:id="rId379" display="https://doi.org/10.1038/s41597-022-01234-4" xr:uid="{00000000-0004-0000-0200-00007A010000}"/>
    <hyperlink ref="L383" r:id="rId380" display="https://doi.org/10.1038/s41597-022-01234-4" xr:uid="{00000000-0004-0000-0200-00007B010000}"/>
    <hyperlink ref="L384" r:id="rId381" display="https://doi.org/10.1038/s41597-022-01234-4" xr:uid="{00000000-0004-0000-0200-00007C010000}"/>
    <hyperlink ref="L385" r:id="rId382" display="https://doi.org/10.1038/s41597-022-01234-4" xr:uid="{00000000-0004-0000-0200-00007D010000}"/>
    <hyperlink ref="L386" r:id="rId383" display="https://doi.org/10.1038/s41597-022-01234-4" xr:uid="{00000000-0004-0000-0200-00007E010000}"/>
    <hyperlink ref="L387" r:id="rId384" display="https://doi.org/10.1038/s41597-022-01234-4" xr:uid="{00000000-0004-0000-0200-00007F010000}"/>
    <hyperlink ref="L388" r:id="rId385" display="https://doi.org/10.1038/s41597-022-01234-4" xr:uid="{00000000-0004-0000-0200-000080010000}"/>
    <hyperlink ref="L389" r:id="rId386" display="https://doi.org/10.1038/s41597-022-01234-4" xr:uid="{00000000-0004-0000-0200-000081010000}"/>
    <hyperlink ref="L390" r:id="rId387" display="https://doi.org/10.1038/s41597-022-01234-4" xr:uid="{00000000-0004-0000-0200-000082010000}"/>
    <hyperlink ref="L391" r:id="rId388" display="https://doi.org/10.1038/s41597-022-01234-4" xr:uid="{00000000-0004-0000-0200-000083010000}"/>
    <hyperlink ref="L392" r:id="rId389" display="https://doi.org/10.1038/s41597-022-01234-4" xr:uid="{00000000-0004-0000-0200-000084010000}"/>
    <hyperlink ref="L393" r:id="rId390" display="https://doi.org/10.1038/s41597-022-01234-4" xr:uid="{00000000-0004-0000-0200-000085010000}"/>
    <hyperlink ref="L394" r:id="rId391" display="https://doi.org/10.1038/s41597-022-01234-4" xr:uid="{00000000-0004-0000-0200-000086010000}"/>
    <hyperlink ref="L395" r:id="rId392" display="https://doi.org/10.1038/s41597-022-01234-4" xr:uid="{00000000-0004-0000-0200-000087010000}"/>
    <hyperlink ref="L396" r:id="rId393" display="https://doi.org/10.1038/s41597-022-01234-4" xr:uid="{00000000-0004-0000-0200-000088010000}"/>
    <hyperlink ref="L397" r:id="rId394" display="https://doi.org/10.1038/s41597-022-01234-4" xr:uid="{00000000-0004-0000-0200-000089010000}"/>
    <hyperlink ref="L398" r:id="rId395" display="https://doi.org/10.1038/s41597-022-01234-4" xr:uid="{00000000-0004-0000-0200-00008A010000}"/>
    <hyperlink ref="L399" r:id="rId396" display="https://doi.org/10.1038/s41597-022-01234-4" xr:uid="{00000000-0004-0000-0200-00008B010000}"/>
    <hyperlink ref="L400" r:id="rId397" display="https://doi.org/10.1038/s41597-022-01234-4" xr:uid="{00000000-0004-0000-0200-00008C010000}"/>
    <hyperlink ref="L401" r:id="rId398" display="https://doi.org/10.1038/s41597-022-01234-4" xr:uid="{00000000-0004-0000-0200-00008D010000}"/>
    <hyperlink ref="L402" r:id="rId399" display="https://doi.org/10.1038/s41597-022-01234-4" xr:uid="{00000000-0004-0000-0200-00008E010000}"/>
    <hyperlink ref="L403" r:id="rId400" display="https://doi.org/10.1038/s41597-022-01234-4" xr:uid="{00000000-0004-0000-0200-00008F010000}"/>
    <hyperlink ref="L404" r:id="rId401" display="https://doi.org/10.1038/s41597-022-01234-4" xr:uid="{00000000-0004-0000-0200-000090010000}"/>
    <hyperlink ref="L405" r:id="rId402" display="https://doi.org/10.1038/s41597-022-01234-4" xr:uid="{00000000-0004-0000-0200-000091010000}"/>
    <hyperlink ref="L406" r:id="rId403" display="https://doi.org/10.1038/s41597-022-01234-4" xr:uid="{00000000-0004-0000-0200-000092010000}"/>
    <hyperlink ref="L407" r:id="rId404" display="https://doi.org/10.1038/s41597-022-01234-4" xr:uid="{00000000-0004-0000-0200-000093010000}"/>
    <hyperlink ref="L408" r:id="rId405" display="https://doi.org/10.1038/s41597-022-01234-4" xr:uid="{00000000-0004-0000-0200-000094010000}"/>
    <hyperlink ref="L409" r:id="rId406" display="https://doi.org/10.1038/s41597-022-01234-4" xr:uid="{00000000-0004-0000-0200-000095010000}"/>
    <hyperlink ref="L410" r:id="rId407" display="https://doi.org/10.1038/s41597-022-01234-4" xr:uid="{00000000-0004-0000-0200-000096010000}"/>
    <hyperlink ref="L411" r:id="rId408" display="https://doi.org/10.1038/s41597-022-01234-4" xr:uid="{00000000-0004-0000-0200-000097010000}"/>
    <hyperlink ref="L412" r:id="rId409" display="https://doi.org/10.1038/s41597-022-01234-4" xr:uid="{00000000-0004-0000-0200-000098010000}"/>
    <hyperlink ref="L413" r:id="rId410" display="https://doi.org/10.1038/s41597-022-01234-4" xr:uid="{00000000-0004-0000-0200-000099010000}"/>
    <hyperlink ref="L414" r:id="rId411" display="https://doi.org/10.1038/s41597-022-01234-4" xr:uid="{00000000-0004-0000-0200-00009A010000}"/>
    <hyperlink ref="L415" r:id="rId412" display="https://doi.org/10.1046/j.1474-9728.2002.00020.x" xr:uid="{00000000-0004-0000-0200-00009B010000}"/>
    <hyperlink ref="L416" r:id="rId413" display="https://doi.org/10.1046/j.1474-9728.2002.00020.x" xr:uid="{00000000-0004-0000-0200-00009C010000}"/>
    <hyperlink ref="L417" r:id="rId414" display="https://doi.org/10.1046/j.1474-9728.2002.00020.x" xr:uid="{00000000-0004-0000-0200-00009D010000}"/>
    <hyperlink ref="L418" r:id="rId415" display="https://doi.org/10.1046/j.1474-9728.2002.00020.x" xr:uid="{00000000-0004-0000-0200-00009E010000}"/>
    <hyperlink ref="L419" r:id="rId416" display="https://doi.org/10.1046/j.1474-9728.2002.00020.x" xr:uid="{00000000-0004-0000-0200-00009F010000}"/>
    <hyperlink ref="L420" r:id="rId417" display="https://doi.org/10.1046/j.1474-9728.2002.00020.x" xr:uid="{00000000-0004-0000-0200-0000A0010000}"/>
    <hyperlink ref="L421" r:id="rId418" display="https://doi.org/10.1046/j.1474-9728.2002.00020.x" xr:uid="{00000000-0004-0000-0200-0000A1010000}"/>
    <hyperlink ref="L422" r:id="rId419" display="https://doi.org/10.1046/j.1474-9728.2002.00020.x" xr:uid="{00000000-0004-0000-0200-0000A2010000}"/>
    <hyperlink ref="L423" r:id="rId420" display="https://doi.org/10.1038/s41597-022-01364-9" xr:uid="{00000000-0004-0000-0200-0000A3010000}"/>
    <hyperlink ref="L424" r:id="rId421" display="https://doi.org/10.1038/s41597-022-01364-9" xr:uid="{00000000-0004-0000-0200-0000A4010000}"/>
    <hyperlink ref="L425" r:id="rId422" display="https://doi.org/10.1038/s41597-022-01364-9" xr:uid="{00000000-0004-0000-0200-0000A5010000}"/>
    <hyperlink ref="L426" r:id="rId423" display="https://doi.org/10.1038/s41597-022-01364-9" xr:uid="{00000000-0004-0000-0200-0000A6010000}"/>
    <hyperlink ref="L427" r:id="rId424" display="https://doi.org/10.1038/s41597-022-01364-9" xr:uid="{00000000-0004-0000-0200-0000A7010000}"/>
    <hyperlink ref="L428" r:id="rId425" display="https://doi.org/10.1038/s41597-022-01364-9" xr:uid="{00000000-0004-0000-0200-0000A8010000}"/>
    <hyperlink ref="L429" r:id="rId426" display="https://doi.org/10.1038/s41597-022-01364-9" xr:uid="{00000000-0004-0000-0200-0000A9010000}"/>
    <hyperlink ref="L430" r:id="rId427" display="https://doi.org/10.1038/s41597-022-01364-9" xr:uid="{00000000-0004-0000-0200-0000AA010000}"/>
    <hyperlink ref="L431" r:id="rId428" display="https://doi.org/10.1038/s41597-022-01364-9" xr:uid="{00000000-0004-0000-0200-0000AB01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7D638-97E2-4A91-9677-44644D2B927A}">
  <sheetPr>
    <outlinePr summaryBelow="0" summaryRight="0"/>
  </sheetPr>
  <dimension ref="A1:AM677"/>
  <sheetViews>
    <sheetView workbookViewId="0">
      <selection activeCell="A77" sqref="A1:XFD1048576"/>
    </sheetView>
  </sheetViews>
  <sheetFormatPr baseColWidth="10" defaultColWidth="12.6640625" defaultRowHeight="15.75" customHeight="1"/>
  <cols>
    <col min="10" max="10" width="65.33203125" customWidth="1"/>
    <col min="12" max="12" width="25.88671875" customWidth="1"/>
  </cols>
  <sheetData>
    <row r="1" spans="1:39" ht="15.75" customHeight="1">
      <c r="A1" s="1" t="s">
        <v>81</v>
      </c>
      <c r="B1" s="1" t="s">
        <v>82</v>
      </c>
      <c r="C1" s="1" t="s">
        <v>83</v>
      </c>
      <c r="D1" s="1" t="s">
        <v>84</v>
      </c>
      <c r="E1" s="1" t="s">
        <v>85</v>
      </c>
      <c r="F1" s="1" t="s">
        <v>86</v>
      </c>
      <c r="G1" s="1" t="s">
        <v>87</v>
      </c>
      <c r="H1" s="1" t="s">
        <v>88</v>
      </c>
      <c r="I1" s="1" t="s">
        <v>89</v>
      </c>
      <c r="J1" s="1" t="s">
        <v>90</v>
      </c>
      <c r="K1" s="1" t="s">
        <v>91</v>
      </c>
      <c r="L1" s="1" t="s">
        <v>92</v>
      </c>
      <c r="M1" s="1" t="s">
        <v>1044</v>
      </c>
      <c r="N1" s="3"/>
      <c r="P1" s="3"/>
      <c r="Q1" s="3"/>
      <c r="S1" s="3"/>
      <c r="T1" s="3"/>
      <c r="U1" s="3"/>
      <c r="V1" s="3"/>
      <c r="W1" s="3"/>
      <c r="X1" s="3"/>
      <c r="Y1" s="3"/>
      <c r="Z1" s="3"/>
      <c r="AA1" s="3"/>
      <c r="AB1" s="3"/>
      <c r="AC1" s="3"/>
      <c r="AD1" s="3"/>
      <c r="AE1" s="3"/>
      <c r="AF1" s="3"/>
      <c r="AG1" s="3"/>
      <c r="AH1" s="3"/>
      <c r="AI1" s="3"/>
      <c r="AJ1" s="3"/>
      <c r="AK1" s="3"/>
      <c r="AL1" s="3"/>
      <c r="AM1" s="3"/>
    </row>
    <row r="2" spans="1:39" ht="13.2">
      <c r="A2" s="1" t="s">
        <v>462</v>
      </c>
      <c r="B2" s="1"/>
      <c r="C2" s="1"/>
      <c r="D2" s="1"/>
      <c r="E2" s="1" t="s">
        <v>102</v>
      </c>
      <c r="F2" s="1" t="s">
        <v>1136</v>
      </c>
      <c r="G2" s="1" t="s">
        <v>1046</v>
      </c>
      <c r="H2" s="1"/>
      <c r="I2" s="1"/>
      <c r="J2" s="1" t="s">
        <v>1785</v>
      </c>
      <c r="K2" s="1" t="s">
        <v>1786</v>
      </c>
      <c r="L2" s="8" t="s">
        <v>1787</v>
      </c>
      <c r="M2" s="1" t="s">
        <v>421</v>
      </c>
    </row>
    <row r="3" spans="1:39" ht="13.2">
      <c r="A3" s="1" t="s">
        <v>481</v>
      </c>
      <c r="B3" s="1"/>
      <c r="C3" s="1"/>
      <c r="D3" s="1"/>
      <c r="E3" s="1" t="s">
        <v>102</v>
      </c>
      <c r="F3" s="1" t="s">
        <v>1407</v>
      </c>
      <c r="G3" s="1" t="s">
        <v>1046</v>
      </c>
      <c r="H3" s="1"/>
      <c r="I3" s="1"/>
      <c r="J3" s="1" t="s">
        <v>1788</v>
      </c>
      <c r="K3" s="1" t="s">
        <v>1789</v>
      </c>
      <c r="L3" s="8" t="s">
        <v>1787</v>
      </c>
      <c r="M3" s="1" t="s">
        <v>421</v>
      </c>
    </row>
    <row r="4" spans="1:39" ht="13.2">
      <c r="A4" s="1" t="s">
        <v>492</v>
      </c>
      <c r="B4" s="1"/>
      <c r="C4" s="1"/>
      <c r="D4" s="1"/>
      <c r="E4" s="1" t="s">
        <v>102</v>
      </c>
      <c r="F4" s="1" t="s">
        <v>1407</v>
      </c>
      <c r="G4" s="1" t="s">
        <v>1046</v>
      </c>
      <c r="H4" s="1"/>
      <c r="I4" s="1"/>
      <c r="J4" s="1" t="s">
        <v>1791</v>
      </c>
      <c r="K4" s="1" t="s">
        <v>1792</v>
      </c>
      <c r="L4" s="8" t="s">
        <v>1787</v>
      </c>
      <c r="M4" s="1" t="s">
        <v>421</v>
      </c>
    </row>
    <row r="5" spans="1:39" ht="13.2">
      <c r="A5" s="1" t="s">
        <v>503</v>
      </c>
      <c r="B5" s="1"/>
      <c r="C5" s="1"/>
      <c r="D5" s="1"/>
      <c r="E5" s="1" t="s">
        <v>102</v>
      </c>
      <c r="F5" s="1" t="s">
        <v>1407</v>
      </c>
      <c r="G5" s="1" t="s">
        <v>1046</v>
      </c>
      <c r="H5" s="1"/>
      <c r="I5" s="1"/>
      <c r="J5" s="1" t="s">
        <v>1794</v>
      </c>
      <c r="K5" s="1" t="s">
        <v>1795</v>
      </c>
      <c r="L5" s="8" t="s">
        <v>1787</v>
      </c>
      <c r="M5" s="1" t="s">
        <v>421</v>
      </c>
    </row>
    <row r="6" spans="1:39" ht="13.2">
      <c r="A6" s="1" t="s">
        <v>505</v>
      </c>
      <c r="B6" s="1"/>
      <c r="C6" s="1"/>
      <c r="D6" s="1"/>
      <c r="E6" s="1" t="s">
        <v>102</v>
      </c>
      <c r="F6" s="1" t="s">
        <v>1407</v>
      </c>
      <c r="G6" s="1" t="s">
        <v>1046</v>
      </c>
      <c r="H6" s="1"/>
      <c r="I6" s="1"/>
      <c r="J6" s="1" t="s">
        <v>1797</v>
      </c>
      <c r="K6" s="1" t="s">
        <v>1795</v>
      </c>
      <c r="L6" s="8" t="s">
        <v>1787</v>
      </c>
      <c r="M6" s="1" t="s">
        <v>421</v>
      </c>
    </row>
    <row r="7" spans="1:39" ht="13.2">
      <c r="A7" s="1" t="s">
        <v>507</v>
      </c>
      <c r="B7" s="1"/>
      <c r="C7" s="1"/>
      <c r="D7" s="1"/>
      <c r="E7" s="1" t="s">
        <v>102</v>
      </c>
      <c r="F7" s="1" t="s">
        <v>1799</v>
      </c>
      <c r="G7" s="1" t="s">
        <v>1046</v>
      </c>
      <c r="H7" s="1"/>
      <c r="I7" s="1"/>
      <c r="J7" s="1" t="s">
        <v>1800</v>
      </c>
      <c r="K7" s="1" t="s">
        <v>1801</v>
      </c>
      <c r="L7" s="8" t="s">
        <v>1787</v>
      </c>
      <c r="M7" s="1" t="s">
        <v>421</v>
      </c>
    </row>
    <row r="8" spans="1:39" ht="13.2">
      <c r="A8" s="1" t="s">
        <v>518</v>
      </c>
      <c r="B8" s="1"/>
      <c r="C8" s="1"/>
      <c r="D8" s="1"/>
      <c r="E8" s="1" t="s">
        <v>102</v>
      </c>
      <c r="F8" s="1" t="s">
        <v>1046</v>
      </c>
      <c r="G8" s="1" t="s">
        <v>1046</v>
      </c>
      <c r="H8" s="1"/>
      <c r="I8" s="1"/>
      <c r="J8" s="1" t="s">
        <v>1803</v>
      </c>
      <c r="K8" s="1" t="s">
        <v>1801</v>
      </c>
      <c r="L8" s="8" t="s">
        <v>1787</v>
      </c>
      <c r="M8" s="1" t="s">
        <v>421</v>
      </c>
    </row>
    <row r="9" spans="1:39" ht="13.2">
      <c r="A9" s="1" t="s">
        <v>527</v>
      </c>
      <c r="B9" s="1"/>
      <c r="C9" s="1"/>
      <c r="D9" s="1"/>
      <c r="E9" s="1" t="s">
        <v>102</v>
      </c>
      <c r="F9" s="1" t="s">
        <v>1046</v>
      </c>
      <c r="G9" s="1" t="s">
        <v>1046</v>
      </c>
      <c r="H9" s="1"/>
      <c r="I9" s="1"/>
      <c r="J9" s="1" t="s">
        <v>1805</v>
      </c>
      <c r="K9" s="1" t="s">
        <v>1801</v>
      </c>
      <c r="L9" s="8" t="s">
        <v>1787</v>
      </c>
      <c r="M9" s="1" t="s">
        <v>421</v>
      </c>
    </row>
    <row r="10" spans="1:39" ht="13.2">
      <c r="A10" s="1" t="s">
        <v>529</v>
      </c>
      <c r="B10" s="1"/>
      <c r="C10" s="1"/>
      <c r="D10" s="1"/>
      <c r="E10" s="1" t="s">
        <v>102</v>
      </c>
      <c r="F10" s="1" t="s">
        <v>1407</v>
      </c>
      <c r="G10" s="1" t="s">
        <v>1046</v>
      </c>
      <c r="H10" s="1"/>
      <c r="I10" s="1"/>
      <c r="J10" s="1" t="s">
        <v>1807</v>
      </c>
      <c r="K10" s="1" t="s">
        <v>1801</v>
      </c>
      <c r="L10" s="8" t="s">
        <v>1787</v>
      </c>
      <c r="M10" s="1" t="s">
        <v>421</v>
      </c>
    </row>
    <row r="11" spans="1:39" ht="13.2">
      <c r="A11" s="1" t="s">
        <v>539</v>
      </c>
      <c r="B11" s="1"/>
      <c r="C11" s="1"/>
      <c r="D11" s="1"/>
      <c r="E11" s="1" t="s">
        <v>102</v>
      </c>
      <c r="F11" s="1" t="s">
        <v>1407</v>
      </c>
      <c r="G11" s="1" t="s">
        <v>1046</v>
      </c>
      <c r="H11" s="1"/>
      <c r="I11" s="1"/>
      <c r="J11" s="1" t="s">
        <v>1809</v>
      </c>
      <c r="K11" s="1" t="s">
        <v>1795</v>
      </c>
      <c r="L11" s="8" t="s">
        <v>1787</v>
      </c>
      <c r="M11" s="1" t="s">
        <v>421</v>
      </c>
    </row>
    <row r="12" spans="1:39" ht="13.2">
      <c r="A12" s="1" t="s">
        <v>540</v>
      </c>
      <c r="B12" s="1"/>
      <c r="C12" s="1"/>
      <c r="D12" s="1"/>
      <c r="E12" s="1" t="s">
        <v>102</v>
      </c>
      <c r="F12" s="1" t="s">
        <v>1407</v>
      </c>
      <c r="G12" s="1" t="s">
        <v>1046</v>
      </c>
      <c r="H12" s="1"/>
      <c r="I12" s="1"/>
      <c r="J12" s="1" t="s">
        <v>1811</v>
      </c>
      <c r="K12" s="1" t="s">
        <v>1795</v>
      </c>
      <c r="L12" s="8" t="s">
        <v>1787</v>
      </c>
      <c r="M12" s="1" t="s">
        <v>421</v>
      </c>
    </row>
    <row r="13" spans="1:39" ht="13.2">
      <c r="A13" s="1" t="s">
        <v>542</v>
      </c>
      <c r="B13" s="1"/>
      <c r="C13" s="1"/>
      <c r="D13" s="1"/>
      <c r="E13" s="1" t="s">
        <v>102</v>
      </c>
      <c r="F13" s="1" t="s">
        <v>1407</v>
      </c>
      <c r="G13" s="1" t="s">
        <v>1046</v>
      </c>
      <c r="H13" s="1"/>
      <c r="I13" s="1"/>
      <c r="J13" s="1" t="s">
        <v>1813</v>
      </c>
      <c r="K13" s="1" t="s">
        <v>1795</v>
      </c>
      <c r="L13" s="8" t="s">
        <v>1787</v>
      </c>
      <c r="M13" s="1" t="s">
        <v>421</v>
      </c>
    </row>
    <row r="14" spans="1:39" ht="13.2">
      <c r="A14" s="1" t="s">
        <v>543</v>
      </c>
      <c r="B14" s="1"/>
      <c r="C14" s="1"/>
      <c r="D14" s="1"/>
      <c r="E14" s="1" t="s">
        <v>102</v>
      </c>
      <c r="F14" s="1" t="s">
        <v>1407</v>
      </c>
      <c r="G14" s="1" t="s">
        <v>1046</v>
      </c>
      <c r="H14" s="1"/>
      <c r="I14" s="1"/>
      <c r="J14" s="1" t="s">
        <v>1815</v>
      </c>
      <c r="K14" s="1" t="s">
        <v>1795</v>
      </c>
      <c r="L14" s="8" t="s">
        <v>1787</v>
      </c>
      <c r="M14" s="1" t="s">
        <v>421</v>
      </c>
    </row>
    <row r="15" spans="1:39" ht="13.2">
      <c r="A15" s="1" t="s">
        <v>546</v>
      </c>
      <c r="B15" s="1"/>
      <c r="C15" s="1"/>
      <c r="D15" s="1"/>
      <c r="E15" s="1" t="s">
        <v>102</v>
      </c>
      <c r="F15" s="1" t="s">
        <v>1407</v>
      </c>
      <c r="G15" s="1" t="s">
        <v>1046</v>
      </c>
      <c r="H15" s="1"/>
      <c r="I15" s="1"/>
      <c r="J15" s="1" t="s">
        <v>1817</v>
      </c>
      <c r="K15" s="1" t="s">
        <v>1795</v>
      </c>
      <c r="L15" s="8" t="s">
        <v>1787</v>
      </c>
      <c r="M15" s="1" t="s">
        <v>421</v>
      </c>
    </row>
    <row r="16" spans="1:39" ht="13.2">
      <c r="A16" s="1" t="s">
        <v>547</v>
      </c>
      <c r="B16" s="1"/>
      <c r="C16" s="1"/>
      <c r="D16" s="1"/>
      <c r="E16" s="1" t="s">
        <v>102</v>
      </c>
      <c r="F16" s="1" t="s">
        <v>1407</v>
      </c>
      <c r="G16" s="1" t="s">
        <v>1046</v>
      </c>
      <c r="H16" s="1"/>
      <c r="I16" s="1"/>
      <c r="J16" s="1" t="s">
        <v>1819</v>
      </c>
      <c r="K16" s="1" t="s">
        <v>1795</v>
      </c>
      <c r="L16" s="8" t="s">
        <v>1787</v>
      </c>
      <c r="M16" s="1" t="s">
        <v>421</v>
      </c>
    </row>
    <row r="17" spans="1:13" ht="13.2">
      <c r="A17" s="1" t="s">
        <v>549</v>
      </c>
      <c r="B17" s="1"/>
      <c r="C17" s="1"/>
      <c r="D17" s="1"/>
      <c r="E17" s="1" t="s">
        <v>102</v>
      </c>
      <c r="F17" s="1" t="s">
        <v>1407</v>
      </c>
      <c r="G17" s="1" t="s">
        <v>1046</v>
      </c>
      <c r="H17" s="1"/>
      <c r="I17" s="1"/>
      <c r="J17" s="1" t="s">
        <v>1821</v>
      </c>
      <c r="K17" s="1" t="s">
        <v>1789</v>
      </c>
      <c r="L17" s="8" t="s">
        <v>1787</v>
      </c>
      <c r="M17" s="1" t="s">
        <v>421</v>
      </c>
    </row>
    <row r="18" spans="1:13" ht="13.2">
      <c r="A18" s="1" t="s">
        <v>552</v>
      </c>
      <c r="B18" s="1"/>
      <c r="C18" s="1"/>
      <c r="D18" s="1"/>
      <c r="E18" s="1" t="s">
        <v>102</v>
      </c>
      <c r="F18" s="1" t="s">
        <v>1407</v>
      </c>
      <c r="G18" s="1" t="s">
        <v>1046</v>
      </c>
      <c r="H18" s="1"/>
      <c r="I18" s="1"/>
      <c r="J18" s="1" t="s">
        <v>1823</v>
      </c>
      <c r="K18" s="1" t="s">
        <v>1789</v>
      </c>
      <c r="L18" s="8" t="s">
        <v>1787</v>
      </c>
      <c r="M18" s="1" t="s">
        <v>421</v>
      </c>
    </row>
    <row r="19" spans="1:13" ht="13.2">
      <c r="A19" s="1" t="s">
        <v>553</v>
      </c>
      <c r="B19" s="1"/>
      <c r="C19" s="1"/>
      <c r="D19" s="1"/>
      <c r="E19" s="1" t="s">
        <v>102</v>
      </c>
      <c r="F19" s="1" t="s">
        <v>1407</v>
      </c>
      <c r="G19" s="1" t="s">
        <v>1046</v>
      </c>
      <c r="H19" s="1"/>
      <c r="I19" s="1"/>
      <c r="J19" s="1" t="s">
        <v>1825</v>
      </c>
      <c r="K19" s="1" t="s">
        <v>1795</v>
      </c>
      <c r="L19" s="8" t="s">
        <v>1787</v>
      </c>
      <c r="M19" s="1" t="s">
        <v>421</v>
      </c>
    </row>
    <row r="20" spans="1:13" ht="13.2">
      <c r="A20" s="1" t="s">
        <v>554</v>
      </c>
      <c r="B20" s="1"/>
      <c r="C20" s="1"/>
      <c r="D20" s="1"/>
      <c r="E20" s="1" t="s">
        <v>102</v>
      </c>
      <c r="F20" s="1" t="s">
        <v>1046</v>
      </c>
      <c r="G20" s="1" t="s">
        <v>1046</v>
      </c>
      <c r="H20" s="1"/>
      <c r="I20" s="1"/>
      <c r="J20" s="1" t="s">
        <v>1827</v>
      </c>
      <c r="K20" s="1" t="s">
        <v>1795</v>
      </c>
      <c r="L20" s="8" t="s">
        <v>1787</v>
      </c>
      <c r="M20" s="1" t="s">
        <v>421</v>
      </c>
    </row>
    <row r="21" spans="1:13" ht="13.2">
      <c r="A21" s="1" t="s">
        <v>613</v>
      </c>
      <c r="B21" s="1"/>
      <c r="C21" s="1"/>
      <c r="D21" s="1"/>
      <c r="E21" s="1" t="s">
        <v>102</v>
      </c>
      <c r="F21" s="1" t="s">
        <v>1829</v>
      </c>
      <c r="G21" s="1" t="s">
        <v>1046</v>
      </c>
      <c r="H21" s="1"/>
      <c r="I21" s="1"/>
      <c r="J21" s="1" t="s">
        <v>1830</v>
      </c>
      <c r="K21" s="1" t="s">
        <v>1789</v>
      </c>
      <c r="L21" s="8" t="s">
        <v>1787</v>
      </c>
      <c r="M21" s="1" t="s">
        <v>421</v>
      </c>
    </row>
    <row r="22" spans="1:13" ht="13.2">
      <c r="A22" s="1" t="s">
        <v>618</v>
      </c>
      <c r="B22" s="1"/>
      <c r="C22" s="1"/>
      <c r="D22" s="1"/>
      <c r="E22" s="1" t="s">
        <v>102</v>
      </c>
      <c r="F22" s="1" t="s">
        <v>1832</v>
      </c>
      <c r="G22" s="1" t="s">
        <v>1046</v>
      </c>
      <c r="H22" s="1"/>
      <c r="I22" s="1"/>
      <c r="J22" s="1" t="s">
        <v>1833</v>
      </c>
      <c r="K22" s="1" t="s">
        <v>1789</v>
      </c>
      <c r="L22" s="8" t="s">
        <v>1787</v>
      </c>
      <c r="M22" s="1" t="s">
        <v>421</v>
      </c>
    </row>
    <row r="23" spans="1:13" ht="13.2">
      <c r="A23" s="1" t="s">
        <v>621</v>
      </c>
      <c r="B23" s="1"/>
      <c r="C23" s="1"/>
      <c r="D23" s="1"/>
      <c r="E23" s="1" t="s">
        <v>102</v>
      </c>
      <c r="F23" s="1" t="s">
        <v>1835</v>
      </c>
      <c r="G23" s="1" t="s">
        <v>1046</v>
      </c>
      <c r="H23" s="1"/>
      <c r="I23" s="1"/>
      <c r="J23" s="1" t="s">
        <v>1836</v>
      </c>
      <c r="K23" s="1" t="s">
        <v>1801</v>
      </c>
      <c r="L23" s="8" t="s">
        <v>1787</v>
      </c>
      <c r="M23" s="1" t="s">
        <v>421</v>
      </c>
    </row>
    <row r="24" spans="1:13" ht="13.2">
      <c r="A24" s="1" t="s">
        <v>626</v>
      </c>
      <c r="B24" s="1"/>
      <c r="C24" s="1"/>
      <c r="D24" s="1"/>
      <c r="E24" s="1" t="s">
        <v>102</v>
      </c>
      <c r="F24" s="1" t="s">
        <v>1838</v>
      </c>
      <c r="G24" s="1" t="s">
        <v>1046</v>
      </c>
      <c r="H24" s="1"/>
      <c r="I24" s="1"/>
      <c r="J24" s="1" t="s">
        <v>1839</v>
      </c>
      <c r="K24" s="1" t="s">
        <v>1801</v>
      </c>
      <c r="L24" s="8" t="s">
        <v>1787</v>
      </c>
      <c r="M24" s="1" t="s">
        <v>421</v>
      </c>
    </row>
    <row r="25" spans="1:13" ht="13.2">
      <c r="A25" s="1" t="s">
        <v>632</v>
      </c>
      <c r="B25" s="1"/>
      <c r="C25" s="1"/>
      <c r="D25" s="1"/>
      <c r="E25" s="1" t="s">
        <v>102</v>
      </c>
      <c r="F25" s="1" t="s">
        <v>1841</v>
      </c>
      <c r="G25" s="1" t="s">
        <v>1046</v>
      </c>
      <c r="H25" s="1"/>
      <c r="I25" s="1"/>
      <c r="J25" s="1" t="s">
        <v>1842</v>
      </c>
      <c r="K25" s="1" t="s">
        <v>1801</v>
      </c>
      <c r="L25" s="8" t="s">
        <v>1787</v>
      </c>
      <c r="M25" s="1" t="s">
        <v>421</v>
      </c>
    </row>
    <row r="26" spans="1:13" ht="13.2">
      <c r="A26" s="1" t="s">
        <v>638</v>
      </c>
      <c r="B26" s="1"/>
      <c r="C26" s="1"/>
      <c r="D26" s="1"/>
      <c r="E26" s="1" t="s">
        <v>102</v>
      </c>
      <c r="F26" s="1" t="s">
        <v>1844</v>
      </c>
      <c r="G26" s="1" t="s">
        <v>1046</v>
      </c>
      <c r="H26" s="1"/>
      <c r="I26" s="1"/>
      <c r="J26" s="1" t="s">
        <v>1845</v>
      </c>
      <c r="K26" s="1" t="s">
        <v>1801</v>
      </c>
      <c r="L26" s="8" t="s">
        <v>1787</v>
      </c>
      <c r="M26" s="1" t="s">
        <v>421</v>
      </c>
    </row>
    <row r="27" spans="1:13" ht="13.2">
      <c r="A27" s="1" t="s">
        <v>656</v>
      </c>
      <c r="B27" s="1"/>
      <c r="C27" s="1"/>
      <c r="D27" s="1"/>
      <c r="E27" s="1" t="s">
        <v>1045</v>
      </c>
      <c r="F27" s="1" t="s">
        <v>1046</v>
      </c>
      <c r="G27" s="1" t="s">
        <v>1847</v>
      </c>
      <c r="H27" s="1" t="s">
        <v>1046</v>
      </c>
      <c r="I27" s="1" t="s">
        <v>1046</v>
      </c>
      <c r="J27" s="1" t="s">
        <v>1848</v>
      </c>
      <c r="K27" s="1" t="s">
        <v>1789</v>
      </c>
      <c r="L27" s="8" t="s">
        <v>1787</v>
      </c>
      <c r="M27" s="1" t="s">
        <v>421</v>
      </c>
    </row>
    <row r="28" spans="1:13" ht="13.2">
      <c r="A28" s="1" t="s">
        <v>677</v>
      </c>
      <c r="B28" s="1"/>
      <c r="C28" s="1"/>
      <c r="D28" s="1"/>
      <c r="E28" s="1" t="s">
        <v>102</v>
      </c>
      <c r="F28" s="1" t="s">
        <v>1850</v>
      </c>
      <c r="G28" s="1" t="s">
        <v>1046</v>
      </c>
      <c r="H28" s="1"/>
      <c r="I28" s="1"/>
      <c r="J28" s="1" t="s">
        <v>1851</v>
      </c>
      <c r="K28" s="1" t="s">
        <v>1801</v>
      </c>
      <c r="L28" s="8" t="s">
        <v>1787</v>
      </c>
      <c r="M28" s="1" t="s">
        <v>421</v>
      </c>
    </row>
    <row r="29" spans="1:13" ht="13.2">
      <c r="A29" s="1" t="s">
        <v>689</v>
      </c>
      <c r="B29" s="1"/>
      <c r="C29" s="1"/>
      <c r="D29" s="1"/>
      <c r="E29" s="1" t="s">
        <v>1045</v>
      </c>
      <c r="F29" s="1" t="s">
        <v>1046</v>
      </c>
      <c r="G29" s="1" t="s">
        <v>1853</v>
      </c>
      <c r="H29" s="1" t="s">
        <v>1046</v>
      </c>
      <c r="I29" s="1" t="s">
        <v>1046</v>
      </c>
      <c r="J29" s="1" t="s">
        <v>1854</v>
      </c>
      <c r="K29" s="1" t="s">
        <v>1801</v>
      </c>
      <c r="L29" s="8" t="s">
        <v>1787</v>
      </c>
      <c r="M29" s="1" t="s">
        <v>421</v>
      </c>
    </row>
    <row r="30" spans="1:13" ht="13.2">
      <c r="A30" s="1" t="s">
        <v>695</v>
      </c>
      <c r="B30" s="1"/>
      <c r="C30" s="1"/>
      <c r="D30" s="1"/>
      <c r="E30" s="1" t="s">
        <v>102</v>
      </c>
      <c r="F30" s="1" t="s">
        <v>1856</v>
      </c>
      <c r="G30" s="1" t="s">
        <v>1046</v>
      </c>
      <c r="H30" s="1"/>
      <c r="I30" s="1"/>
      <c r="J30" s="1" t="s">
        <v>1857</v>
      </c>
      <c r="K30" s="1" t="s">
        <v>1858</v>
      </c>
      <c r="L30" s="8" t="s">
        <v>1787</v>
      </c>
      <c r="M30" s="1" t="s">
        <v>421</v>
      </c>
    </row>
    <row r="31" spans="1:13" ht="13.2">
      <c r="A31" s="1" t="s">
        <v>697</v>
      </c>
      <c r="B31" s="1"/>
      <c r="C31" s="1"/>
      <c r="D31" s="1"/>
      <c r="E31" s="1" t="s">
        <v>102</v>
      </c>
      <c r="F31" s="1" t="s">
        <v>1441</v>
      </c>
      <c r="G31" s="1" t="s">
        <v>1046</v>
      </c>
      <c r="H31" s="1"/>
      <c r="I31" s="1"/>
      <c r="J31" s="1" t="s">
        <v>1860</v>
      </c>
      <c r="K31" s="1" t="s">
        <v>1861</v>
      </c>
      <c r="L31" s="8" t="s">
        <v>1787</v>
      </c>
      <c r="M31" s="1" t="s">
        <v>421</v>
      </c>
    </row>
    <row r="32" spans="1:13" ht="13.2">
      <c r="A32" s="1" t="s">
        <v>698</v>
      </c>
      <c r="B32" s="1"/>
      <c r="C32" s="1"/>
      <c r="D32" s="1"/>
      <c r="E32" s="1" t="s">
        <v>102</v>
      </c>
      <c r="F32" s="1" t="s">
        <v>1863</v>
      </c>
      <c r="G32" s="1" t="s">
        <v>1046</v>
      </c>
      <c r="H32" s="1"/>
      <c r="I32" s="1"/>
      <c r="J32" s="1" t="s">
        <v>1864</v>
      </c>
      <c r="K32" s="1" t="s">
        <v>1858</v>
      </c>
      <c r="L32" s="8" t="s">
        <v>1787</v>
      </c>
      <c r="M32" s="1" t="s">
        <v>421</v>
      </c>
    </row>
    <row r="33" spans="1:13" ht="13.2">
      <c r="A33" s="1" t="s">
        <v>699</v>
      </c>
      <c r="B33" s="1"/>
      <c r="C33" s="1"/>
      <c r="D33" s="1"/>
      <c r="E33" s="1" t="s">
        <v>98</v>
      </c>
      <c r="F33" s="1" t="s">
        <v>1046</v>
      </c>
      <c r="G33" s="1" t="s">
        <v>1866</v>
      </c>
      <c r="H33" s="1" t="s">
        <v>1046</v>
      </c>
      <c r="I33" s="1" t="s">
        <v>1046</v>
      </c>
      <c r="J33" s="1" t="s">
        <v>1867</v>
      </c>
      <c r="K33" s="1" t="s">
        <v>1861</v>
      </c>
      <c r="L33" s="8" t="s">
        <v>1787</v>
      </c>
      <c r="M33" s="1" t="s">
        <v>421</v>
      </c>
    </row>
    <row r="34" spans="1:13" ht="13.2">
      <c r="A34" s="1" t="s">
        <v>700</v>
      </c>
      <c r="B34" s="1"/>
      <c r="C34" s="1"/>
      <c r="D34" s="1"/>
      <c r="E34" s="1" t="s">
        <v>102</v>
      </c>
      <c r="F34" s="1" t="s">
        <v>1869</v>
      </c>
      <c r="G34" s="1" t="s">
        <v>1046</v>
      </c>
      <c r="H34" s="1"/>
      <c r="I34" s="1"/>
      <c r="J34" s="1" t="s">
        <v>1870</v>
      </c>
      <c r="K34" s="1" t="s">
        <v>1871</v>
      </c>
      <c r="L34" s="8" t="s">
        <v>1787</v>
      </c>
      <c r="M34" s="1" t="s">
        <v>421</v>
      </c>
    </row>
    <row r="35" spans="1:13" ht="13.2">
      <c r="A35" s="1" t="s">
        <v>712</v>
      </c>
      <c r="B35" s="1"/>
      <c r="C35" s="1"/>
      <c r="D35" s="1"/>
      <c r="E35" s="1" t="s">
        <v>102</v>
      </c>
      <c r="F35" s="1" t="s">
        <v>1873</v>
      </c>
      <c r="G35" s="1" t="s">
        <v>1046</v>
      </c>
      <c r="H35" s="1"/>
      <c r="I35" s="1"/>
      <c r="J35" s="1" t="s">
        <v>1874</v>
      </c>
      <c r="K35" s="1" t="s">
        <v>1871</v>
      </c>
      <c r="L35" s="8" t="s">
        <v>1787</v>
      </c>
      <c r="M35" s="1" t="s">
        <v>421</v>
      </c>
    </row>
    <row r="36" spans="1:13" ht="13.2">
      <c r="A36" s="1" t="s">
        <v>727</v>
      </c>
      <c r="B36" s="1"/>
      <c r="C36" s="1"/>
      <c r="D36" s="1"/>
      <c r="E36" s="1" t="s">
        <v>1045</v>
      </c>
      <c r="F36" s="1" t="s">
        <v>1046</v>
      </c>
      <c r="G36" s="1" t="s">
        <v>1876</v>
      </c>
      <c r="H36" s="1" t="s">
        <v>1046</v>
      </c>
      <c r="I36" s="1" t="s">
        <v>1046</v>
      </c>
      <c r="J36" s="1" t="s">
        <v>1877</v>
      </c>
      <c r="K36" s="1" t="s">
        <v>1801</v>
      </c>
      <c r="L36" s="8" t="s">
        <v>1787</v>
      </c>
      <c r="M36" s="1" t="s">
        <v>421</v>
      </c>
    </row>
    <row r="37" spans="1:13" ht="13.2">
      <c r="A37" s="1" t="s">
        <v>731</v>
      </c>
      <c r="B37" s="1"/>
      <c r="C37" s="1"/>
      <c r="D37" s="1"/>
      <c r="E37" s="1" t="s">
        <v>1045</v>
      </c>
      <c r="F37" s="1" t="s">
        <v>1046</v>
      </c>
      <c r="G37" s="1" t="s">
        <v>1879</v>
      </c>
      <c r="H37" s="1" t="s">
        <v>1046</v>
      </c>
      <c r="I37" s="1" t="s">
        <v>1046</v>
      </c>
      <c r="J37" s="1" t="s">
        <v>1880</v>
      </c>
      <c r="K37" s="1" t="s">
        <v>1801</v>
      </c>
      <c r="L37" s="8" t="s">
        <v>1787</v>
      </c>
      <c r="M37" s="1" t="s">
        <v>421</v>
      </c>
    </row>
    <row r="38" spans="1:13" ht="13.2">
      <c r="A38" s="1" t="s">
        <v>734</v>
      </c>
      <c r="B38" s="1"/>
      <c r="C38" s="1"/>
      <c r="D38" s="1"/>
      <c r="E38" s="1" t="s">
        <v>1045</v>
      </c>
      <c r="F38" s="1" t="s">
        <v>1046</v>
      </c>
      <c r="G38" s="1" t="s">
        <v>1882</v>
      </c>
      <c r="H38" s="1" t="s">
        <v>1046</v>
      </c>
      <c r="I38" s="1" t="s">
        <v>1046</v>
      </c>
      <c r="J38" s="1" t="s">
        <v>1883</v>
      </c>
      <c r="K38" s="1" t="s">
        <v>1884</v>
      </c>
      <c r="L38" s="8" t="s">
        <v>1787</v>
      </c>
      <c r="M38" s="1" t="s">
        <v>421</v>
      </c>
    </row>
    <row r="39" spans="1:13" ht="13.2">
      <c r="A39" s="1" t="s">
        <v>750</v>
      </c>
      <c r="B39" s="1"/>
      <c r="C39" s="1"/>
      <c r="D39" s="1"/>
      <c r="E39" s="1" t="s">
        <v>1464</v>
      </c>
      <c r="F39" s="1" t="s">
        <v>1886</v>
      </c>
      <c r="G39" s="1" t="s">
        <v>1046</v>
      </c>
      <c r="H39" s="1"/>
      <c r="I39" s="1"/>
      <c r="J39" s="1" t="s">
        <v>1887</v>
      </c>
      <c r="K39" s="1" t="s">
        <v>1789</v>
      </c>
      <c r="L39" s="8" t="s">
        <v>1787</v>
      </c>
      <c r="M39" s="1" t="s">
        <v>421</v>
      </c>
    </row>
    <row r="40" spans="1:13" ht="13.2">
      <c r="A40" s="1" t="s">
        <v>760</v>
      </c>
      <c r="B40" s="1"/>
      <c r="C40" s="1"/>
      <c r="D40" s="1"/>
      <c r="E40" s="1" t="s">
        <v>1045</v>
      </c>
      <c r="F40" s="1" t="s">
        <v>1046</v>
      </c>
      <c r="G40" s="1" t="s">
        <v>1889</v>
      </c>
      <c r="H40" s="1" t="s">
        <v>1046</v>
      </c>
      <c r="I40" s="1" t="s">
        <v>1046</v>
      </c>
      <c r="J40" s="1" t="s">
        <v>1890</v>
      </c>
      <c r="K40" s="1" t="s">
        <v>1884</v>
      </c>
      <c r="L40" s="8" t="s">
        <v>1787</v>
      </c>
      <c r="M40" s="1" t="s">
        <v>421</v>
      </c>
    </row>
    <row r="41" spans="1:13" ht="13.2">
      <c r="A41" s="1" t="s">
        <v>777</v>
      </c>
      <c r="B41" s="1"/>
      <c r="C41" s="1"/>
      <c r="D41" s="1"/>
      <c r="E41" s="1" t="s">
        <v>102</v>
      </c>
      <c r="F41" s="1" t="s">
        <v>1046</v>
      </c>
      <c r="G41" s="1" t="s">
        <v>1046</v>
      </c>
      <c r="H41" s="1"/>
      <c r="I41" s="1"/>
      <c r="J41" s="1" t="s">
        <v>1892</v>
      </c>
      <c r="K41" s="1" t="s">
        <v>1893</v>
      </c>
      <c r="L41" s="8" t="s">
        <v>1787</v>
      </c>
      <c r="M41" s="1" t="s">
        <v>421</v>
      </c>
    </row>
    <row r="42" spans="1:13" ht="13.2">
      <c r="A42" s="1" t="s">
        <v>827</v>
      </c>
      <c r="B42" s="1"/>
      <c r="C42" s="1"/>
      <c r="D42" s="1"/>
      <c r="E42" s="1" t="s">
        <v>102</v>
      </c>
      <c r="F42" s="1" t="s">
        <v>1895</v>
      </c>
      <c r="G42" s="1" t="s">
        <v>1046</v>
      </c>
      <c r="H42" s="1"/>
      <c r="I42" s="1"/>
      <c r="J42" s="1" t="s">
        <v>1896</v>
      </c>
      <c r="K42" s="1" t="s">
        <v>1897</v>
      </c>
      <c r="L42" s="8" t="s">
        <v>1787</v>
      </c>
      <c r="M42" s="1" t="s">
        <v>421</v>
      </c>
    </row>
    <row r="43" spans="1:13" ht="13.2">
      <c r="A43" s="1" t="s">
        <v>831</v>
      </c>
      <c r="B43" s="1"/>
      <c r="C43" s="1"/>
      <c r="D43" s="1"/>
      <c r="E43" s="1" t="s">
        <v>1045</v>
      </c>
      <c r="F43" s="1" t="s">
        <v>1046</v>
      </c>
      <c r="G43" s="1" t="s">
        <v>1899</v>
      </c>
      <c r="H43" s="1" t="s">
        <v>1046</v>
      </c>
      <c r="I43" s="1" t="s">
        <v>1046</v>
      </c>
      <c r="J43" s="1" t="s">
        <v>1900</v>
      </c>
      <c r="K43" s="1" t="s">
        <v>1884</v>
      </c>
      <c r="L43" s="8" t="s">
        <v>1787</v>
      </c>
      <c r="M43" s="1" t="s">
        <v>421</v>
      </c>
    </row>
    <row r="44" spans="1:13" ht="13.2">
      <c r="A44" s="1" t="s">
        <v>863</v>
      </c>
      <c r="B44" s="1"/>
      <c r="C44" s="1"/>
      <c r="D44" s="1"/>
      <c r="E44" s="1" t="s">
        <v>102</v>
      </c>
      <c r="F44" s="1" t="s">
        <v>1902</v>
      </c>
      <c r="G44" s="1" t="s">
        <v>1046</v>
      </c>
      <c r="H44" s="1"/>
      <c r="I44" s="1"/>
      <c r="J44" s="1" t="s">
        <v>1903</v>
      </c>
      <c r="K44" s="1" t="s">
        <v>1904</v>
      </c>
      <c r="L44" s="8" t="s">
        <v>1787</v>
      </c>
      <c r="M44" s="1" t="s">
        <v>421</v>
      </c>
    </row>
    <row r="45" spans="1:13" ht="13.2">
      <c r="A45" s="1" t="s">
        <v>869</v>
      </c>
      <c r="B45" s="1"/>
      <c r="C45" s="1"/>
      <c r="D45" s="1"/>
      <c r="E45" s="1" t="s">
        <v>102</v>
      </c>
      <c r="F45" s="1" t="s">
        <v>1637</v>
      </c>
      <c r="G45" s="1" t="s">
        <v>1046</v>
      </c>
      <c r="H45" s="1"/>
      <c r="I45" s="1"/>
      <c r="J45" s="1" t="s">
        <v>1906</v>
      </c>
      <c r="K45" s="1" t="s">
        <v>1801</v>
      </c>
      <c r="L45" s="8" t="s">
        <v>1787</v>
      </c>
      <c r="M45" s="1" t="s">
        <v>421</v>
      </c>
    </row>
    <row r="46" spans="1:13" ht="13.2">
      <c r="A46" s="1" t="s">
        <v>930</v>
      </c>
      <c r="B46" s="1"/>
      <c r="C46" s="1"/>
      <c r="D46" s="1"/>
      <c r="E46" s="1" t="s">
        <v>98</v>
      </c>
      <c r="F46" s="1" t="s">
        <v>1046</v>
      </c>
      <c r="G46" s="1" t="s">
        <v>1908</v>
      </c>
      <c r="H46" s="1" t="s">
        <v>1046</v>
      </c>
      <c r="I46" s="1" t="s">
        <v>1046</v>
      </c>
      <c r="J46" s="1" t="s">
        <v>1909</v>
      </c>
      <c r="K46" s="1" t="s">
        <v>1801</v>
      </c>
      <c r="L46" s="8" t="s">
        <v>1787</v>
      </c>
      <c r="M46" s="1" t="s">
        <v>421</v>
      </c>
    </row>
    <row r="47" spans="1:13" ht="13.2">
      <c r="A47" s="1" t="s">
        <v>968</v>
      </c>
      <c r="B47" s="1"/>
      <c r="C47" s="1"/>
      <c r="D47" s="1"/>
      <c r="E47" s="1" t="s">
        <v>102</v>
      </c>
      <c r="F47" s="1" t="s">
        <v>1531</v>
      </c>
      <c r="G47" s="1" t="s">
        <v>1046</v>
      </c>
      <c r="H47" s="1"/>
      <c r="I47" s="1"/>
      <c r="J47" s="1" t="s">
        <v>1911</v>
      </c>
      <c r="K47" s="1" t="s">
        <v>1801</v>
      </c>
      <c r="L47" s="8" t="s">
        <v>1787</v>
      </c>
      <c r="M47" s="1" t="s">
        <v>421</v>
      </c>
    </row>
    <row r="48" spans="1:13" ht="13.2">
      <c r="A48" s="1" t="s">
        <v>970</v>
      </c>
      <c r="B48" s="1"/>
      <c r="C48" s="1"/>
      <c r="D48" s="1"/>
      <c r="E48" s="1" t="s">
        <v>102</v>
      </c>
      <c r="F48" s="1" t="s">
        <v>1531</v>
      </c>
      <c r="G48" s="1" t="s">
        <v>1046</v>
      </c>
      <c r="H48" s="1"/>
      <c r="I48" s="1"/>
      <c r="J48" s="1" t="s">
        <v>1913</v>
      </c>
      <c r="K48" s="1" t="s">
        <v>1801</v>
      </c>
      <c r="L48" s="8" t="s">
        <v>1787</v>
      </c>
      <c r="M48" s="1" t="s">
        <v>421</v>
      </c>
    </row>
    <row r="49" spans="1:13" ht="13.2">
      <c r="A49" s="1" t="s">
        <v>972</v>
      </c>
      <c r="B49" s="1"/>
      <c r="C49" s="1"/>
      <c r="D49" s="1"/>
      <c r="E49" s="1" t="s">
        <v>102</v>
      </c>
      <c r="F49" s="1" t="s">
        <v>1915</v>
      </c>
      <c r="G49" s="1" t="s">
        <v>1046</v>
      </c>
      <c r="H49" s="1"/>
      <c r="I49" s="1"/>
      <c r="J49" s="1" t="s">
        <v>1916</v>
      </c>
      <c r="K49" s="1" t="s">
        <v>1801</v>
      </c>
      <c r="L49" s="8" t="s">
        <v>1787</v>
      </c>
      <c r="M49" s="1" t="s">
        <v>421</v>
      </c>
    </row>
    <row r="50" spans="1:13" ht="13.2">
      <c r="A50" s="1" t="s">
        <v>987</v>
      </c>
      <c r="B50" s="1"/>
      <c r="C50" s="1"/>
      <c r="D50" s="1"/>
      <c r="E50" s="1" t="s">
        <v>102</v>
      </c>
      <c r="F50" s="1" t="s">
        <v>1918</v>
      </c>
      <c r="G50" s="1" t="s">
        <v>1046</v>
      </c>
      <c r="H50" s="1"/>
      <c r="I50" s="1"/>
      <c r="J50" s="1" t="s">
        <v>1919</v>
      </c>
      <c r="K50" s="1" t="s">
        <v>1801</v>
      </c>
      <c r="L50" s="8" t="s">
        <v>1787</v>
      </c>
      <c r="M50" s="1" t="s">
        <v>421</v>
      </c>
    </row>
    <row r="51" spans="1:13" ht="13.2">
      <c r="A51" s="1" t="s">
        <v>988</v>
      </c>
      <c r="B51" s="1"/>
      <c r="C51" s="1"/>
      <c r="D51" s="1"/>
      <c r="E51" s="1" t="s">
        <v>102</v>
      </c>
      <c r="F51" s="1" t="s">
        <v>1046</v>
      </c>
      <c r="G51" s="1" t="s">
        <v>1046</v>
      </c>
      <c r="H51" s="1"/>
      <c r="I51" s="1"/>
      <c r="J51" s="1" t="s">
        <v>1921</v>
      </c>
      <c r="K51" s="1" t="s">
        <v>1801</v>
      </c>
      <c r="L51" s="8" t="s">
        <v>1787</v>
      </c>
      <c r="M51" s="1" t="s">
        <v>421</v>
      </c>
    </row>
    <row r="52" spans="1:13" ht="13.2">
      <c r="A52" s="1" t="s">
        <v>463</v>
      </c>
      <c r="B52" s="1"/>
      <c r="C52" s="1"/>
      <c r="D52" s="1"/>
      <c r="E52" s="1" t="s">
        <v>102</v>
      </c>
      <c r="F52" s="1" t="s">
        <v>1136</v>
      </c>
      <c r="G52" s="1" t="s">
        <v>1046</v>
      </c>
      <c r="H52" s="1"/>
      <c r="I52" s="1"/>
      <c r="J52" s="1" t="s">
        <v>1606</v>
      </c>
      <c r="K52" s="1"/>
      <c r="L52" s="8" t="s">
        <v>1607</v>
      </c>
      <c r="M52" s="1" t="s">
        <v>422</v>
      </c>
    </row>
    <row r="53" spans="1:13" ht="13.2">
      <c r="A53" s="1" t="s">
        <v>555</v>
      </c>
      <c r="B53" s="1"/>
      <c r="C53" s="1"/>
      <c r="D53" s="1"/>
      <c r="E53" s="1" t="s">
        <v>102</v>
      </c>
      <c r="F53" s="1" t="s">
        <v>1136</v>
      </c>
      <c r="G53" s="1" t="s">
        <v>1046</v>
      </c>
      <c r="H53" s="1"/>
      <c r="I53" s="1"/>
      <c r="J53" s="1" t="s">
        <v>1608</v>
      </c>
      <c r="K53" s="1"/>
      <c r="L53" s="8" t="s">
        <v>1607</v>
      </c>
      <c r="M53" s="1" t="s">
        <v>422</v>
      </c>
    </row>
    <row r="54" spans="1:13" ht="13.2">
      <c r="A54" s="1" t="s">
        <v>482</v>
      </c>
      <c r="B54" s="1"/>
      <c r="C54" s="1"/>
      <c r="D54" s="1"/>
      <c r="E54" s="1" t="s">
        <v>102</v>
      </c>
      <c r="F54" s="1" t="s">
        <v>1407</v>
      </c>
      <c r="G54" s="1" t="s">
        <v>1046</v>
      </c>
      <c r="H54" s="1"/>
      <c r="I54" s="1"/>
      <c r="J54" s="1" t="s">
        <v>1609</v>
      </c>
      <c r="K54" s="1"/>
      <c r="L54" s="8" t="s">
        <v>1607</v>
      </c>
      <c r="M54" s="1" t="s">
        <v>422</v>
      </c>
    </row>
    <row r="55" spans="1:13" ht="13.2">
      <c r="A55" s="1" t="s">
        <v>493</v>
      </c>
      <c r="B55" s="1"/>
      <c r="C55" s="1"/>
      <c r="D55" s="1"/>
      <c r="E55" s="1" t="s">
        <v>102</v>
      </c>
      <c r="F55" s="1" t="s">
        <v>1407</v>
      </c>
      <c r="G55" s="1" t="s">
        <v>1046</v>
      </c>
      <c r="H55" s="1"/>
      <c r="I55" s="1"/>
      <c r="J55" s="1" t="s">
        <v>1610</v>
      </c>
      <c r="K55" s="1"/>
      <c r="L55" s="8" t="s">
        <v>1607</v>
      </c>
      <c r="M55" s="1" t="s">
        <v>422</v>
      </c>
    </row>
    <row r="56" spans="1:13" ht="13.2">
      <c r="A56" s="1" t="s">
        <v>669</v>
      </c>
      <c r="B56" s="1"/>
      <c r="C56" s="1"/>
      <c r="D56" s="1"/>
      <c r="E56" s="1" t="s">
        <v>102</v>
      </c>
      <c r="F56" s="1" t="s">
        <v>1611</v>
      </c>
      <c r="G56" s="1" t="s">
        <v>1046</v>
      </c>
      <c r="H56" s="1"/>
      <c r="I56" s="1"/>
      <c r="J56" s="1" t="s">
        <v>1612</v>
      </c>
      <c r="K56" s="1"/>
      <c r="L56" s="8" t="s">
        <v>1607</v>
      </c>
      <c r="M56" s="1" t="s">
        <v>422</v>
      </c>
    </row>
    <row r="57" spans="1:13" ht="13.2">
      <c r="A57" s="1" t="s">
        <v>678</v>
      </c>
      <c r="B57" s="1"/>
      <c r="C57" s="1"/>
      <c r="D57" s="1"/>
      <c r="E57" s="1" t="s">
        <v>102</v>
      </c>
      <c r="F57" s="1" t="s">
        <v>1611</v>
      </c>
      <c r="G57" s="1" t="s">
        <v>1046</v>
      </c>
      <c r="H57" s="1"/>
      <c r="I57" s="1"/>
      <c r="J57" s="1" t="s">
        <v>1613</v>
      </c>
      <c r="K57" s="1"/>
      <c r="L57" s="8" t="s">
        <v>1607</v>
      </c>
      <c r="M57" s="1" t="s">
        <v>422</v>
      </c>
    </row>
    <row r="58" spans="1:13" ht="13.2">
      <c r="A58" s="1" t="s">
        <v>683</v>
      </c>
      <c r="B58" s="1"/>
      <c r="C58" s="1"/>
      <c r="D58" s="1"/>
      <c r="E58" s="1" t="s">
        <v>102</v>
      </c>
      <c r="F58" s="1" t="s">
        <v>1611</v>
      </c>
      <c r="G58" s="1" t="s">
        <v>1046</v>
      </c>
      <c r="H58" s="1"/>
      <c r="I58" s="1"/>
      <c r="J58" s="1" t="s">
        <v>1615</v>
      </c>
      <c r="K58" s="1"/>
      <c r="L58" s="8" t="s">
        <v>1607</v>
      </c>
      <c r="M58" s="1" t="s">
        <v>422</v>
      </c>
    </row>
    <row r="59" spans="1:13" ht="13.2">
      <c r="A59" s="1" t="s">
        <v>686</v>
      </c>
      <c r="B59" s="1"/>
      <c r="C59" s="1"/>
      <c r="D59" s="1"/>
      <c r="E59" s="1" t="s">
        <v>102</v>
      </c>
      <c r="F59" s="1" t="s">
        <v>1611</v>
      </c>
      <c r="G59" s="1" t="s">
        <v>1046</v>
      </c>
      <c r="H59" s="1"/>
      <c r="I59" s="1"/>
      <c r="J59" s="1" t="s">
        <v>1617</v>
      </c>
      <c r="K59" s="1"/>
      <c r="L59" s="8" t="s">
        <v>1607</v>
      </c>
      <c r="M59" s="1" t="s">
        <v>422</v>
      </c>
    </row>
    <row r="60" spans="1:13" ht="13.2">
      <c r="A60" s="1" t="s">
        <v>659</v>
      </c>
      <c r="B60" s="1"/>
      <c r="C60" s="1"/>
      <c r="D60" s="1"/>
      <c r="E60" s="1" t="s">
        <v>102</v>
      </c>
      <c r="F60" s="1" t="s">
        <v>1611</v>
      </c>
      <c r="G60" s="1" t="s">
        <v>1046</v>
      </c>
      <c r="H60" s="1"/>
      <c r="I60" s="1"/>
      <c r="J60" s="1" t="s">
        <v>1618</v>
      </c>
      <c r="K60" s="1"/>
      <c r="L60" s="8" t="s">
        <v>1607</v>
      </c>
      <c r="M60" s="1" t="s">
        <v>422</v>
      </c>
    </row>
    <row r="61" spans="1:13" ht="13.2">
      <c r="A61" s="1" t="s">
        <v>633</v>
      </c>
      <c r="B61" s="1"/>
      <c r="C61" s="1"/>
      <c r="D61" s="1"/>
      <c r="E61" s="1" t="s">
        <v>102</v>
      </c>
      <c r="F61" s="1" t="s">
        <v>1611</v>
      </c>
      <c r="G61" s="1" t="s">
        <v>1046</v>
      </c>
      <c r="H61" s="1"/>
      <c r="I61" s="1"/>
      <c r="J61" s="1" t="s">
        <v>1619</v>
      </c>
      <c r="K61" s="1"/>
      <c r="L61" s="8" t="s">
        <v>1607</v>
      </c>
      <c r="M61" s="1" t="s">
        <v>422</v>
      </c>
    </row>
    <row r="62" spans="1:13" ht="13.2">
      <c r="A62" s="1" t="s">
        <v>640</v>
      </c>
      <c r="B62" s="1"/>
      <c r="C62" s="1"/>
      <c r="D62" s="1"/>
      <c r="E62" s="1" t="s">
        <v>102</v>
      </c>
      <c r="F62" s="1" t="s">
        <v>1046</v>
      </c>
      <c r="G62" s="1" t="s">
        <v>1046</v>
      </c>
      <c r="H62" s="1"/>
      <c r="I62" s="1"/>
      <c r="J62" s="1" t="s">
        <v>1620</v>
      </c>
      <c r="K62" s="1"/>
      <c r="L62" s="8" t="s">
        <v>1607</v>
      </c>
      <c r="M62" s="1" t="s">
        <v>422</v>
      </c>
    </row>
    <row r="63" spans="1:13" ht="13.2">
      <c r="A63" s="1" t="s">
        <v>627</v>
      </c>
      <c r="B63" s="1"/>
      <c r="C63" s="1"/>
      <c r="D63" s="1"/>
      <c r="E63" s="1" t="s">
        <v>102</v>
      </c>
      <c r="F63" s="1" t="s">
        <v>1046</v>
      </c>
      <c r="G63" s="1" t="s">
        <v>1046</v>
      </c>
      <c r="H63" s="1"/>
      <c r="I63" s="1"/>
      <c r="J63" s="1" t="s">
        <v>1621</v>
      </c>
      <c r="K63" s="1"/>
      <c r="L63" s="8" t="s">
        <v>1607</v>
      </c>
      <c r="M63" s="1" t="s">
        <v>422</v>
      </c>
    </row>
    <row r="64" spans="1:13" ht="13.2">
      <c r="A64" s="1" t="s">
        <v>622</v>
      </c>
      <c r="B64" s="1"/>
      <c r="C64" s="1"/>
      <c r="D64" s="1"/>
      <c r="E64" s="1" t="s">
        <v>102</v>
      </c>
      <c r="F64" s="1" t="s">
        <v>1622</v>
      </c>
      <c r="G64" s="1" t="s">
        <v>1046</v>
      </c>
      <c r="H64" s="1"/>
      <c r="I64" s="1"/>
      <c r="J64" s="1" t="s">
        <v>1623</v>
      </c>
      <c r="K64" s="1"/>
      <c r="L64" s="8" t="s">
        <v>1607</v>
      </c>
      <c r="M64" s="1" t="s">
        <v>422</v>
      </c>
    </row>
    <row r="65" spans="1:13" ht="13.2">
      <c r="A65" s="1" t="s">
        <v>661</v>
      </c>
      <c r="B65" s="1"/>
      <c r="C65" s="1"/>
      <c r="D65" s="1"/>
      <c r="E65" s="1" t="s">
        <v>102</v>
      </c>
      <c r="F65" s="1" t="s">
        <v>1611</v>
      </c>
      <c r="G65" s="1" t="s">
        <v>1046</v>
      </c>
      <c r="H65" s="1"/>
      <c r="I65" s="1"/>
      <c r="J65" s="1" t="s">
        <v>1624</v>
      </c>
      <c r="K65" s="1"/>
      <c r="L65" s="8" t="s">
        <v>1607</v>
      </c>
      <c r="M65" s="1" t="s">
        <v>422</v>
      </c>
    </row>
    <row r="66" spans="1:13" ht="13.2">
      <c r="A66" s="1" t="s">
        <v>641</v>
      </c>
      <c r="B66" s="1"/>
      <c r="C66" s="1"/>
      <c r="D66" s="1"/>
      <c r="E66" s="1" t="s">
        <v>102</v>
      </c>
      <c r="F66" s="1" t="s">
        <v>1136</v>
      </c>
      <c r="G66" s="1" t="s">
        <v>1046</v>
      </c>
      <c r="H66" s="1"/>
      <c r="I66" s="1"/>
      <c r="J66" s="1" t="s">
        <v>1625</v>
      </c>
      <c r="K66" s="1"/>
      <c r="L66" s="8" t="s">
        <v>1607</v>
      </c>
      <c r="M66" s="1" t="s">
        <v>422</v>
      </c>
    </row>
    <row r="67" spans="1:13" ht="13.2">
      <c r="A67" s="1" t="s">
        <v>646</v>
      </c>
      <c r="B67" s="1"/>
      <c r="C67" s="1"/>
      <c r="D67" s="1"/>
      <c r="E67" s="1" t="s">
        <v>102</v>
      </c>
      <c r="F67" s="1" t="s">
        <v>1611</v>
      </c>
      <c r="G67" s="1" t="s">
        <v>1046</v>
      </c>
      <c r="H67" s="1"/>
      <c r="I67" s="1"/>
      <c r="J67" s="1" t="s">
        <v>1626</v>
      </c>
      <c r="K67" s="1"/>
      <c r="L67" s="8" t="s">
        <v>1607</v>
      </c>
      <c r="M67" s="1" t="s">
        <v>422</v>
      </c>
    </row>
    <row r="68" spans="1:13" ht="13.2">
      <c r="A68" s="1" t="s">
        <v>650</v>
      </c>
      <c r="B68" s="1"/>
      <c r="C68" s="1"/>
      <c r="D68" s="1"/>
      <c r="E68" s="1" t="s">
        <v>102</v>
      </c>
      <c r="F68" s="1" t="s">
        <v>1136</v>
      </c>
      <c r="G68" s="1" t="s">
        <v>1046</v>
      </c>
      <c r="H68" s="1"/>
      <c r="I68" s="1"/>
      <c r="J68" s="1" t="s">
        <v>1627</v>
      </c>
      <c r="K68" s="1"/>
      <c r="L68" s="8" t="s">
        <v>1607</v>
      </c>
      <c r="M68" s="1" t="s">
        <v>422</v>
      </c>
    </row>
    <row r="69" spans="1:13" ht="13.2">
      <c r="A69" s="1" t="s">
        <v>654</v>
      </c>
      <c r="B69" s="1"/>
      <c r="C69" s="1"/>
      <c r="D69" s="1"/>
      <c r="E69" s="1" t="s">
        <v>102</v>
      </c>
      <c r="F69" s="1" t="s">
        <v>1611</v>
      </c>
      <c r="G69" s="1" t="s">
        <v>1046</v>
      </c>
      <c r="H69" s="1"/>
      <c r="I69" s="1"/>
      <c r="J69" s="1" t="s">
        <v>1628</v>
      </c>
      <c r="K69" s="1"/>
      <c r="L69" s="8" t="s">
        <v>1607</v>
      </c>
      <c r="M69" s="1" t="s">
        <v>422</v>
      </c>
    </row>
    <row r="70" spans="1:13" ht="13.2">
      <c r="A70" s="1" t="s">
        <v>876</v>
      </c>
      <c r="B70" s="1"/>
      <c r="C70" s="1"/>
      <c r="D70" s="1"/>
      <c r="E70" s="1" t="s">
        <v>102</v>
      </c>
      <c r="F70" s="1" t="s">
        <v>1629</v>
      </c>
      <c r="G70" s="1" t="s">
        <v>1046</v>
      </c>
      <c r="H70" s="1"/>
      <c r="I70" s="1"/>
      <c r="J70" s="1" t="s">
        <v>1630</v>
      </c>
      <c r="K70" s="1"/>
      <c r="L70" s="8" t="s">
        <v>1607</v>
      </c>
      <c r="M70" s="1" t="s">
        <v>422</v>
      </c>
    </row>
    <row r="71" spans="1:13" ht="13.2">
      <c r="A71" s="1" t="s">
        <v>881</v>
      </c>
      <c r="B71" s="1"/>
      <c r="C71" s="1"/>
      <c r="D71" s="1"/>
      <c r="E71" s="1" t="s">
        <v>102</v>
      </c>
      <c r="F71" s="1" t="s">
        <v>1631</v>
      </c>
      <c r="G71" s="1" t="s">
        <v>1046</v>
      </c>
      <c r="H71" s="1"/>
      <c r="I71" s="1"/>
      <c r="J71" s="1" t="s">
        <v>1632</v>
      </c>
      <c r="K71" s="1"/>
      <c r="L71" s="8" t="s">
        <v>1607</v>
      </c>
      <c r="M71" s="1" t="s">
        <v>422</v>
      </c>
    </row>
    <row r="72" spans="1:13" ht="13.2">
      <c r="A72" s="1" t="s">
        <v>718</v>
      </c>
      <c r="B72" s="1"/>
      <c r="C72" s="1"/>
      <c r="D72" s="1"/>
      <c r="E72" s="1" t="s">
        <v>1045</v>
      </c>
      <c r="F72" s="1" t="s">
        <v>1046</v>
      </c>
      <c r="G72" s="1" t="s">
        <v>1633</v>
      </c>
      <c r="H72" s="1" t="s">
        <v>1046</v>
      </c>
      <c r="I72" s="1" t="s">
        <v>1046</v>
      </c>
      <c r="J72" s="1" t="s">
        <v>1634</v>
      </c>
      <c r="K72" s="1"/>
      <c r="L72" s="8" t="s">
        <v>1607</v>
      </c>
      <c r="M72" s="1" t="s">
        <v>422</v>
      </c>
    </row>
    <row r="73" spans="1:13" ht="13.2">
      <c r="A73" s="1" t="s">
        <v>882</v>
      </c>
      <c r="B73" s="1"/>
      <c r="C73" s="1"/>
      <c r="D73" s="1"/>
      <c r="E73" s="1" t="s">
        <v>1045</v>
      </c>
      <c r="F73" s="1" t="s">
        <v>1046</v>
      </c>
      <c r="G73" s="1" t="s">
        <v>1635</v>
      </c>
      <c r="H73" s="1" t="s">
        <v>1046</v>
      </c>
      <c r="I73" s="1" t="s">
        <v>1046</v>
      </c>
      <c r="J73" s="1" t="s">
        <v>1636</v>
      </c>
      <c r="K73" s="1"/>
      <c r="L73" s="8" t="s">
        <v>1607</v>
      </c>
      <c r="M73" s="1" t="s">
        <v>422</v>
      </c>
    </row>
    <row r="74" spans="1:13" ht="13.2">
      <c r="A74" s="1" t="s">
        <v>870</v>
      </c>
      <c r="B74" s="1"/>
      <c r="C74" s="1"/>
      <c r="D74" s="1"/>
      <c r="E74" s="1" t="s">
        <v>102</v>
      </c>
      <c r="F74" s="1" t="s">
        <v>1637</v>
      </c>
      <c r="G74" s="1" t="s">
        <v>1046</v>
      </c>
      <c r="H74" s="1"/>
      <c r="I74" s="1"/>
      <c r="J74" s="1" t="s">
        <v>2029</v>
      </c>
      <c r="K74" s="1"/>
      <c r="L74" s="8" t="s">
        <v>1607</v>
      </c>
      <c r="M74" s="1" t="s">
        <v>422</v>
      </c>
    </row>
    <row r="75" spans="1:13" ht="13.2">
      <c r="A75" s="1" t="s">
        <v>732</v>
      </c>
      <c r="B75" s="1"/>
      <c r="C75" s="1"/>
      <c r="D75" s="1"/>
      <c r="E75" s="1" t="s">
        <v>102</v>
      </c>
      <c r="F75" s="1" t="s">
        <v>1639</v>
      </c>
      <c r="G75" s="1" t="s">
        <v>1046</v>
      </c>
      <c r="H75" s="1"/>
      <c r="I75" s="1"/>
      <c r="J75" s="1" t="s">
        <v>1640</v>
      </c>
      <c r="K75" s="1"/>
      <c r="L75" s="8" t="s">
        <v>1607</v>
      </c>
      <c r="M75" s="1" t="s">
        <v>422</v>
      </c>
    </row>
    <row r="76" spans="1:13" ht="13.2">
      <c r="A76" s="1" t="s">
        <v>786</v>
      </c>
      <c r="B76" s="1"/>
      <c r="C76" s="1"/>
      <c r="D76" s="1"/>
      <c r="E76" s="1" t="s">
        <v>102</v>
      </c>
      <c r="F76" s="1" t="s">
        <v>1641</v>
      </c>
      <c r="G76" s="1" t="s">
        <v>1046</v>
      </c>
      <c r="H76" s="1"/>
      <c r="I76" s="1"/>
      <c r="J76" s="1" t="s">
        <v>1642</v>
      </c>
      <c r="K76" s="1"/>
      <c r="L76" s="8" t="s">
        <v>1607</v>
      </c>
      <c r="M76" s="1" t="s">
        <v>422</v>
      </c>
    </row>
    <row r="77" spans="1:13" ht="13.2">
      <c r="A77" s="1" t="s">
        <v>789</v>
      </c>
      <c r="B77" s="1"/>
      <c r="C77" s="1"/>
      <c r="D77" s="1"/>
      <c r="E77" s="1" t="s">
        <v>102</v>
      </c>
      <c r="F77" s="1" t="s">
        <v>1641</v>
      </c>
      <c r="G77" s="1" t="s">
        <v>1046</v>
      </c>
      <c r="H77" s="1"/>
      <c r="I77" s="1"/>
      <c r="J77" s="1" t="s">
        <v>1643</v>
      </c>
      <c r="K77" s="1"/>
      <c r="L77" s="8" t="s">
        <v>1607</v>
      </c>
      <c r="M77" s="1" t="s">
        <v>422</v>
      </c>
    </row>
    <row r="78" spans="1:13" ht="13.2">
      <c r="A78" s="1" t="s">
        <v>791</v>
      </c>
      <c r="B78" s="1"/>
      <c r="C78" s="1"/>
      <c r="D78" s="1"/>
      <c r="E78" s="1" t="s">
        <v>102</v>
      </c>
      <c r="F78" s="1" t="s">
        <v>1641</v>
      </c>
      <c r="G78" s="1" t="s">
        <v>1046</v>
      </c>
      <c r="H78" s="1"/>
      <c r="I78" s="1"/>
      <c r="J78" s="1" t="s">
        <v>1644</v>
      </c>
      <c r="K78" s="1"/>
      <c r="L78" s="8" t="s">
        <v>1607</v>
      </c>
      <c r="M78" s="1" t="s">
        <v>422</v>
      </c>
    </row>
    <row r="79" spans="1:13" ht="13.2">
      <c r="A79" s="1" t="s">
        <v>793</v>
      </c>
      <c r="B79" s="1"/>
      <c r="C79" s="1"/>
      <c r="D79" s="1"/>
      <c r="E79" s="1" t="s">
        <v>102</v>
      </c>
      <c r="F79" s="1" t="s">
        <v>1641</v>
      </c>
      <c r="G79" s="1" t="s">
        <v>1046</v>
      </c>
      <c r="H79" s="1"/>
      <c r="I79" s="1"/>
      <c r="J79" s="1" t="s">
        <v>1645</v>
      </c>
      <c r="K79" s="1"/>
      <c r="L79" s="8" t="s">
        <v>1607</v>
      </c>
      <c r="M79" s="1" t="s">
        <v>422</v>
      </c>
    </row>
    <row r="80" spans="1:13" ht="13.2">
      <c r="A80" s="1" t="s">
        <v>797</v>
      </c>
      <c r="B80" s="1"/>
      <c r="C80" s="1"/>
      <c r="D80" s="1"/>
      <c r="E80" s="1" t="s">
        <v>102</v>
      </c>
      <c r="F80" s="1" t="s">
        <v>1641</v>
      </c>
      <c r="G80" s="1" t="s">
        <v>1046</v>
      </c>
      <c r="H80" s="1"/>
      <c r="I80" s="1"/>
      <c r="J80" s="1" t="s">
        <v>1646</v>
      </c>
      <c r="K80" s="1"/>
      <c r="L80" s="8" t="s">
        <v>1607</v>
      </c>
      <c r="M80" s="1" t="s">
        <v>422</v>
      </c>
    </row>
    <row r="81" spans="1:13" ht="13.2">
      <c r="A81" s="1" t="s">
        <v>802</v>
      </c>
      <c r="B81" s="1"/>
      <c r="C81" s="1"/>
      <c r="D81" s="1"/>
      <c r="E81" s="1" t="s">
        <v>102</v>
      </c>
      <c r="F81" s="1" t="s">
        <v>1641</v>
      </c>
      <c r="G81" s="1" t="s">
        <v>1046</v>
      </c>
      <c r="H81" s="1"/>
      <c r="I81" s="1"/>
      <c r="J81" s="1" t="s">
        <v>1647</v>
      </c>
      <c r="K81" s="1"/>
      <c r="L81" s="8" t="s">
        <v>1607</v>
      </c>
      <c r="M81" s="1" t="s">
        <v>422</v>
      </c>
    </row>
    <row r="82" spans="1:13" ht="13.2">
      <c r="A82" s="1" t="s">
        <v>806</v>
      </c>
      <c r="B82" s="1"/>
      <c r="C82" s="1"/>
      <c r="D82" s="1"/>
      <c r="E82" s="1" t="s">
        <v>102</v>
      </c>
      <c r="F82" s="1" t="s">
        <v>1641</v>
      </c>
      <c r="G82" s="1" t="s">
        <v>1046</v>
      </c>
      <c r="H82" s="1"/>
      <c r="I82" s="1"/>
      <c r="J82" s="1" t="s">
        <v>1648</v>
      </c>
      <c r="K82" s="1"/>
      <c r="L82" s="8" t="s">
        <v>1607</v>
      </c>
      <c r="M82" s="1" t="s">
        <v>422</v>
      </c>
    </row>
    <row r="83" spans="1:13" ht="13.2">
      <c r="A83" s="1" t="s">
        <v>809</v>
      </c>
      <c r="B83" s="1"/>
      <c r="C83" s="1"/>
      <c r="D83" s="1"/>
      <c r="E83" s="1" t="s">
        <v>102</v>
      </c>
      <c r="F83" s="1" t="s">
        <v>1641</v>
      </c>
      <c r="G83" s="1" t="s">
        <v>1046</v>
      </c>
      <c r="H83" s="1"/>
      <c r="I83" s="1"/>
      <c r="J83" s="1" t="s">
        <v>1649</v>
      </c>
      <c r="K83" s="1"/>
      <c r="L83" s="8" t="s">
        <v>1607</v>
      </c>
      <c r="M83" s="1" t="s">
        <v>422</v>
      </c>
    </row>
    <row r="84" spans="1:13" ht="13.2">
      <c r="A84" s="1" t="s">
        <v>810</v>
      </c>
      <c r="B84" s="1"/>
      <c r="C84" s="1"/>
      <c r="D84" s="1"/>
      <c r="E84" s="1" t="s">
        <v>102</v>
      </c>
      <c r="F84" s="1" t="s">
        <v>1641</v>
      </c>
      <c r="G84" s="1" t="s">
        <v>1046</v>
      </c>
      <c r="H84" s="1"/>
      <c r="I84" s="1"/>
      <c r="J84" s="1" t="s">
        <v>1650</v>
      </c>
      <c r="K84" s="1"/>
      <c r="L84" s="8" t="s">
        <v>1607</v>
      </c>
      <c r="M84" s="1" t="s">
        <v>422</v>
      </c>
    </row>
    <row r="85" spans="1:13" ht="13.2">
      <c r="A85" s="1" t="s">
        <v>811</v>
      </c>
      <c r="B85" s="1"/>
      <c r="C85" s="1"/>
      <c r="D85" s="1"/>
      <c r="E85" s="1" t="s">
        <v>102</v>
      </c>
      <c r="F85" s="1" t="s">
        <v>1641</v>
      </c>
      <c r="G85" s="1" t="s">
        <v>1046</v>
      </c>
      <c r="H85" s="1"/>
      <c r="I85" s="1"/>
      <c r="J85" s="1" t="s">
        <v>1651</v>
      </c>
      <c r="K85" s="1"/>
      <c r="L85" s="8" t="s">
        <v>1607</v>
      </c>
      <c r="M85" s="1" t="s">
        <v>422</v>
      </c>
    </row>
    <row r="86" spans="1:13" ht="13.2">
      <c r="A86" s="1" t="s">
        <v>815</v>
      </c>
      <c r="B86" s="1"/>
      <c r="C86" s="1"/>
      <c r="D86" s="1"/>
      <c r="E86" s="1" t="s">
        <v>102</v>
      </c>
      <c r="F86" s="1" t="s">
        <v>1641</v>
      </c>
      <c r="G86" s="1" t="s">
        <v>1046</v>
      </c>
      <c r="H86" s="1"/>
      <c r="I86" s="1"/>
      <c r="J86" s="1" t="s">
        <v>1652</v>
      </c>
      <c r="K86" s="1"/>
      <c r="L86" s="8" t="s">
        <v>1607</v>
      </c>
      <c r="M86" s="1" t="s">
        <v>422</v>
      </c>
    </row>
    <row r="87" spans="1:13" ht="13.2">
      <c r="A87" s="1" t="s">
        <v>819</v>
      </c>
      <c r="B87" s="1"/>
      <c r="C87" s="1"/>
      <c r="D87" s="1"/>
      <c r="E87" s="1" t="s">
        <v>102</v>
      </c>
      <c r="F87" s="1" t="s">
        <v>1641</v>
      </c>
      <c r="G87" s="1" t="s">
        <v>1046</v>
      </c>
      <c r="H87" s="1"/>
      <c r="I87" s="1"/>
      <c r="J87" s="1" t="s">
        <v>1653</v>
      </c>
      <c r="K87" s="1"/>
      <c r="L87" s="8" t="s">
        <v>1607</v>
      </c>
      <c r="M87" s="1" t="s">
        <v>422</v>
      </c>
    </row>
    <row r="88" spans="1:13" ht="13.2">
      <c r="A88" s="1" t="s">
        <v>821</v>
      </c>
      <c r="B88" s="1"/>
      <c r="C88" s="1"/>
      <c r="D88" s="1"/>
      <c r="E88" s="1" t="s">
        <v>102</v>
      </c>
      <c r="F88" s="1" t="s">
        <v>1641</v>
      </c>
      <c r="G88" s="1" t="s">
        <v>1046</v>
      </c>
      <c r="H88" s="1"/>
      <c r="I88" s="1"/>
      <c r="J88" s="1" t="s">
        <v>1654</v>
      </c>
      <c r="K88" s="1"/>
      <c r="L88" s="8" t="s">
        <v>1607</v>
      </c>
      <c r="M88" s="1" t="s">
        <v>422</v>
      </c>
    </row>
    <row r="89" spans="1:13" ht="13.2">
      <c r="A89" s="1" t="s">
        <v>824</v>
      </c>
      <c r="B89" s="1"/>
      <c r="C89" s="1"/>
      <c r="D89" s="1"/>
      <c r="E89" s="1" t="s">
        <v>1045</v>
      </c>
      <c r="F89" s="1" t="s">
        <v>1046</v>
      </c>
      <c r="G89" s="1" t="s">
        <v>1655</v>
      </c>
      <c r="H89" s="1" t="s">
        <v>1046</v>
      </c>
      <c r="I89" s="1" t="s">
        <v>1046</v>
      </c>
      <c r="J89" s="1" t="s">
        <v>2030</v>
      </c>
      <c r="K89" s="1"/>
      <c r="L89" s="8" t="s">
        <v>1607</v>
      </c>
      <c r="M89" s="1" t="s">
        <v>422</v>
      </c>
    </row>
    <row r="90" spans="1:13" ht="13.2">
      <c r="A90" s="1" t="s">
        <v>761</v>
      </c>
      <c r="B90" s="1"/>
      <c r="C90" s="1"/>
      <c r="D90" s="1"/>
      <c r="E90" s="1" t="s">
        <v>1045</v>
      </c>
      <c r="F90" s="1" t="s">
        <v>1046</v>
      </c>
      <c r="G90" s="1" t="s">
        <v>1657</v>
      </c>
      <c r="H90" s="1" t="s">
        <v>1046</v>
      </c>
      <c r="I90" s="1" t="s">
        <v>1046</v>
      </c>
      <c r="J90" s="1" t="s">
        <v>1658</v>
      </c>
      <c r="K90" s="1"/>
      <c r="L90" s="8" t="s">
        <v>1607</v>
      </c>
      <c r="M90" s="1" t="s">
        <v>422</v>
      </c>
    </row>
    <row r="91" spans="1:13" ht="13.2">
      <c r="A91" s="1" t="s">
        <v>832</v>
      </c>
      <c r="B91" s="1"/>
      <c r="C91" s="1"/>
      <c r="D91" s="1"/>
      <c r="E91" s="1" t="s">
        <v>1045</v>
      </c>
      <c r="F91" s="1" t="s">
        <v>1046</v>
      </c>
      <c r="G91" s="1" t="s">
        <v>1659</v>
      </c>
      <c r="H91" s="1" t="s">
        <v>1046</v>
      </c>
      <c r="I91" s="1" t="s">
        <v>1046</v>
      </c>
      <c r="J91" s="1" t="s">
        <v>1660</v>
      </c>
      <c r="K91" s="1"/>
      <c r="L91" s="8" t="s">
        <v>1607</v>
      </c>
      <c r="M91" s="1" t="s">
        <v>422</v>
      </c>
    </row>
    <row r="92" spans="1:13" ht="13.2">
      <c r="A92" s="1" t="s">
        <v>751</v>
      </c>
      <c r="B92" s="1"/>
      <c r="C92" s="1"/>
      <c r="D92" s="1"/>
      <c r="E92" s="1" t="s">
        <v>1045</v>
      </c>
      <c r="F92" s="1" t="s">
        <v>1046</v>
      </c>
      <c r="G92" s="1" t="s">
        <v>1661</v>
      </c>
      <c r="H92" s="1" t="s">
        <v>1046</v>
      </c>
      <c r="I92" s="1" t="s">
        <v>1046</v>
      </c>
      <c r="J92" s="1" t="s">
        <v>1662</v>
      </c>
      <c r="K92" s="1"/>
      <c r="L92" s="8" t="s">
        <v>1607</v>
      </c>
      <c r="M92" s="1" t="s">
        <v>422</v>
      </c>
    </row>
    <row r="93" spans="1:13" ht="13.2">
      <c r="A93" s="1" t="s">
        <v>850</v>
      </c>
      <c r="B93" s="1"/>
      <c r="C93" s="1"/>
      <c r="D93" s="1"/>
      <c r="E93" s="1" t="s">
        <v>1045</v>
      </c>
      <c r="F93" s="1" t="s">
        <v>1046</v>
      </c>
      <c r="G93" s="1" t="s">
        <v>1633</v>
      </c>
      <c r="H93" s="1" t="s">
        <v>1046</v>
      </c>
      <c r="I93" s="1" t="s">
        <v>1046</v>
      </c>
      <c r="J93" s="1" t="s">
        <v>1663</v>
      </c>
      <c r="K93" s="1"/>
      <c r="L93" s="8" t="s">
        <v>1607</v>
      </c>
      <c r="M93" s="1" t="s">
        <v>422</v>
      </c>
    </row>
    <row r="94" spans="1:13" ht="13.2">
      <c r="A94" s="1" t="s">
        <v>854</v>
      </c>
      <c r="B94" s="1"/>
      <c r="C94" s="1"/>
      <c r="D94" s="1"/>
      <c r="E94" s="1" t="s">
        <v>1045</v>
      </c>
      <c r="F94" s="1" t="s">
        <v>1046</v>
      </c>
      <c r="G94" s="1" t="s">
        <v>1633</v>
      </c>
      <c r="H94" s="1" t="s">
        <v>1046</v>
      </c>
      <c r="I94" s="1" t="s">
        <v>1046</v>
      </c>
      <c r="J94" s="1" t="s">
        <v>1664</v>
      </c>
      <c r="K94" s="1"/>
      <c r="L94" s="8" t="s">
        <v>1607</v>
      </c>
      <c r="M94" s="1" t="s">
        <v>422</v>
      </c>
    </row>
    <row r="95" spans="1:13" ht="13.2">
      <c r="A95" s="1" t="s">
        <v>864</v>
      </c>
      <c r="B95" s="1"/>
      <c r="C95" s="1"/>
      <c r="D95" s="1"/>
      <c r="E95" s="1" t="s">
        <v>1045</v>
      </c>
      <c r="F95" s="1" t="s">
        <v>1046</v>
      </c>
      <c r="G95" s="1" t="s">
        <v>1633</v>
      </c>
      <c r="H95" s="1" t="s">
        <v>1046</v>
      </c>
      <c r="I95" s="1" t="s">
        <v>1046</v>
      </c>
      <c r="J95" s="1" t="s">
        <v>1665</v>
      </c>
      <c r="K95" s="1"/>
      <c r="L95" s="8" t="s">
        <v>1607</v>
      </c>
      <c r="M95" s="1" t="s">
        <v>422</v>
      </c>
    </row>
    <row r="96" spans="1:13" ht="13.2">
      <c r="A96" s="1" t="s">
        <v>865</v>
      </c>
      <c r="B96" s="1"/>
      <c r="C96" s="1"/>
      <c r="D96" s="1"/>
      <c r="E96" s="1" t="s">
        <v>1045</v>
      </c>
      <c r="F96" s="1" t="s">
        <v>1046</v>
      </c>
      <c r="G96" s="1" t="s">
        <v>1633</v>
      </c>
      <c r="H96" s="1" t="s">
        <v>1046</v>
      </c>
      <c r="I96" s="1" t="s">
        <v>1046</v>
      </c>
      <c r="J96" s="1" t="s">
        <v>1666</v>
      </c>
      <c r="K96" s="1"/>
      <c r="L96" s="8" t="s">
        <v>1607</v>
      </c>
      <c r="M96" s="1" t="s">
        <v>422</v>
      </c>
    </row>
    <row r="97" spans="1:13" ht="13.2">
      <c r="A97" s="1" t="s">
        <v>883</v>
      </c>
      <c r="B97" s="1"/>
      <c r="C97" s="1"/>
      <c r="D97" s="1"/>
      <c r="E97" s="1" t="s">
        <v>102</v>
      </c>
      <c r="F97" s="1" t="s">
        <v>1667</v>
      </c>
      <c r="G97" s="1" t="s">
        <v>1046</v>
      </c>
      <c r="H97" s="1"/>
      <c r="I97" s="1"/>
      <c r="J97" s="1" t="s">
        <v>1668</v>
      </c>
      <c r="K97" s="1"/>
      <c r="L97" s="8" t="s">
        <v>1607</v>
      </c>
      <c r="M97" s="1" t="s">
        <v>422</v>
      </c>
    </row>
    <row r="98" spans="1:13" ht="13.2">
      <c r="A98" s="1" t="s">
        <v>885</v>
      </c>
      <c r="B98" s="1"/>
      <c r="C98" s="1"/>
      <c r="D98" s="1"/>
      <c r="E98" s="1" t="s">
        <v>102</v>
      </c>
      <c r="F98" s="1" t="s">
        <v>1667</v>
      </c>
      <c r="G98" s="1" t="s">
        <v>1046</v>
      </c>
      <c r="H98" s="1"/>
      <c r="I98" s="1"/>
      <c r="J98" s="1" t="s">
        <v>1669</v>
      </c>
      <c r="K98" s="1"/>
      <c r="L98" s="8" t="s">
        <v>1607</v>
      </c>
      <c r="M98" s="1" t="s">
        <v>422</v>
      </c>
    </row>
    <row r="99" spans="1:13" ht="13.2">
      <c r="A99" s="1" t="s">
        <v>887</v>
      </c>
      <c r="B99" s="1"/>
      <c r="C99" s="1"/>
      <c r="D99" s="1"/>
      <c r="E99" s="1" t="s">
        <v>102</v>
      </c>
      <c r="F99" s="1" t="s">
        <v>1667</v>
      </c>
      <c r="G99" s="1" t="s">
        <v>1046</v>
      </c>
      <c r="H99" s="1"/>
      <c r="I99" s="1"/>
      <c r="J99" s="1" t="s">
        <v>1670</v>
      </c>
      <c r="K99" s="1"/>
      <c r="L99" s="8" t="s">
        <v>1607</v>
      </c>
      <c r="M99" s="1" t="s">
        <v>422</v>
      </c>
    </row>
    <row r="100" spans="1:13" ht="13.2">
      <c r="A100" s="1" t="s">
        <v>888</v>
      </c>
      <c r="B100" s="1"/>
      <c r="C100" s="1"/>
      <c r="D100" s="1"/>
      <c r="E100" s="1" t="s">
        <v>1045</v>
      </c>
      <c r="F100" s="1" t="s">
        <v>1046</v>
      </c>
      <c r="G100" s="1" t="s">
        <v>1633</v>
      </c>
      <c r="H100" s="1" t="s">
        <v>1046</v>
      </c>
      <c r="I100" s="1" t="s">
        <v>1046</v>
      </c>
      <c r="J100" s="1" t="s">
        <v>1671</v>
      </c>
      <c r="K100" s="1"/>
      <c r="L100" s="8" t="s">
        <v>1607</v>
      </c>
      <c r="M100" s="1" t="s">
        <v>422</v>
      </c>
    </row>
    <row r="101" spans="1:13" ht="13.2">
      <c r="A101" s="1" t="s">
        <v>889</v>
      </c>
      <c r="B101" s="1"/>
      <c r="C101" s="1"/>
      <c r="D101" s="1"/>
      <c r="E101" s="1" t="s">
        <v>1045</v>
      </c>
      <c r="F101" s="1" t="s">
        <v>1046</v>
      </c>
      <c r="G101" s="1" t="s">
        <v>1672</v>
      </c>
      <c r="H101" s="1" t="s">
        <v>1046</v>
      </c>
      <c r="I101" s="1" t="s">
        <v>1046</v>
      </c>
      <c r="J101" s="1" t="s">
        <v>1673</v>
      </c>
      <c r="K101" s="1"/>
      <c r="L101" s="8" t="s">
        <v>1607</v>
      </c>
      <c r="M101" s="1" t="s">
        <v>422</v>
      </c>
    </row>
    <row r="102" spans="1:13" ht="13.2">
      <c r="A102" s="1" t="s">
        <v>893</v>
      </c>
      <c r="B102" s="1"/>
      <c r="C102" s="1"/>
      <c r="D102" s="1"/>
      <c r="E102" s="1" t="s">
        <v>1045</v>
      </c>
      <c r="F102" s="1" t="s">
        <v>1046</v>
      </c>
      <c r="G102" s="1" t="s">
        <v>1633</v>
      </c>
      <c r="H102" s="1" t="s">
        <v>1046</v>
      </c>
      <c r="I102" s="1" t="s">
        <v>1046</v>
      </c>
      <c r="J102" s="1" t="s">
        <v>1674</v>
      </c>
      <c r="K102" s="1"/>
      <c r="L102" s="8" t="s">
        <v>1607</v>
      </c>
      <c r="M102" s="1" t="s">
        <v>422</v>
      </c>
    </row>
    <row r="103" spans="1:13" ht="13.2">
      <c r="A103" s="1" t="s">
        <v>894</v>
      </c>
      <c r="B103" s="1"/>
      <c r="C103" s="1"/>
      <c r="D103" s="1"/>
      <c r="E103" s="1" t="s">
        <v>1045</v>
      </c>
      <c r="F103" s="1" t="s">
        <v>1046</v>
      </c>
      <c r="G103" s="1" t="s">
        <v>1633</v>
      </c>
      <c r="H103" s="1" t="s">
        <v>1046</v>
      </c>
      <c r="I103" s="1" t="s">
        <v>1046</v>
      </c>
      <c r="J103" s="1" t="s">
        <v>1675</v>
      </c>
      <c r="K103" s="1"/>
      <c r="L103" s="8" t="s">
        <v>1607</v>
      </c>
      <c r="M103" s="1" t="s">
        <v>422</v>
      </c>
    </row>
    <row r="104" spans="1:13" ht="13.2">
      <c r="A104" s="1" t="s">
        <v>2031</v>
      </c>
      <c r="B104" s="1"/>
      <c r="C104" s="1"/>
      <c r="D104" s="1"/>
      <c r="E104" s="1" t="s">
        <v>1045</v>
      </c>
      <c r="F104" s="1" t="s">
        <v>1046</v>
      </c>
      <c r="G104" s="1" t="s">
        <v>1677</v>
      </c>
      <c r="H104" s="1" t="s">
        <v>1046</v>
      </c>
      <c r="I104" s="1" t="s">
        <v>1046</v>
      </c>
      <c r="J104" s="1" t="s">
        <v>1678</v>
      </c>
      <c r="K104" s="1"/>
      <c r="L104" s="8" t="s">
        <v>1607</v>
      </c>
      <c r="M104" s="1" t="s">
        <v>422</v>
      </c>
    </row>
    <row r="105" spans="1:13" ht="13.2">
      <c r="A105" s="1" t="s">
        <v>2032</v>
      </c>
      <c r="B105" s="1"/>
      <c r="C105" s="1"/>
      <c r="D105" s="1"/>
      <c r="E105" s="1" t="s">
        <v>102</v>
      </c>
      <c r="F105" s="1" t="s">
        <v>1046</v>
      </c>
      <c r="G105" s="1" t="s">
        <v>1046</v>
      </c>
      <c r="H105" s="1">
        <v>1</v>
      </c>
      <c r="I105" s="1">
        <v>9</v>
      </c>
      <c r="J105" s="1" t="s">
        <v>1680</v>
      </c>
      <c r="K105" s="1"/>
      <c r="L105" s="8" t="s">
        <v>1607</v>
      </c>
      <c r="M105" s="1" t="s">
        <v>422</v>
      </c>
    </row>
    <row r="106" spans="1:13" ht="13.2">
      <c r="A106" s="1" t="s">
        <v>501</v>
      </c>
      <c r="B106" s="1"/>
      <c r="C106" s="1"/>
      <c r="D106" s="1"/>
      <c r="E106" s="1" t="s">
        <v>1045</v>
      </c>
      <c r="F106" s="1" t="s">
        <v>1046</v>
      </c>
      <c r="G106" s="1" t="s">
        <v>1923</v>
      </c>
      <c r="H106" s="1" t="s">
        <v>1046</v>
      </c>
      <c r="I106" s="1" t="s">
        <v>1046</v>
      </c>
      <c r="J106" s="1" t="s">
        <v>1924</v>
      </c>
      <c r="K106" s="1"/>
      <c r="L106" s="8" t="s">
        <v>1925</v>
      </c>
      <c r="M106" s="1" t="s">
        <v>423</v>
      </c>
    </row>
    <row r="107" spans="1:13" ht="13.2">
      <c r="A107" s="1" t="s">
        <v>489</v>
      </c>
      <c r="B107" s="1"/>
      <c r="C107" s="1"/>
      <c r="D107" s="1"/>
      <c r="E107" s="1" t="s">
        <v>102</v>
      </c>
      <c r="F107" s="1" t="s">
        <v>1407</v>
      </c>
      <c r="G107" s="1" t="s">
        <v>1046</v>
      </c>
      <c r="H107" s="1"/>
      <c r="I107" s="1"/>
      <c r="J107" s="1" t="s">
        <v>1926</v>
      </c>
      <c r="K107" s="1"/>
      <c r="L107" s="8" t="s">
        <v>1925</v>
      </c>
      <c r="M107" s="1" t="s">
        <v>423</v>
      </c>
    </row>
    <row r="108" spans="1:13" ht="13.2">
      <c r="A108" s="1" t="s">
        <v>614</v>
      </c>
      <c r="B108" s="1"/>
      <c r="C108" s="1"/>
      <c r="D108" s="1"/>
      <c r="E108" s="1" t="s">
        <v>102</v>
      </c>
      <c r="F108" s="1" t="s">
        <v>1407</v>
      </c>
      <c r="G108" s="1" t="s">
        <v>1046</v>
      </c>
      <c r="H108" s="1"/>
      <c r="I108" s="1"/>
      <c r="J108" s="1" t="s">
        <v>1927</v>
      </c>
      <c r="K108" s="1"/>
      <c r="L108" s="8" t="s">
        <v>1925</v>
      </c>
      <c r="M108" s="1" t="s">
        <v>423</v>
      </c>
    </row>
    <row r="109" spans="1:13" ht="13.2">
      <c r="A109" s="1" t="s">
        <v>494</v>
      </c>
      <c r="B109" s="1"/>
      <c r="C109" s="1"/>
      <c r="D109" s="1"/>
      <c r="E109" s="1" t="s">
        <v>102</v>
      </c>
      <c r="F109" s="1" t="s">
        <v>1407</v>
      </c>
      <c r="G109" s="1" t="s">
        <v>1046</v>
      </c>
      <c r="H109" s="1"/>
      <c r="I109" s="1"/>
      <c r="J109" s="1" t="s">
        <v>1928</v>
      </c>
      <c r="K109" s="1"/>
      <c r="L109" s="8" t="s">
        <v>1925</v>
      </c>
      <c r="M109" s="1" t="s">
        <v>423</v>
      </c>
    </row>
    <row r="110" spans="1:13" ht="13.2">
      <c r="A110" s="1" t="s">
        <v>544</v>
      </c>
      <c r="B110" s="1"/>
      <c r="C110" s="1"/>
      <c r="D110" s="1"/>
      <c r="E110" s="1" t="s">
        <v>102</v>
      </c>
      <c r="F110" s="1" t="s">
        <v>1407</v>
      </c>
      <c r="G110" s="1" t="s">
        <v>1046</v>
      </c>
      <c r="H110" s="1"/>
      <c r="I110" s="1"/>
      <c r="J110" s="1" t="s">
        <v>1929</v>
      </c>
      <c r="K110" s="1"/>
      <c r="L110" s="8" t="s">
        <v>1925</v>
      </c>
      <c r="M110" s="1" t="s">
        <v>423</v>
      </c>
    </row>
    <row r="111" spans="1:13" ht="13.2">
      <c r="A111" s="1" t="s">
        <v>483</v>
      </c>
      <c r="B111" s="1"/>
      <c r="C111" s="1"/>
      <c r="D111" s="1"/>
      <c r="E111" s="1" t="s">
        <v>102</v>
      </c>
      <c r="F111" s="1" t="s">
        <v>1407</v>
      </c>
      <c r="G111" s="1" t="s">
        <v>1046</v>
      </c>
      <c r="H111" s="1"/>
      <c r="I111" s="1"/>
      <c r="J111" s="1" t="s">
        <v>1930</v>
      </c>
      <c r="K111" s="1"/>
      <c r="L111" s="8" t="s">
        <v>1925</v>
      </c>
      <c r="M111" s="1" t="s">
        <v>423</v>
      </c>
    </row>
    <row r="112" spans="1:13" ht="13.2">
      <c r="A112" s="1" t="s">
        <v>532</v>
      </c>
      <c r="B112" s="1"/>
      <c r="C112" s="1"/>
      <c r="D112" s="1"/>
      <c r="E112" s="1" t="s">
        <v>102</v>
      </c>
      <c r="F112" s="1" t="s">
        <v>1407</v>
      </c>
      <c r="G112" s="1" t="s">
        <v>1046</v>
      </c>
      <c r="H112" s="1"/>
      <c r="I112" s="1"/>
      <c r="J112" s="1" t="s">
        <v>1931</v>
      </c>
      <c r="K112" s="1"/>
      <c r="L112" s="8" t="s">
        <v>1925</v>
      </c>
      <c r="M112" s="1" t="s">
        <v>423</v>
      </c>
    </row>
    <row r="113" spans="1:13" ht="13.2">
      <c r="A113" s="1" t="s">
        <v>533</v>
      </c>
      <c r="B113" s="1"/>
      <c r="C113" s="1"/>
      <c r="D113" s="1"/>
      <c r="E113" s="1" t="s">
        <v>102</v>
      </c>
      <c r="F113" s="1" t="s">
        <v>1932</v>
      </c>
      <c r="G113" s="1" t="s">
        <v>1046</v>
      </c>
      <c r="H113" s="1"/>
      <c r="I113" s="1"/>
      <c r="J113" s="1" t="s">
        <v>1933</v>
      </c>
      <c r="K113" s="1"/>
      <c r="L113" s="8" t="s">
        <v>1925</v>
      </c>
      <c r="M113" s="1" t="s">
        <v>423</v>
      </c>
    </row>
    <row r="114" spans="1:13" ht="13.2">
      <c r="A114" s="1" t="s">
        <v>530</v>
      </c>
      <c r="B114" s="1"/>
      <c r="C114" s="1"/>
      <c r="D114" s="1"/>
      <c r="E114" s="1" t="s">
        <v>102</v>
      </c>
      <c r="F114" s="1" t="s">
        <v>1407</v>
      </c>
      <c r="G114" s="1" t="s">
        <v>1046</v>
      </c>
      <c r="H114" s="1"/>
      <c r="I114" s="1"/>
      <c r="J114" s="1" t="s">
        <v>1934</v>
      </c>
      <c r="K114" s="1"/>
      <c r="L114" s="8" t="s">
        <v>1925</v>
      </c>
      <c r="M114" s="1" t="s">
        <v>423</v>
      </c>
    </row>
    <row r="115" spans="1:13" ht="13.2">
      <c r="A115" s="1" t="s">
        <v>519</v>
      </c>
      <c r="B115" s="1"/>
      <c r="C115" s="1"/>
      <c r="D115" s="1"/>
      <c r="E115" s="1" t="s">
        <v>102</v>
      </c>
      <c r="F115" s="1" t="s">
        <v>1046</v>
      </c>
      <c r="G115" s="1" t="s">
        <v>1046</v>
      </c>
      <c r="H115" s="1"/>
      <c r="I115" s="1"/>
      <c r="J115" s="1" t="s">
        <v>1935</v>
      </c>
      <c r="K115" s="1"/>
      <c r="L115" s="8" t="s">
        <v>1925</v>
      </c>
      <c r="M115" s="1" t="s">
        <v>423</v>
      </c>
    </row>
    <row r="116" spans="1:13" ht="13.2">
      <c r="A116" s="1" t="s">
        <v>508</v>
      </c>
      <c r="B116" s="1"/>
      <c r="C116" s="1"/>
      <c r="D116" s="1"/>
      <c r="E116" s="1" t="s">
        <v>102</v>
      </c>
      <c r="F116" s="1" t="s">
        <v>1936</v>
      </c>
      <c r="G116" s="1" t="s">
        <v>1046</v>
      </c>
      <c r="H116" s="1"/>
      <c r="I116" s="1"/>
      <c r="J116" s="1" t="s">
        <v>1937</v>
      </c>
      <c r="K116" s="1"/>
      <c r="L116" s="8" t="s">
        <v>1925</v>
      </c>
      <c r="M116" s="1" t="s">
        <v>423</v>
      </c>
    </row>
    <row r="117" spans="1:13" ht="13.2">
      <c r="A117" s="1" t="s">
        <v>828</v>
      </c>
      <c r="B117" s="1"/>
      <c r="C117" s="1"/>
      <c r="D117" s="1"/>
      <c r="E117" s="1" t="s">
        <v>98</v>
      </c>
      <c r="F117" s="1" t="s">
        <v>1046</v>
      </c>
      <c r="G117" s="1" t="s">
        <v>1938</v>
      </c>
      <c r="H117" s="1" t="s">
        <v>1046</v>
      </c>
      <c r="I117" s="1" t="s">
        <v>1046</v>
      </c>
      <c r="J117" s="1" t="s">
        <v>1939</v>
      </c>
      <c r="K117" s="1"/>
      <c r="L117" s="8" t="s">
        <v>1925</v>
      </c>
      <c r="M117" s="1" t="s">
        <v>423</v>
      </c>
    </row>
    <row r="118" spans="1:13" ht="13.2">
      <c r="A118" s="1" t="s">
        <v>829</v>
      </c>
      <c r="B118" s="1"/>
      <c r="C118" s="1"/>
      <c r="D118" s="1"/>
      <c r="E118" s="1" t="s">
        <v>102</v>
      </c>
      <c r="F118" s="1" t="s">
        <v>1046</v>
      </c>
      <c r="G118" s="1" t="s">
        <v>1046</v>
      </c>
      <c r="H118" s="1"/>
      <c r="I118" s="1"/>
      <c r="J118" s="1" t="s">
        <v>1940</v>
      </c>
      <c r="K118" s="1"/>
      <c r="L118" s="8" t="s">
        <v>1925</v>
      </c>
      <c r="M118" s="1" t="s">
        <v>423</v>
      </c>
    </row>
    <row r="119" spans="1:13" ht="13.2">
      <c r="A119" s="1" t="s">
        <v>464</v>
      </c>
      <c r="B119" s="1"/>
      <c r="C119" s="1"/>
      <c r="D119" s="1"/>
      <c r="E119" s="1" t="s">
        <v>102</v>
      </c>
      <c r="F119" s="1" t="s">
        <v>1136</v>
      </c>
      <c r="G119" s="1" t="s">
        <v>1046</v>
      </c>
      <c r="H119" s="1"/>
      <c r="I119" s="1"/>
      <c r="J119" s="1" t="s">
        <v>1941</v>
      </c>
      <c r="K119" s="1"/>
      <c r="L119" s="8" t="s">
        <v>1925</v>
      </c>
      <c r="M119" s="1" t="s">
        <v>423</v>
      </c>
    </row>
    <row r="120" spans="1:13" ht="13.2">
      <c r="A120" s="1" t="s">
        <v>642</v>
      </c>
      <c r="B120" s="1"/>
      <c r="C120" s="1"/>
      <c r="D120" s="1"/>
      <c r="E120" s="1" t="s">
        <v>102</v>
      </c>
      <c r="F120" s="1" t="s">
        <v>1136</v>
      </c>
      <c r="G120" s="1" t="s">
        <v>1046</v>
      </c>
      <c r="H120" s="1"/>
      <c r="I120" s="1"/>
      <c r="J120" s="1" t="s">
        <v>1942</v>
      </c>
      <c r="K120" s="1"/>
      <c r="L120" s="8" t="s">
        <v>1925</v>
      </c>
      <c r="M120" s="1" t="s">
        <v>423</v>
      </c>
    </row>
    <row r="121" spans="1:13" ht="13.2">
      <c r="A121" s="1" t="s">
        <v>644</v>
      </c>
      <c r="B121" s="1"/>
      <c r="C121" s="1"/>
      <c r="D121" s="1"/>
      <c r="E121" s="1" t="s">
        <v>102</v>
      </c>
      <c r="F121" s="1" t="s">
        <v>1407</v>
      </c>
      <c r="G121" s="1" t="s">
        <v>1046</v>
      </c>
      <c r="H121" s="1"/>
      <c r="I121" s="1"/>
      <c r="J121" s="1" t="s">
        <v>1943</v>
      </c>
      <c r="K121" s="1"/>
      <c r="L121" s="8" t="s">
        <v>1925</v>
      </c>
      <c r="M121" s="1" t="s">
        <v>423</v>
      </c>
    </row>
    <row r="122" spans="1:13" ht="13.2">
      <c r="A122" s="1" t="s">
        <v>651</v>
      </c>
      <c r="B122" s="1"/>
      <c r="C122" s="1"/>
      <c r="D122" s="1"/>
      <c r="E122" s="1" t="s">
        <v>102</v>
      </c>
      <c r="F122" s="1" t="s">
        <v>1136</v>
      </c>
      <c r="G122" s="1" t="s">
        <v>1046</v>
      </c>
      <c r="H122" s="1"/>
      <c r="I122" s="1"/>
      <c r="J122" s="1" t="s">
        <v>1944</v>
      </c>
      <c r="K122" s="1"/>
      <c r="L122" s="8" t="s">
        <v>1925</v>
      </c>
      <c r="M122" s="1" t="s">
        <v>423</v>
      </c>
    </row>
    <row r="123" spans="1:13" ht="13.2">
      <c r="A123" s="1" t="s">
        <v>653</v>
      </c>
      <c r="B123" s="1"/>
      <c r="C123" s="1"/>
      <c r="D123" s="1"/>
      <c r="E123" s="1" t="s">
        <v>102</v>
      </c>
      <c r="F123" s="1" t="s">
        <v>1407</v>
      </c>
      <c r="G123" s="1" t="s">
        <v>1046</v>
      </c>
      <c r="H123" s="1"/>
      <c r="I123" s="1"/>
      <c r="J123" s="1" t="s">
        <v>1945</v>
      </c>
      <c r="K123" s="1"/>
      <c r="L123" s="8" t="s">
        <v>1925</v>
      </c>
      <c r="M123" s="1" t="s">
        <v>423</v>
      </c>
    </row>
    <row r="124" spans="1:13" ht="13.2">
      <c r="A124" s="1" t="s">
        <v>690</v>
      </c>
      <c r="B124" s="1"/>
      <c r="C124" s="1"/>
      <c r="D124" s="1"/>
      <c r="E124" s="1" t="s">
        <v>1045</v>
      </c>
      <c r="F124" s="1" t="s">
        <v>1046</v>
      </c>
      <c r="G124" s="1" t="s">
        <v>1923</v>
      </c>
      <c r="H124" s="1" t="s">
        <v>1046</v>
      </c>
      <c r="I124" s="1" t="s">
        <v>1046</v>
      </c>
      <c r="J124" s="1" t="s">
        <v>1946</v>
      </c>
      <c r="K124" s="1"/>
      <c r="L124" s="8" t="s">
        <v>1925</v>
      </c>
      <c r="M124" s="1" t="s">
        <v>423</v>
      </c>
    </row>
    <row r="125" spans="1:13" ht="13.2">
      <c r="A125" s="1" t="s">
        <v>691</v>
      </c>
      <c r="B125" s="1"/>
      <c r="C125" s="1"/>
      <c r="D125" s="1"/>
      <c r="E125" s="1" t="s">
        <v>1045</v>
      </c>
      <c r="F125" s="1" t="s">
        <v>1046</v>
      </c>
      <c r="G125" s="1" t="s">
        <v>1923</v>
      </c>
      <c r="H125" s="1" t="s">
        <v>1046</v>
      </c>
      <c r="I125" s="1" t="s">
        <v>1046</v>
      </c>
      <c r="J125" s="1" t="s">
        <v>1946</v>
      </c>
      <c r="K125" s="1"/>
      <c r="L125" s="8" t="s">
        <v>1925</v>
      </c>
      <c r="M125" s="1" t="s">
        <v>423</v>
      </c>
    </row>
    <row r="126" spans="1:13" ht="13.2">
      <c r="A126" s="1" t="s">
        <v>692</v>
      </c>
      <c r="B126" s="1"/>
      <c r="C126" s="1"/>
      <c r="D126" s="1"/>
      <c r="E126" s="1" t="s">
        <v>1045</v>
      </c>
      <c r="F126" s="1" t="s">
        <v>1046</v>
      </c>
      <c r="G126" s="1" t="s">
        <v>1923</v>
      </c>
      <c r="H126" s="1" t="s">
        <v>1046</v>
      </c>
      <c r="I126" s="1" t="s">
        <v>1046</v>
      </c>
      <c r="J126" s="1" t="s">
        <v>1946</v>
      </c>
      <c r="K126" s="1"/>
      <c r="L126" s="8" t="s">
        <v>1925</v>
      </c>
      <c r="M126" s="1" t="s">
        <v>423</v>
      </c>
    </row>
    <row r="127" spans="1:13" ht="13.2">
      <c r="A127" s="1" t="s">
        <v>693</v>
      </c>
      <c r="B127" s="1"/>
      <c r="C127" s="1"/>
      <c r="D127" s="1"/>
      <c r="E127" s="1" t="s">
        <v>1045</v>
      </c>
      <c r="F127" s="1" t="s">
        <v>1046</v>
      </c>
      <c r="G127" s="1" t="s">
        <v>1923</v>
      </c>
      <c r="H127" s="1" t="s">
        <v>1046</v>
      </c>
      <c r="I127" s="1" t="s">
        <v>1046</v>
      </c>
      <c r="J127" s="1" t="s">
        <v>1946</v>
      </c>
      <c r="K127" s="1"/>
      <c r="L127" s="8" t="s">
        <v>1925</v>
      </c>
      <c r="M127" s="1" t="s">
        <v>423</v>
      </c>
    </row>
    <row r="128" spans="1:13" ht="13.2">
      <c r="A128" s="1" t="s">
        <v>679</v>
      </c>
      <c r="B128" s="1"/>
      <c r="C128" s="1"/>
      <c r="D128" s="1"/>
      <c r="E128" s="1" t="s">
        <v>102</v>
      </c>
      <c r="F128" s="1" t="s">
        <v>1611</v>
      </c>
      <c r="G128" s="1" t="s">
        <v>1046</v>
      </c>
      <c r="H128" s="1"/>
      <c r="I128" s="1"/>
      <c r="J128" s="1" t="s">
        <v>1947</v>
      </c>
      <c r="K128" s="1"/>
      <c r="L128" s="8" t="s">
        <v>1925</v>
      </c>
      <c r="M128" s="1" t="s">
        <v>423</v>
      </c>
    </row>
    <row r="129" spans="1:13" ht="13.2">
      <c r="A129" s="1" t="s">
        <v>660</v>
      </c>
      <c r="B129" s="1"/>
      <c r="C129" s="1"/>
      <c r="D129" s="1"/>
      <c r="E129" s="1" t="s">
        <v>102</v>
      </c>
      <c r="F129" s="1" t="s">
        <v>1611</v>
      </c>
      <c r="G129" s="1" t="s">
        <v>1046</v>
      </c>
      <c r="H129" s="1"/>
      <c r="I129" s="1"/>
      <c r="J129" s="1" t="s">
        <v>1948</v>
      </c>
      <c r="K129" s="1"/>
      <c r="L129" s="8" t="s">
        <v>1925</v>
      </c>
      <c r="M129" s="1" t="s">
        <v>423</v>
      </c>
    </row>
    <row r="130" spans="1:13" ht="13.2">
      <c r="A130" s="1" t="s">
        <v>666</v>
      </c>
      <c r="B130" s="1"/>
      <c r="C130" s="1"/>
      <c r="D130" s="1"/>
      <c r="E130" s="1" t="s">
        <v>1949</v>
      </c>
      <c r="F130" s="1" t="s">
        <v>1046</v>
      </c>
      <c r="G130" s="1" t="s">
        <v>1923</v>
      </c>
      <c r="H130" s="1" t="s">
        <v>1046</v>
      </c>
      <c r="I130" s="1" t="s">
        <v>1046</v>
      </c>
      <c r="J130" s="1" t="s">
        <v>1950</v>
      </c>
      <c r="K130" s="1"/>
      <c r="L130" s="8" t="s">
        <v>1925</v>
      </c>
      <c r="M130" s="1" t="s">
        <v>423</v>
      </c>
    </row>
    <row r="131" spans="1:13" ht="13.2">
      <c r="A131" s="1" t="s">
        <v>667</v>
      </c>
      <c r="B131" s="1"/>
      <c r="C131" s="1"/>
      <c r="D131" s="1"/>
      <c r="E131" s="1" t="s">
        <v>1949</v>
      </c>
      <c r="F131" s="1" t="s">
        <v>1046</v>
      </c>
      <c r="G131" s="1" t="s">
        <v>1923</v>
      </c>
      <c r="H131" s="1" t="s">
        <v>1046</v>
      </c>
      <c r="I131" s="1" t="s">
        <v>1046</v>
      </c>
      <c r="J131" s="1" t="s">
        <v>1951</v>
      </c>
      <c r="K131" s="1"/>
      <c r="L131" s="8" t="s">
        <v>1925</v>
      </c>
      <c r="M131" s="1" t="s">
        <v>423</v>
      </c>
    </row>
    <row r="132" spans="1:13" ht="13.2">
      <c r="A132" s="1" t="s">
        <v>668</v>
      </c>
      <c r="B132" s="1"/>
      <c r="C132" s="1"/>
      <c r="D132" s="1"/>
      <c r="E132" s="1" t="s">
        <v>1045</v>
      </c>
      <c r="F132" s="1" t="s">
        <v>1046</v>
      </c>
      <c r="G132" s="1" t="s">
        <v>1923</v>
      </c>
      <c r="H132" s="1" t="s">
        <v>1046</v>
      </c>
      <c r="I132" s="1" t="s">
        <v>1046</v>
      </c>
      <c r="J132" s="1" t="s">
        <v>1952</v>
      </c>
      <c r="K132" s="1"/>
      <c r="L132" s="8" t="s">
        <v>1925</v>
      </c>
      <c r="M132" s="1" t="s">
        <v>423</v>
      </c>
    </row>
    <row r="133" spans="1:13" ht="13.2">
      <c r="A133" s="1" t="s">
        <v>637</v>
      </c>
      <c r="B133" s="1"/>
      <c r="C133" s="1"/>
      <c r="D133" s="1"/>
      <c r="E133" s="1" t="s">
        <v>102</v>
      </c>
      <c r="F133" s="1" t="s">
        <v>1953</v>
      </c>
      <c r="G133" s="1" t="s">
        <v>1046</v>
      </c>
      <c r="H133" s="1"/>
      <c r="I133" s="1"/>
      <c r="J133" s="1" t="s">
        <v>1954</v>
      </c>
      <c r="K133" s="1"/>
      <c r="L133" s="8" t="s">
        <v>1925</v>
      </c>
      <c r="M133" s="1" t="s">
        <v>423</v>
      </c>
    </row>
    <row r="134" spans="1:13" ht="13.2">
      <c r="A134" s="1" t="s">
        <v>634</v>
      </c>
      <c r="B134" s="1"/>
      <c r="C134" s="1"/>
      <c r="D134" s="1"/>
      <c r="E134" s="1" t="s">
        <v>102</v>
      </c>
      <c r="F134" s="1" t="s">
        <v>1611</v>
      </c>
      <c r="G134" s="1" t="s">
        <v>1046</v>
      </c>
      <c r="H134" s="1"/>
      <c r="I134" s="1"/>
      <c r="J134" s="1" t="s">
        <v>1955</v>
      </c>
      <c r="K134" s="1"/>
      <c r="L134" s="8" t="s">
        <v>1925</v>
      </c>
      <c r="M134" s="1" t="s">
        <v>423</v>
      </c>
    </row>
    <row r="135" spans="1:13" ht="13.2">
      <c r="A135" s="1" t="s">
        <v>639</v>
      </c>
      <c r="B135" s="1"/>
      <c r="C135" s="1"/>
      <c r="D135" s="1"/>
      <c r="E135" s="1" t="s">
        <v>102</v>
      </c>
      <c r="F135" s="1" t="s">
        <v>1611</v>
      </c>
      <c r="G135" s="1" t="s">
        <v>1046</v>
      </c>
      <c r="H135" s="1"/>
      <c r="I135" s="1"/>
      <c r="J135" s="1" t="s">
        <v>1956</v>
      </c>
      <c r="K135" s="1"/>
      <c r="L135" s="8" t="s">
        <v>1925</v>
      </c>
      <c r="M135" s="1" t="s">
        <v>423</v>
      </c>
    </row>
    <row r="136" spans="1:13" ht="13.2">
      <c r="A136" s="1" t="s">
        <v>647</v>
      </c>
      <c r="B136" s="1"/>
      <c r="C136" s="1"/>
      <c r="D136" s="1"/>
      <c r="E136" s="1" t="s">
        <v>102</v>
      </c>
      <c r="F136" s="1" t="s">
        <v>1611</v>
      </c>
      <c r="G136" s="1" t="s">
        <v>1046</v>
      </c>
      <c r="H136" s="1"/>
      <c r="I136" s="1"/>
      <c r="J136" s="1" t="s">
        <v>1957</v>
      </c>
      <c r="K136" s="1"/>
      <c r="L136" s="8" t="s">
        <v>1925</v>
      </c>
      <c r="M136" s="1" t="s">
        <v>423</v>
      </c>
    </row>
    <row r="137" spans="1:13" ht="13.2">
      <c r="A137" s="1" t="s">
        <v>626</v>
      </c>
      <c r="B137" s="1"/>
      <c r="C137" s="1"/>
      <c r="D137" s="1"/>
      <c r="E137" s="1" t="s">
        <v>102</v>
      </c>
      <c r="F137" s="1" t="s">
        <v>1046</v>
      </c>
      <c r="G137" s="1" t="s">
        <v>1046</v>
      </c>
      <c r="H137" s="1"/>
      <c r="I137" s="1"/>
      <c r="J137" s="1" t="s">
        <v>1958</v>
      </c>
      <c r="K137" s="1"/>
      <c r="L137" s="8" t="s">
        <v>1925</v>
      </c>
      <c r="M137" s="1" t="s">
        <v>423</v>
      </c>
    </row>
    <row r="138" spans="1:13" ht="13.2">
      <c r="A138" s="1" t="s">
        <v>623</v>
      </c>
      <c r="B138" s="1"/>
      <c r="C138" s="1"/>
      <c r="D138" s="1"/>
      <c r="E138" s="1" t="s">
        <v>102</v>
      </c>
      <c r="F138" s="1" t="s">
        <v>1046</v>
      </c>
      <c r="G138" s="1" t="s">
        <v>1046</v>
      </c>
      <c r="H138" s="1"/>
      <c r="I138" s="1"/>
      <c r="J138" s="1" t="s">
        <v>1623</v>
      </c>
      <c r="K138" s="1"/>
      <c r="L138" s="8" t="s">
        <v>1925</v>
      </c>
      <c r="M138" s="1" t="s">
        <v>423</v>
      </c>
    </row>
    <row r="139" spans="1:13" ht="13.2">
      <c r="A139" s="1" t="s">
        <v>662</v>
      </c>
      <c r="B139" s="1"/>
      <c r="C139" s="1"/>
      <c r="D139" s="1"/>
      <c r="E139" s="1" t="s">
        <v>102</v>
      </c>
      <c r="F139" s="1" t="s">
        <v>1611</v>
      </c>
      <c r="G139" s="1" t="s">
        <v>1046</v>
      </c>
      <c r="H139" s="1"/>
      <c r="I139" s="1"/>
      <c r="J139" s="1" t="s">
        <v>1959</v>
      </c>
      <c r="K139" s="1"/>
      <c r="L139" s="8" t="s">
        <v>1925</v>
      </c>
      <c r="M139" s="1" t="s">
        <v>423</v>
      </c>
    </row>
    <row r="140" spans="1:13" ht="13.2">
      <c r="A140" s="1" t="s">
        <v>658</v>
      </c>
      <c r="B140" s="1"/>
      <c r="C140" s="1"/>
      <c r="D140" s="1"/>
      <c r="E140" s="1" t="s">
        <v>1949</v>
      </c>
      <c r="F140" s="1" t="s">
        <v>1046</v>
      </c>
      <c r="G140" s="1" t="s">
        <v>1923</v>
      </c>
      <c r="H140" s="1" t="s">
        <v>1046</v>
      </c>
      <c r="I140" s="1" t="s">
        <v>1046</v>
      </c>
      <c r="J140" s="1" t="s">
        <v>1960</v>
      </c>
      <c r="K140" s="1"/>
      <c r="L140" s="8" t="s">
        <v>1925</v>
      </c>
      <c r="M140" s="1" t="s">
        <v>423</v>
      </c>
    </row>
    <row r="141" spans="1:13" ht="13.2">
      <c r="A141" s="1" t="s">
        <v>1961</v>
      </c>
      <c r="B141" s="1"/>
      <c r="C141" s="1"/>
      <c r="D141" s="1"/>
      <c r="E141" s="1" t="s">
        <v>1949</v>
      </c>
      <c r="F141" s="1" t="s">
        <v>1046</v>
      </c>
      <c r="G141" s="1" t="s">
        <v>1923</v>
      </c>
      <c r="H141" s="1" t="s">
        <v>1046</v>
      </c>
      <c r="I141" s="1" t="s">
        <v>1046</v>
      </c>
      <c r="J141" s="1" t="s">
        <v>1962</v>
      </c>
      <c r="K141" s="1"/>
      <c r="L141" s="8" t="s">
        <v>1925</v>
      </c>
      <c r="M141" s="1" t="s">
        <v>423</v>
      </c>
    </row>
    <row r="142" spans="1:13" ht="13.2">
      <c r="A142" s="1" t="s">
        <v>951</v>
      </c>
      <c r="B142" s="1"/>
      <c r="C142" s="1"/>
      <c r="D142" s="1"/>
      <c r="E142" s="1" t="s">
        <v>102</v>
      </c>
      <c r="F142" s="1" t="s">
        <v>1963</v>
      </c>
      <c r="G142" s="1" t="s">
        <v>1046</v>
      </c>
      <c r="H142" s="1"/>
      <c r="I142" s="1"/>
      <c r="J142" s="1" t="s">
        <v>1964</v>
      </c>
      <c r="K142" s="1"/>
      <c r="L142" s="8" t="s">
        <v>1925</v>
      </c>
      <c r="M142" s="1" t="s">
        <v>423</v>
      </c>
    </row>
    <row r="143" spans="1:13" ht="13.2">
      <c r="A143" s="1" t="s">
        <v>674</v>
      </c>
      <c r="B143" s="1"/>
      <c r="C143" s="1"/>
      <c r="D143" s="1"/>
      <c r="E143" s="1" t="s">
        <v>102</v>
      </c>
      <c r="F143" s="1" t="s">
        <v>1569</v>
      </c>
      <c r="G143" s="1" t="s">
        <v>1046</v>
      </c>
      <c r="H143" s="1"/>
      <c r="I143" s="1"/>
      <c r="J143" s="1" t="s">
        <v>1965</v>
      </c>
      <c r="K143" s="1"/>
      <c r="L143" s="8" t="s">
        <v>1925</v>
      </c>
      <c r="M143" s="1" t="s">
        <v>423</v>
      </c>
    </row>
    <row r="144" spans="1:13" ht="13.2">
      <c r="A144" s="1" t="s">
        <v>675</v>
      </c>
      <c r="B144" s="1"/>
      <c r="C144" s="1"/>
      <c r="D144" s="1"/>
      <c r="E144" s="1" t="s">
        <v>102</v>
      </c>
      <c r="F144" s="1" t="s">
        <v>1569</v>
      </c>
      <c r="G144" s="1" t="s">
        <v>1046</v>
      </c>
      <c r="H144" s="1"/>
      <c r="I144" s="1"/>
      <c r="J144" s="1" t="s">
        <v>1966</v>
      </c>
      <c r="K144" s="1"/>
      <c r="L144" s="8" t="s">
        <v>1925</v>
      </c>
      <c r="M144" s="1" t="s">
        <v>423</v>
      </c>
    </row>
    <row r="145" spans="1:13" ht="13.2">
      <c r="A145" s="1" t="s">
        <v>871</v>
      </c>
      <c r="B145" s="1"/>
      <c r="C145" s="1"/>
      <c r="D145" s="1"/>
      <c r="E145" s="1" t="s">
        <v>102</v>
      </c>
      <c r="F145" s="1" t="s">
        <v>1967</v>
      </c>
      <c r="G145" s="1" t="s">
        <v>1046</v>
      </c>
      <c r="H145" s="1"/>
      <c r="I145" s="1"/>
      <c r="J145" s="1" t="s">
        <v>1968</v>
      </c>
      <c r="K145" s="1"/>
      <c r="L145" s="8" t="s">
        <v>1925</v>
      </c>
      <c r="M145" s="1" t="s">
        <v>423</v>
      </c>
    </row>
    <row r="146" spans="1:13" ht="13.2">
      <c r="A146" s="1" t="s">
        <v>877</v>
      </c>
      <c r="B146" s="1"/>
      <c r="C146" s="1"/>
      <c r="D146" s="1"/>
      <c r="E146" s="1" t="s">
        <v>102</v>
      </c>
      <c r="F146" s="1" t="s">
        <v>1969</v>
      </c>
      <c r="G146" s="1" t="s">
        <v>1046</v>
      </c>
      <c r="H146" s="1"/>
      <c r="I146" s="1"/>
      <c r="J146" s="1" t="s">
        <v>1970</v>
      </c>
      <c r="K146" s="1"/>
      <c r="L146" s="8" t="s">
        <v>1925</v>
      </c>
      <c r="M146" s="1" t="s">
        <v>423</v>
      </c>
    </row>
    <row r="147" spans="1:13" ht="13.2">
      <c r="A147" s="1" t="s">
        <v>733</v>
      </c>
      <c r="B147" s="1"/>
      <c r="C147" s="1"/>
      <c r="D147" s="1"/>
      <c r="E147" s="1" t="s">
        <v>1949</v>
      </c>
      <c r="F147" s="1" t="s">
        <v>1046</v>
      </c>
      <c r="G147" s="1" t="s">
        <v>1923</v>
      </c>
      <c r="H147" s="1" t="s">
        <v>1046</v>
      </c>
      <c r="I147" s="1" t="s">
        <v>1046</v>
      </c>
      <c r="J147" s="1" t="s">
        <v>1971</v>
      </c>
      <c r="K147" s="1"/>
      <c r="L147" s="8" t="s">
        <v>1925</v>
      </c>
      <c r="M147" s="1" t="s">
        <v>423</v>
      </c>
    </row>
    <row r="148" spans="1:13" ht="13.2">
      <c r="A148" s="1" t="s">
        <v>728</v>
      </c>
      <c r="B148" s="1"/>
      <c r="C148" s="1"/>
      <c r="D148" s="1"/>
      <c r="E148" s="1" t="s">
        <v>1949</v>
      </c>
      <c r="F148" s="1" t="s">
        <v>1046</v>
      </c>
      <c r="G148" s="1" t="s">
        <v>1923</v>
      </c>
      <c r="H148" s="1" t="s">
        <v>1046</v>
      </c>
      <c r="I148" s="1" t="s">
        <v>1046</v>
      </c>
      <c r="J148" s="1" t="s">
        <v>1972</v>
      </c>
      <c r="K148" s="1"/>
      <c r="L148" s="8" t="s">
        <v>1925</v>
      </c>
      <c r="M148" s="1" t="s">
        <v>423</v>
      </c>
    </row>
    <row r="149" spans="1:13" ht="13.2">
      <c r="A149" s="1" t="s">
        <v>1973</v>
      </c>
      <c r="B149" s="1"/>
      <c r="C149" s="1"/>
      <c r="D149" s="1"/>
      <c r="E149" s="1" t="s">
        <v>102</v>
      </c>
      <c r="F149" s="1" t="s">
        <v>1963</v>
      </c>
      <c r="G149" s="1" t="s">
        <v>1046</v>
      </c>
      <c r="H149" s="1"/>
      <c r="I149" s="1"/>
      <c r="J149" s="1" t="s">
        <v>1974</v>
      </c>
      <c r="K149" s="1"/>
      <c r="L149" s="8" t="s">
        <v>1925</v>
      </c>
      <c r="M149" s="1" t="s">
        <v>423</v>
      </c>
    </row>
    <row r="150" spans="1:13" ht="13.2">
      <c r="A150" s="1" t="s">
        <v>1975</v>
      </c>
      <c r="B150" s="1"/>
      <c r="C150" s="1"/>
      <c r="D150" s="1"/>
      <c r="E150" s="1" t="s">
        <v>1949</v>
      </c>
      <c r="F150" s="1" t="s">
        <v>1046</v>
      </c>
      <c r="G150" s="1" t="s">
        <v>1976</v>
      </c>
      <c r="H150" s="1" t="s">
        <v>1046</v>
      </c>
      <c r="I150" s="1" t="s">
        <v>1046</v>
      </c>
      <c r="J150" s="1" t="s">
        <v>1977</v>
      </c>
      <c r="K150" s="1"/>
      <c r="L150" s="8" t="s">
        <v>1925</v>
      </c>
      <c r="M150" s="1" t="s">
        <v>423</v>
      </c>
    </row>
    <row r="151" spans="1:13" ht="13.2">
      <c r="A151" s="1" t="s">
        <v>960</v>
      </c>
      <c r="B151" s="1"/>
      <c r="C151" s="1"/>
      <c r="D151" s="1"/>
      <c r="E151" s="1" t="s">
        <v>1949</v>
      </c>
      <c r="F151" s="1" t="s">
        <v>1046</v>
      </c>
      <c r="G151" s="1" t="s">
        <v>1923</v>
      </c>
      <c r="H151" s="1" t="s">
        <v>1046</v>
      </c>
      <c r="I151" s="1" t="s">
        <v>1046</v>
      </c>
      <c r="J151" s="1" t="s">
        <v>1978</v>
      </c>
      <c r="K151" s="1"/>
      <c r="L151" s="8" t="s">
        <v>1925</v>
      </c>
      <c r="M151" s="1" t="s">
        <v>423</v>
      </c>
    </row>
    <row r="152" spans="1:13" ht="13.2">
      <c r="A152" s="1" t="s">
        <v>719</v>
      </c>
      <c r="B152" s="1"/>
      <c r="C152" s="1"/>
      <c r="D152" s="1"/>
      <c r="E152" s="1" t="s">
        <v>1949</v>
      </c>
      <c r="F152" s="1" t="s">
        <v>1046</v>
      </c>
      <c r="G152" s="1" t="s">
        <v>1923</v>
      </c>
      <c r="H152" s="1" t="s">
        <v>1046</v>
      </c>
      <c r="I152" s="1" t="s">
        <v>1046</v>
      </c>
      <c r="J152" s="1" t="s">
        <v>1979</v>
      </c>
      <c r="K152" s="1"/>
      <c r="L152" s="8" t="s">
        <v>1925</v>
      </c>
      <c r="M152" s="1" t="s">
        <v>423</v>
      </c>
    </row>
    <row r="153" spans="1:13" ht="13.2">
      <c r="A153" s="1" t="s">
        <v>722</v>
      </c>
      <c r="B153" s="1"/>
      <c r="C153" s="1"/>
      <c r="D153" s="1"/>
      <c r="E153" s="1" t="s">
        <v>102</v>
      </c>
      <c r="F153" s="1" t="s">
        <v>1611</v>
      </c>
      <c r="G153" s="1" t="s">
        <v>1046</v>
      </c>
      <c r="H153" s="1"/>
      <c r="I153" s="1"/>
      <c r="J153" s="1" t="s">
        <v>1980</v>
      </c>
      <c r="K153" s="1"/>
      <c r="L153" s="8" t="s">
        <v>1925</v>
      </c>
      <c r="M153" s="1" t="s">
        <v>423</v>
      </c>
    </row>
    <row r="154" spans="1:13" ht="13.2">
      <c r="A154" s="1" t="s">
        <v>961</v>
      </c>
      <c r="B154" s="1"/>
      <c r="C154" s="1"/>
      <c r="D154" s="1"/>
      <c r="E154" s="1" t="s">
        <v>1949</v>
      </c>
      <c r="F154" s="1" t="s">
        <v>1046</v>
      </c>
      <c r="G154" s="1" t="s">
        <v>1923</v>
      </c>
      <c r="H154" s="1" t="s">
        <v>1046</v>
      </c>
      <c r="I154" s="1" t="s">
        <v>1046</v>
      </c>
      <c r="J154" s="1" t="s">
        <v>1981</v>
      </c>
      <c r="K154" s="1"/>
      <c r="L154" s="8" t="s">
        <v>1925</v>
      </c>
      <c r="M154" s="1" t="s">
        <v>423</v>
      </c>
    </row>
    <row r="155" spans="1:13" ht="13.2">
      <c r="A155" s="1" t="s">
        <v>962</v>
      </c>
      <c r="B155" s="1"/>
      <c r="C155" s="1"/>
      <c r="D155" s="1"/>
      <c r="E155" s="1" t="s">
        <v>1949</v>
      </c>
      <c r="F155" s="1" t="s">
        <v>1046</v>
      </c>
      <c r="G155" s="1" t="s">
        <v>1982</v>
      </c>
      <c r="H155" s="1" t="s">
        <v>1046</v>
      </c>
      <c r="I155" s="1" t="s">
        <v>1046</v>
      </c>
      <c r="J155" s="1" t="s">
        <v>1983</v>
      </c>
      <c r="K155" s="1"/>
      <c r="L155" s="8" t="s">
        <v>1925</v>
      </c>
      <c r="M155" s="1" t="s">
        <v>423</v>
      </c>
    </row>
    <row r="156" spans="1:13" ht="13.2">
      <c r="A156" s="1" t="s">
        <v>973</v>
      </c>
      <c r="B156" s="1"/>
      <c r="C156" s="1"/>
      <c r="D156" s="1"/>
      <c r="E156" s="1" t="s">
        <v>102</v>
      </c>
      <c r="F156" s="1" t="s">
        <v>1143</v>
      </c>
      <c r="G156" s="1" t="s">
        <v>1046</v>
      </c>
      <c r="H156" s="1"/>
      <c r="I156" s="1"/>
      <c r="J156" s="1" t="s">
        <v>1984</v>
      </c>
      <c r="K156" s="1"/>
      <c r="L156" s="8" t="s">
        <v>1925</v>
      </c>
      <c r="M156" s="1" t="s">
        <v>423</v>
      </c>
    </row>
    <row r="157" spans="1:13" ht="13.2">
      <c r="A157" s="1" t="s">
        <v>977</v>
      </c>
      <c r="B157" s="1"/>
      <c r="C157" s="1"/>
      <c r="D157" s="1"/>
      <c r="E157" s="1" t="s">
        <v>102</v>
      </c>
      <c r="F157" s="1" t="s">
        <v>1143</v>
      </c>
      <c r="G157" s="1" t="s">
        <v>1046</v>
      </c>
      <c r="H157" s="1"/>
      <c r="I157" s="1"/>
      <c r="J157" s="1" t="s">
        <v>1985</v>
      </c>
      <c r="K157" s="1"/>
      <c r="L157" s="8" t="s">
        <v>1925</v>
      </c>
      <c r="M157" s="1" t="s">
        <v>423</v>
      </c>
    </row>
    <row r="158" spans="1:13" ht="13.2">
      <c r="A158" s="1" t="s">
        <v>752</v>
      </c>
      <c r="B158" s="1"/>
      <c r="C158" s="1"/>
      <c r="D158" s="1"/>
      <c r="E158" s="1" t="s">
        <v>1949</v>
      </c>
      <c r="F158" s="1" t="s">
        <v>1046</v>
      </c>
      <c r="G158" s="1" t="s">
        <v>1923</v>
      </c>
      <c r="H158" s="1" t="s">
        <v>1046</v>
      </c>
      <c r="I158" s="1" t="s">
        <v>1046</v>
      </c>
      <c r="J158" s="1" t="s">
        <v>1986</v>
      </c>
      <c r="K158" s="1"/>
      <c r="L158" s="8" t="s">
        <v>1925</v>
      </c>
      <c r="M158" s="1" t="s">
        <v>423</v>
      </c>
    </row>
    <row r="159" spans="1:13" ht="13.2">
      <c r="A159" s="1" t="s">
        <v>753</v>
      </c>
      <c r="B159" s="1"/>
      <c r="C159" s="1"/>
      <c r="D159" s="1"/>
      <c r="E159" s="1" t="s">
        <v>1949</v>
      </c>
      <c r="F159" s="1" t="s">
        <v>1046</v>
      </c>
      <c r="G159" s="1" t="s">
        <v>1923</v>
      </c>
      <c r="H159" s="1" t="s">
        <v>1046</v>
      </c>
      <c r="I159" s="1" t="s">
        <v>1046</v>
      </c>
      <c r="J159" s="1" t="s">
        <v>1986</v>
      </c>
      <c r="K159" s="1"/>
      <c r="L159" s="8" t="s">
        <v>1925</v>
      </c>
      <c r="M159" s="1" t="s">
        <v>423</v>
      </c>
    </row>
    <row r="160" spans="1:13" ht="13.2">
      <c r="A160" s="1" t="s">
        <v>754</v>
      </c>
      <c r="B160" s="1"/>
      <c r="C160" s="1"/>
      <c r="D160" s="1"/>
      <c r="E160" s="1" t="s">
        <v>1949</v>
      </c>
      <c r="F160" s="1" t="s">
        <v>1046</v>
      </c>
      <c r="G160" s="1" t="s">
        <v>1923</v>
      </c>
      <c r="H160" s="1" t="s">
        <v>1046</v>
      </c>
      <c r="I160" s="1" t="s">
        <v>1046</v>
      </c>
      <c r="J160" s="1" t="s">
        <v>1986</v>
      </c>
      <c r="K160" s="1"/>
      <c r="L160" s="8" t="s">
        <v>1925</v>
      </c>
      <c r="M160" s="1" t="s">
        <v>423</v>
      </c>
    </row>
    <row r="161" spans="1:13" ht="13.2">
      <c r="A161" s="1" t="s">
        <v>755</v>
      </c>
      <c r="B161" s="1"/>
      <c r="C161" s="1"/>
      <c r="D161" s="1"/>
      <c r="E161" s="1" t="s">
        <v>1949</v>
      </c>
      <c r="F161" s="1" t="s">
        <v>1046</v>
      </c>
      <c r="G161" s="1" t="s">
        <v>1923</v>
      </c>
      <c r="H161" s="1" t="s">
        <v>1046</v>
      </c>
      <c r="I161" s="1" t="s">
        <v>1046</v>
      </c>
      <c r="J161" s="1" t="s">
        <v>1986</v>
      </c>
      <c r="K161" s="1"/>
      <c r="L161" s="8" t="s">
        <v>1925</v>
      </c>
      <c r="M161" s="1" t="s">
        <v>423</v>
      </c>
    </row>
    <row r="162" spans="1:13" ht="13.2">
      <c r="A162" s="1" t="s">
        <v>935</v>
      </c>
      <c r="B162" s="1"/>
      <c r="C162" s="1"/>
      <c r="D162" s="1"/>
      <c r="E162" s="1" t="s">
        <v>1949</v>
      </c>
      <c r="F162" s="1" t="s">
        <v>1046</v>
      </c>
      <c r="G162" s="1" t="s">
        <v>1923</v>
      </c>
      <c r="H162" s="1" t="s">
        <v>1046</v>
      </c>
      <c r="I162" s="1" t="s">
        <v>1046</v>
      </c>
      <c r="J162" s="1" t="s">
        <v>1987</v>
      </c>
      <c r="K162" s="1"/>
      <c r="L162" s="8" t="s">
        <v>1925</v>
      </c>
      <c r="M162" s="1" t="s">
        <v>423</v>
      </c>
    </row>
    <row r="163" spans="1:13" ht="13.2">
      <c r="A163" s="1" t="s">
        <v>936</v>
      </c>
      <c r="B163" s="1"/>
      <c r="C163" s="1"/>
      <c r="D163" s="1"/>
      <c r="E163" s="1" t="s">
        <v>1949</v>
      </c>
      <c r="F163" s="1" t="s">
        <v>1046</v>
      </c>
      <c r="G163" s="1" t="s">
        <v>1923</v>
      </c>
      <c r="H163" s="1" t="s">
        <v>1046</v>
      </c>
      <c r="I163" s="1" t="s">
        <v>1046</v>
      </c>
      <c r="J163" s="1" t="s">
        <v>1987</v>
      </c>
      <c r="K163" s="1"/>
      <c r="L163" s="8" t="s">
        <v>1925</v>
      </c>
      <c r="M163" s="1" t="s">
        <v>423</v>
      </c>
    </row>
    <row r="164" spans="1:13" ht="13.2">
      <c r="A164" s="1" t="s">
        <v>937</v>
      </c>
      <c r="B164" s="1"/>
      <c r="C164" s="1"/>
      <c r="D164" s="1"/>
      <c r="E164" s="1" t="s">
        <v>1949</v>
      </c>
      <c r="F164" s="1" t="s">
        <v>1046</v>
      </c>
      <c r="G164" s="1" t="s">
        <v>1923</v>
      </c>
      <c r="H164" s="1" t="s">
        <v>1046</v>
      </c>
      <c r="I164" s="1" t="s">
        <v>1046</v>
      </c>
      <c r="J164" s="1" t="s">
        <v>1987</v>
      </c>
      <c r="K164" s="1"/>
      <c r="L164" s="8" t="s">
        <v>1925</v>
      </c>
      <c r="M164" s="1" t="s">
        <v>423</v>
      </c>
    </row>
    <row r="165" spans="1:13" ht="13.2">
      <c r="A165" s="1" t="s">
        <v>939</v>
      </c>
      <c r="B165" s="1"/>
      <c r="C165" s="1"/>
      <c r="D165" s="1"/>
      <c r="E165" s="1" t="s">
        <v>1949</v>
      </c>
      <c r="F165" s="1" t="s">
        <v>1046</v>
      </c>
      <c r="G165" s="1" t="s">
        <v>1923</v>
      </c>
      <c r="H165" s="1" t="s">
        <v>1046</v>
      </c>
      <c r="I165" s="1" t="s">
        <v>1046</v>
      </c>
      <c r="J165" s="1" t="s">
        <v>1987</v>
      </c>
      <c r="K165" s="1"/>
      <c r="L165" s="8" t="s">
        <v>1925</v>
      </c>
      <c r="M165" s="1" t="s">
        <v>423</v>
      </c>
    </row>
    <row r="166" spans="1:13" ht="13.2">
      <c r="A166" s="1" t="s">
        <v>940</v>
      </c>
      <c r="B166" s="1"/>
      <c r="C166" s="1"/>
      <c r="D166" s="1"/>
      <c r="E166" s="1" t="s">
        <v>1949</v>
      </c>
      <c r="F166" s="1" t="s">
        <v>1046</v>
      </c>
      <c r="G166" s="1" t="s">
        <v>1923</v>
      </c>
      <c r="H166" s="1" t="s">
        <v>1046</v>
      </c>
      <c r="I166" s="1" t="s">
        <v>1046</v>
      </c>
      <c r="J166" s="1" t="s">
        <v>1987</v>
      </c>
      <c r="K166" s="1"/>
      <c r="L166" s="8" t="s">
        <v>1925</v>
      </c>
      <c r="M166" s="1" t="s">
        <v>423</v>
      </c>
    </row>
    <row r="167" spans="1:13" ht="13.2">
      <c r="A167" s="1" t="s">
        <v>941</v>
      </c>
      <c r="B167" s="1"/>
      <c r="C167" s="1"/>
      <c r="D167" s="1"/>
      <c r="E167" s="1" t="s">
        <v>1949</v>
      </c>
      <c r="F167" s="1" t="s">
        <v>1046</v>
      </c>
      <c r="G167" s="1" t="s">
        <v>1923</v>
      </c>
      <c r="H167" s="1" t="s">
        <v>1046</v>
      </c>
      <c r="I167" s="1" t="s">
        <v>1046</v>
      </c>
      <c r="J167" s="1" t="s">
        <v>1987</v>
      </c>
      <c r="K167" s="1"/>
      <c r="L167" s="8" t="s">
        <v>1925</v>
      </c>
      <c r="M167" s="1" t="s">
        <v>423</v>
      </c>
    </row>
    <row r="168" spans="1:13" ht="13.2">
      <c r="A168" s="1" t="s">
        <v>942</v>
      </c>
      <c r="B168" s="1"/>
      <c r="C168" s="1"/>
      <c r="D168" s="1"/>
      <c r="E168" s="1" t="s">
        <v>1949</v>
      </c>
      <c r="F168" s="1" t="s">
        <v>1046</v>
      </c>
      <c r="G168" s="1" t="s">
        <v>1923</v>
      </c>
      <c r="H168" s="1" t="s">
        <v>1046</v>
      </c>
      <c r="I168" s="1" t="s">
        <v>1046</v>
      </c>
      <c r="J168" s="1" t="s">
        <v>1987</v>
      </c>
      <c r="K168" s="1"/>
      <c r="L168" s="8" t="s">
        <v>1925</v>
      </c>
      <c r="M168" s="1" t="s">
        <v>423</v>
      </c>
    </row>
    <row r="169" spans="1:13" ht="13.2">
      <c r="A169" s="1" t="s">
        <v>1002</v>
      </c>
      <c r="B169" s="1"/>
      <c r="C169" s="1"/>
      <c r="D169" s="1"/>
      <c r="E169" s="1" t="s">
        <v>1949</v>
      </c>
      <c r="F169" s="1" t="s">
        <v>1046</v>
      </c>
      <c r="G169" s="1" t="s">
        <v>1923</v>
      </c>
      <c r="H169" s="1" t="s">
        <v>1046</v>
      </c>
      <c r="I169" s="1" t="s">
        <v>1046</v>
      </c>
      <c r="J169" s="1" t="s">
        <v>1988</v>
      </c>
      <c r="K169" s="1"/>
      <c r="L169" s="8" t="s">
        <v>1925</v>
      </c>
      <c r="M169" s="1" t="s">
        <v>423</v>
      </c>
    </row>
    <row r="170" spans="1:13" ht="13.2">
      <c r="A170" s="1" t="s">
        <v>1003</v>
      </c>
      <c r="B170" s="1"/>
      <c r="C170" s="1"/>
      <c r="D170" s="1"/>
      <c r="E170" s="1" t="s">
        <v>1949</v>
      </c>
      <c r="F170" s="1" t="s">
        <v>1046</v>
      </c>
      <c r="G170" s="1" t="s">
        <v>1923</v>
      </c>
      <c r="H170" s="1" t="s">
        <v>1046</v>
      </c>
      <c r="I170" s="1" t="s">
        <v>1046</v>
      </c>
      <c r="J170" s="1" t="s">
        <v>1989</v>
      </c>
      <c r="K170" s="1"/>
      <c r="L170" s="8" t="s">
        <v>1925</v>
      </c>
      <c r="M170" s="1" t="s">
        <v>423</v>
      </c>
    </row>
    <row r="171" spans="1:13" ht="13.2">
      <c r="A171" s="1" t="s">
        <v>1004</v>
      </c>
      <c r="B171" s="1"/>
      <c r="C171" s="1"/>
      <c r="D171" s="1"/>
      <c r="E171" s="1" t="s">
        <v>1949</v>
      </c>
      <c r="F171" s="1" t="s">
        <v>1046</v>
      </c>
      <c r="G171" s="1" t="s">
        <v>1923</v>
      </c>
      <c r="H171" s="1" t="s">
        <v>1046</v>
      </c>
      <c r="I171" s="1" t="s">
        <v>1046</v>
      </c>
      <c r="J171" s="1" t="s">
        <v>1990</v>
      </c>
      <c r="K171" s="1"/>
      <c r="L171" s="8" t="s">
        <v>1925</v>
      </c>
      <c r="M171" s="1" t="s">
        <v>423</v>
      </c>
    </row>
    <row r="172" spans="1:13" ht="13.2">
      <c r="A172" s="1" t="s">
        <v>1011</v>
      </c>
      <c r="B172" s="1"/>
      <c r="C172" s="1"/>
      <c r="D172" s="1"/>
      <c r="E172" s="1" t="s">
        <v>1949</v>
      </c>
      <c r="F172" s="1" t="s">
        <v>1046</v>
      </c>
      <c r="G172" s="1" t="s">
        <v>1923</v>
      </c>
      <c r="H172" s="1" t="s">
        <v>1046</v>
      </c>
      <c r="I172" s="1" t="s">
        <v>1046</v>
      </c>
      <c r="J172" s="1" t="s">
        <v>1991</v>
      </c>
      <c r="K172" s="1"/>
      <c r="L172" s="8" t="s">
        <v>1925</v>
      </c>
      <c r="M172" s="1" t="s">
        <v>423</v>
      </c>
    </row>
    <row r="173" spans="1:13" ht="13.2">
      <c r="A173" s="1" t="s">
        <v>1013</v>
      </c>
      <c r="B173" s="1"/>
      <c r="C173" s="1"/>
      <c r="D173" s="1"/>
      <c r="E173" s="1" t="s">
        <v>1949</v>
      </c>
      <c r="F173" s="1" t="s">
        <v>1046</v>
      </c>
      <c r="G173" s="1" t="s">
        <v>1923</v>
      </c>
      <c r="H173" s="1" t="s">
        <v>1046</v>
      </c>
      <c r="I173" s="1" t="s">
        <v>1046</v>
      </c>
      <c r="J173" s="1" t="s">
        <v>1991</v>
      </c>
      <c r="K173" s="1"/>
      <c r="L173" s="8" t="s">
        <v>1925</v>
      </c>
      <c r="M173" s="1" t="s">
        <v>423</v>
      </c>
    </row>
    <row r="174" spans="1:13" ht="13.2">
      <c r="A174" s="1" t="s">
        <v>1015</v>
      </c>
      <c r="B174" s="1"/>
      <c r="C174" s="1"/>
      <c r="D174" s="1"/>
      <c r="E174" s="1" t="s">
        <v>1949</v>
      </c>
      <c r="F174" s="1" t="s">
        <v>1046</v>
      </c>
      <c r="G174" s="1" t="s">
        <v>1923</v>
      </c>
      <c r="H174" s="1" t="s">
        <v>1046</v>
      </c>
      <c r="I174" s="1" t="s">
        <v>1046</v>
      </c>
      <c r="J174" s="1" t="s">
        <v>1991</v>
      </c>
      <c r="K174" s="1"/>
      <c r="L174" s="8" t="s">
        <v>1925</v>
      </c>
      <c r="M174" s="1" t="s">
        <v>423</v>
      </c>
    </row>
    <row r="175" spans="1:13" ht="13.2">
      <c r="A175" s="1" t="s">
        <v>1018</v>
      </c>
      <c r="B175" s="1"/>
      <c r="C175" s="1"/>
      <c r="D175" s="1"/>
      <c r="E175" s="1" t="s">
        <v>1949</v>
      </c>
      <c r="F175" s="1" t="s">
        <v>1046</v>
      </c>
      <c r="G175" s="1" t="s">
        <v>1923</v>
      </c>
      <c r="H175" s="1" t="s">
        <v>1046</v>
      </c>
      <c r="I175" s="1" t="s">
        <v>1046</v>
      </c>
      <c r="J175" s="1" t="s">
        <v>1991</v>
      </c>
      <c r="K175" s="1"/>
      <c r="L175" s="8" t="s">
        <v>1925</v>
      </c>
      <c r="M175" s="1" t="s">
        <v>423</v>
      </c>
    </row>
    <row r="176" spans="1:13" ht="13.2">
      <c r="A176" s="1" t="s">
        <v>1021</v>
      </c>
      <c r="B176" s="1"/>
      <c r="C176" s="1"/>
      <c r="D176" s="1"/>
      <c r="E176" s="1" t="s">
        <v>1949</v>
      </c>
      <c r="F176" s="1" t="s">
        <v>1046</v>
      </c>
      <c r="G176" s="1" t="s">
        <v>1923</v>
      </c>
      <c r="H176" s="1" t="s">
        <v>1046</v>
      </c>
      <c r="I176" s="1" t="s">
        <v>1046</v>
      </c>
      <c r="J176" s="1" t="s">
        <v>1991</v>
      </c>
      <c r="K176" s="1"/>
      <c r="L176" s="8" t="s">
        <v>1925</v>
      </c>
      <c r="M176" s="1" t="s">
        <v>423</v>
      </c>
    </row>
    <row r="177" spans="1:13" ht="13.2">
      <c r="A177" s="1" t="s">
        <v>1022</v>
      </c>
      <c r="B177" s="1"/>
      <c r="C177" s="1"/>
      <c r="D177" s="1"/>
      <c r="E177" s="1" t="s">
        <v>1949</v>
      </c>
      <c r="F177" s="1" t="s">
        <v>1046</v>
      </c>
      <c r="G177" s="1" t="s">
        <v>1923</v>
      </c>
      <c r="H177" s="1" t="s">
        <v>1046</v>
      </c>
      <c r="I177" s="1" t="s">
        <v>1046</v>
      </c>
      <c r="J177" s="1" t="s">
        <v>1991</v>
      </c>
      <c r="K177" s="1"/>
      <c r="L177" s="8" t="s">
        <v>1925</v>
      </c>
      <c r="M177" s="1" t="s">
        <v>423</v>
      </c>
    </row>
    <row r="178" spans="1:13" ht="13.2">
      <c r="A178" s="1" t="s">
        <v>1025</v>
      </c>
      <c r="B178" s="1"/>
      <c r="C178" s="1"/>
      <c r="D178" s="1"/>
      <c r="E178" s="1" t="s">
        <v>1949</v>
      </c>
      <c r="F178" s="1" t="s">
        <v>1046</v>
      </c>
      <c r="G178" s="1" t="s">
        <v>1923</v>
      </c>
      <c r="H178" s="1" t="s">
        <v>1046</v>
      </c>
      <c r="I178" s="1" t="s">
        <v>1046</v>
      </c>
      <c r="J178" s="1" t="s">
        <v>1991</v>
      </c>
      <c r="K178" s="1"/>
      <c r="L178" s="8" t="s">
        <v>1925</v>
      </c>
      <c r="M178" s="1" t="s">
        <v>423</v>
      </c>
    </row>
    <row r="179" spans="1:13" ht="13.2">
      <c r="A179" s="1" t="s">
        <v>1027</v>
      </c>
      <c r="B179" s="1"/>
      <c r="C179" s="1"/>
      <c r="D179" s="1"/>
      <c r="E179" s="1" t="s">
        <v>1949</v>
      </c>
      <c r="F179" s="1" t="s">
        <v>1046</v>
      </c>
      <c r="G179" s="1" t="s">
        <v>1923</v>
      </c>
      <c r="H179" s="1" t="s">
        <v>1046</v>
      </c>
      <c r="I179" s="1" t="s">
        <v>1046</v>
      </c>
      <c r="J179" s="1" t="s">
        <v>1991</v>
      </c>
      <c r="K179" s="1"/>
      <c r="L179" s="8" t="s">
        <v>1925</v>
      </c>
      <c r="M179" s="1" t="s">
        <v>423</v>
      </c>
    </row>
    <row r="180" spans="1:13" ht="13.2">
      <c r="A180" s="1" t="s">
        <v>1006</v>
      </c>
      <c r="B180" s="1"/>
      <c r="C180" s="1"/>
      <c r="D180" s="1"/>
      <c r="E180" s="1" t="s">
        <v>1949</v>
      </c>
      <c r="F180" s="1" t="s">
        <v>1046</v>
      </c>
      <c r="G180" s="1" t="s">
        <v>1992</v>
      </c>
      <c r="H180" s="1" t="s">
        <v>1046</v>
      </c>
      <c r="I180" s="1" t="s">
        <v>1046</v>
      </c>
      <c r="J180" s="1" t="s">
        <v>1993</v>
      </c>
      <c r="K180" s="1"/>
      <c r="L180" s="8" t="s">
        <v>1925</v>
      </c>
      <c r="M180" s="1" t="s">
        <v>423</v>
      </c>
    </row>
    <row r="181" spans="1:13" ht="13.2">
      <c r="A181" s="1" t="s">
        <v>773</v>
      </c>
      <c r="B181" s="1"/>
      <c r="C181" s="1"/>
      <c r="D181" s="1"/>
      <c r="E181" s="1" t="s">
        <v>1949</v>
      </c>
      <c r="F181" s="1" t="s">
        <v>1046</v>
      </c>
      <c r="G181" s="1" t="s">
        <v>1994</v>
      </c>
      <c r="H181" s="1" t="s">
        <v>1046</v>
      </c>
      <c r="I181" s="1" t="s">
        <v>1046</v>
      </c>
      <c r="J181" s="1" t="s">
        <v>1995</v>
      </c>
      <c r="K181" s="1"/>
      <c r="L181" s="8" t="s">
        <v>1925</v>
      </c>
      <c r="M181" s="1" t="s">
        <v>423</v>
      </c>
    </row>
    <row r="182" spans="1:13" ht="13.2">
      <c r="A182" s="1" t="s">
        <v>774</v>
      </c>
      <c r="B182" s="1"/>
      <c r="C182" s="1"/>
      <c r="D182" s="1"/>
      <c r="E182" s="1" t="s">
        <v>1045</v>
      </c>
      <c r="F182" s="1" t="s">
        <v>1046</v>
      </c>
      <c r="G182" s="1" t="s">
        <v>1994</v>
      </c>
      <c r="H182" s="1" t="s">
        <v>1046</v>
      </c>
      <c r="I182" s="1" t="s">
        <v>1046</v>
      </c>
      <c r="J182" s="1" t="s">
        <v>1996</v>
      </c>
      <c r="K182" s="1"/>
      <c r="L182" s="8" t="s">
        <v>1925</v>
      </c>
      <c r="M182" s="1" t="s">
        <v>423</v>
      </c>
    </row>
    <row r="183" spans="1:13" ht="13.2">
      <c r="A183" s="1" t="s">
        <v>775</v>
      </c>
      <c r="B183" s="1"/>
      <c r="C183" s="1"/>
      <c r="D183" s="1"/>
      <c r="E183" s="1" t="s">
        <v>1045</v>
      </c>
      <c r="F183" s="1" t="s">
        <v>1046</v>
      </c>
      <c r="G183" s="1" t="s">
        <v>1994</v>
      </c>
      <c r="H183" s="1" t="s">
        <v>1046</v>
      </c>
      <c r="I183" s="1" t="s">
        <v>1046</v>
      </c>
      <c r="J183" s="1" t="s">
        <v>1997</v>
      </c>
      <c r="K183" s="1"/>
      <c r="L183" s="8" t="s">
        <v>1925</v>
      </c>
      <c r="M183" s="1" t="s">
        <v>423</v>
      </c>
    </row>
    <row r="184" spans="1:13" ht="13.2">
      <c r="A184" s="1" t="s">
        <v>776</v>
      </c>
      <c r="B184" s="1"/>
      <c r="C184" s="1"/>
      <c r="D184" s="1"/>
      <c r="E184" s="1" t="s">
        <v>1045</v>
      </c>
      <c r="F184" s="1" t="s">
        <v>1046</v>
      </c>
      <c r="G184" s="1" t="s">
        <v>1994</v>
      </c>
      <c r="H184" s="1" t="s">
        <v>1046</v>
      </c>
      <c r="I184" s="1" t="s">
        <v>1046</v>
      </c>
      <c r="J184" s="1" t="s">
        <v>1998</v>
      </c>
      <c r="K184" s="1"/>
      <c r="L184" s="8" t="s">
        <v>1925</v>
      </c>
      <c r="M184" s="1" t="s">
        <v>423</v>
      </c>
    </row>
    <row r="185" spans="1:13" ht="13.2">
      <c r="A185" s="1" t="s">
        <v>842</v>
      </c>
      <c r="B185" s="1"/>
      <c r="C185" s="1"/>
      <c r="D185" s="1"/>
      <c r="E185" s="1" t="s">
        <v>1949</v>
      </c>
      <c r="F185" s="1" t="s">
        <v>1046</v>
      </c>
      <c r="G185" s="1" t="s">
        <v>1994</v>
      </c>
      <c r="H185" s="1" t="s">
        <v>1046</v>
      </c>
      <c r="I185" s="1" t="s">
        <v>1046</v>
      </c>
      <c r="J185" s="1" t="s">
        <v>1999</v>
      </c>
      <c r="K185" s="1"/>
      <c r="L185" s="8" t="s">
        <v>1925</v>
      </c>
      <c r="M185" s="1" t="s">
        <v>423</v>
      </c>
    </row>
    <row r="186" spans="1:13" ht="13.2">
      <c r="A186" s="1" t="s">
        <v>843</v>
      </c>
      <c r="B186" s="1"/>
      <c r="C186" s="1"/>
      <c r="D186" s="1"/>
      <c r="E186" s="1" t="s">
        <v>1045</v>
      </c>
      <c r="F186" s="1" t="s">
        <v>1046</v>
      </c>
      <c r="G186" s="1" t="s">
        <v>1994</v>
      </c>
      <c r="H186" s="1" t="s">
        <v>1046</v>
      </c>
      <c r="I186" s="1" t="s">
        <v>1046</v>
      </c>
      <c r="J186" s="1" t="s">
        <v>2000</v>
      </c>
      <c r="K186" s="1"/>
      <c r="L186" s="8" t="s">
        <v>1925</v>
      </c>
      <c r="M186" s="1" t="s">
        <v>423</v>
      </c>
    </row>
    <row r="187" spans="1:13" ht="13.2">
      <c r="A187" s="1" t="s">
        <v>844</v>
      </c>
      <c r="B187" s="1"/>
      <c r="C187" s="1"/>
      <c r="D187" s="1"/>
      <c r="E187" s="1" t="s">
        <v>1045</v>
      </c>
      <c r="F187" s="1" t="s">
        <v>1046</v>
      </c>
      <c r="G187" s="1" t="s">
        <v>1994</v>
      </c>
      <c r="H187" s="1" t="s">
        <v>1046</v>
      </c>
      <c r="I187" s="1" t="s">
        <v>1046</v>
      </c>
      <c r="J187" s="1" t="s">
        <v>2001</v>
      </c>
      <c r="K187" s="1"/>
      <c r="L187" s="8" t="s">
        <v>1925</v>
      </c>
      <c r="M187" s="1" t="s">
        <v>423</v>
      </c>
    </row>
    <row r="188" spans="1:13" ht="13.2">
      <c r="A188" s="1" t="s">
        <v>2002</v>
      </c>
      <c r="B188" s="1"/>
      <c r="C188" s="1"/>
      <c r="D188" s="1"/>
      <c r="E188" s="1" t="s">
        <v>1045</v>
      </c>
      <c r="F188" s="1" t="s">
        <v>1046</v>
      </c>
      <c r="G188" s="1" t="s">
        <v>1994</v>
      </c>
      <c r="H188" s="1" t="s">
        <v>1046</v>
      </c>
      <c r="I188" s="1" t="s">
        <v>1046</v>
      </c>
      <c r="J188" s="1" t="s">
        <v>2003</v>
      </c>
      <c r="K188" s="1"/>
      <c r="L188" s="8" t="s">
        <v>1925</v>
      </c>
      <c r="M188" s="1" t="s">
        <v>423</v>
      </c>
    </row>
    <row r="189" spans="1:13" ht="13.2">
      <c r="A189" s="1" t="s">
        <v>845</v>
      </c>
      <c r="B189" s="1"/>
      <c r="C189" s="1"/>
      <c r="D189" s="1"/>
      <c r="E189" s="1" t="s">
        <v>1949</v>
      </c>
      <c r="F189" s="1" t="s">
        <v>1046</v>
      </c>
      <c r="G189" s="1" t="s">
        <v>1994</v>
      </c>
      <c r="H189" s="1" t="s">
        <v>1046</v>
      </c>
      <c r="I189" s="1" t="s">
        <v>1046</v>
      </c>
      <c r="J189" s="1" t="s">
        <v>2004</v>
      </c>
      <c r="K189" s="1"/>
      <c r="L189" s="8" t="s">
        <v>1925</v>
      </c>
      <c r="M189" s="1" t="s">
        <v>423</v>
      </c>
    </row>
    <row r="190" spans="1:13" ht="13.2">
      <c r="A190" s="1" t="s">
        <v>846</v>
      </c>
      <c r="B190" s="1"/>
      <c r="C190" s="1"/>
      <c r="D190" s="1"/>
      <c r="E190" s="1" t="s">
        <v>1045</v>
      </c>
      <c r="F190" s="1" t="s">
        <v>1046</v>
      </c>
      <c r="G190" s="1" t="s">
        <v>1994</v>
      </c>
      <c r="H190" s="1" t="s">
        <v>1046</v>
      </c>
      <c r="I190" s="1" t="s">
        <v>1046</v>
      </c>
      <c r="J190" s="1" t="s">
        <v>2005</v>
      </c>
      <c r="K190" s="1"/>
      <c r="L190" s="8" t="s">
        <v>1925</v>
      </c>
      <c r="M190" s="1" t="s">
        <v>423</v>
      </c>
    </row>
    <row r="191" spans="1:13" ht="13.2">
      <c r="A191" s="1" t="s">
        <v>847</v>
      </c>
      <c r="B191" s="1"/>
      <c r="C191" s="1"/>
      <c r="D191" s="1"/>
      <c r="E191" s="1" t="s">
        <v>1045</v>
      </c>
      <c r="F191" s="1" t="s">
        <v>1046</v>
      </c>
      <c r="G191" s="1" t="s">
        <v>1994</v>
      </c>
      <c r="H191" s="1" t="s">
        <v>1046</v>
      </c>
      <c r="I191" s="1" t="s">
        <v>1046</v>
      </c>
      <c r="J191" s="1" t="s">
        <v>2006</v>
      </c>
      <c r="K191" s="1"/>
      <c r="L191" s="8" t="s">
        <v>1925</v>
      </c>
      <c r="M191" s="1" t="s">
        <v>423</v>
      </c>
    </row>
    <row r="192" spans="1:13" ht="13.2">
      <c r="A192" s="1" t="s">
        <v>741</v>
      </c>
      <c r="B192" s="1"/>
      <c r="C192" s="1"/>
      <c r="D192" s="1"/>
      <c r="E192" s="1" t="s">
        <v>1949</v>
      </c>
      <c r="F192" s="1" t="s">
        <v>1046</v>
      </c>
      <c r="G192" s="1" t="s">
        <v>1994</v>
      </c>
      <c r="H192" s="1" t="s">
        <v>1046</v>
      </c>
      <c r="I192" s="1" t="s">
        <v>1046</v>
      </c>
      <c r="J192" s="1" t="s">
        <v>2007</v>
      </c>
      <c r="K192" s="1"/>
      <c r="L192" s="8" t="s">
        <v>1925</v>
      </c>
      <c r="M192" s="1" t="s">
        <v>423</v>
      </c>
    </row>
    <row r="193" spans="1:13" ht="13.2">
      <c r="A193" s="1" t="s">
        <v>742</v>
      </c>
      <c r="B193" s="1"/>
      <c r="C193" s="1"/>
      <c r="D193" s="1"/>
      <c r="E193" s="1" t="s">
        <v>1045</v>
      </c>
      <c r="F193" s="1" t="s">
        <v>1046</v>
      </c>
      <c r="G193" s="1" t="s">
        <v>1994</v>
      </c>
      <c r="H193" s="1" t="s">
        <v>1046</v>
      </c>
      <c r="I193" s="1" t="s">
        <v>1046</v>
      </c>
      <c r="J193" s="1" t="s">
        <v>2008</v>
      </c>
      <c r="K193" s="1"/>
      <c r="L193" s="8" t="s">
        <v>1925</v>
      </c>
      <c r="M193" s="1" t="s">
        <v>423</v>
      </c>
    </row>
    <row r="194" spans="1:13" ht="13.2">
      <c r="A194" s="1" t="s">
        <v>744</v>
      </c>
      <c r="B194" s="1"/>
      <c r="C194" s="1"/>
      <c r="D194" s="1"/>
      <c r="E194" s="1" t="s">
        <v>1045</v>
      </c>
      <c r="F194" s="1" t="s">
        <v>1046</v>
      </c>
      <c r="G194" s="1" t="s">
        <v>1994</v>
      </c>
      <c r="H194" s="1" t="s">
        <v>1046</v>
      </c>
      <c r="I194" s="1" t="s">
        <v>1046</v>
      </c>
      <c r="J194" s="1" t="s">
        <v>2009</v>
      </c>
      <c r="K194" s="1"/>
      <c r="L194" s="8" t="s">
        <v>1925</v>
      </c>
      <c r="M194" s="1" t="s">
        <v>423</v>
      </c>
    </row>
    <row r="195" spans="1:13" ht="13.2">
      <c r="A195" s="1" t="s">
        <v>745</v>
      </c>
      <c r="B195" s="1"/>
      <c r="C195" s="1"/>
      <c r="D195" s="1"/>
      <c r="E195" s="1" t="s">
        <v>1045</v>
      </c>
      <c r="F195" s="1" t="s">
        <v>1046</v>
      </c>
      <c r="G195" s="1" t="s">
        <v>1994</v>
      </c>
      <c r="H195" s="1" t="s">
        <v>1046</v>
      </c>
      <c r="I195" s="1" t="s">
        <v>1046</v>
      </c>
      <c r="J195" s="1" t="s">
        <v>2010</v>
      </c>
      <c r="K195" s="1"/>
      <c r="L195" s="8" t="s">
        <v>1925</v>
      </c>
      <c r="M195" s="1" t="s">
        <v>423</v>
      </c>
    </row>
    <row r="196" spans="1:13" ht="13.2">
      <c r="A196" s="1" t="s">
        <v>746</v>
      </c>
      <c r="B196" s="1"/>
      <c r="C196" s="1"/>
      <c r="D196" s="1"/>
      <c r="E196" s="1" t="s">
        <v>1045</v>
      </c>
      <c r="F196" s="1" t="s">
        <v>1046</v>
      </c>
      <c r="G196" s="1" t="s">
        <v>1994</v>
      </c>
      <c r="H196" s="1" t="s">
        <v>1046</v>
      </c>
      <c r="I196" s="1" t="s">
        <v>1046</v>
      </c>
      <c r="J196" s="1" t="s">
        <v>2011</v>
      </c>
      <c r="K196" s="1"/>
      <c r="L196" s="8" t="s">
        <v>1925</v>
      </c>
      <c r="M196" s="1" t="s">
        <v>423</v>
      </c>
    </row>
    <row r="197" spans="1:13" ht="13.2">
      <c r="A197" s="1" t="s">
        <v>748</v>
      </c>
      <c r="B197" s="1"/>
      <c r="C197" s="1"/>
      <c r="D197" s="1"/>
      <c r="E197" s="1" t="s">
        <v>1045</v>
      </c>
      <c r="F197" s="1" t="s">
        <v>1046</v>
      </c>
      <c r="G197" s="1" t="s">
        <v>1994</v>
      </c>
      <c r="H197" s="1" t="s">
        <v>1046</v>
      </c>
      <c r="I197" s="1" t="s">
        <v>1046</v>
      </c>
      <c r="J197" s="1" t="s">
        <v>2012</v>
      </c>
      <c r="K197" s="1"/>
      <c r="L197" s="8" t="s">
        <v>1925</v>
      </c>
      <c r="M197" s="1" t="s">
        <v>423</v>
      </c>
    </row>
    <row r="198" spans="1:13" ht="13.2">
      <c r="A198" s="1" t="s">
        <v>820</v>
      </c>
      <c r="B198" s="1"/>
      <c r="C198" s="1"/>
      <c r="D198" s="1"/>
      <c r="E198" s="1" t="s">
        <v>1949</v>
      </c>
      <c r="F198" s="1" t="s">
        <v>1046</v>
      </c>
      <c r="G198" s="1" t="s">
        <v>1994</v>
      </c>
      <c r="H198" s="1" t="s">
        <v>1046</v>
      </c>
      <c r="I198" s="1" t="s">
        <v>1046</v>
      </c>
      <c r="J198" s="1" t="s">
        <v>2013</v>
      </c>
      <c r="K198" s="1"/>
      <c r="L198" s="8" t="s">
        <v>1925</v>
      </c>
      <c r="M198" s="1" t="s">
        <v>423</v>
      </c>
    </row>
    <row r="199" spans="1:13" ht="13.2">
      <c r="A199" s="1" t="s">
        <v>812</v>
      </c>
      <c r="B199" s="1"/>
      <c r="C199" s="1"/>
      <c r="D199" s="1"/>
      <c r="E199" s="1" t="s">
        <v>1045</v>
      </c>
      <c r="F199" s="1" t="s">
        <v>1046</v>
      </c>
      <c r="G199" s="1" t="s">
        <v>1994</v>
      </c>
      <c r="H199" s="1" t="s">
        <v>1046</v>
      </c>
      <c r="I199" s="1" t="s">
        <v>1046</v>
      </c>
      <c r="J199" s="1" t="s">
        <v>2014</v>
      </c>
      <c r="K199" s="1"/>
      <c r="L199" s="8" t="s">
        <v>1925</v>
      </c>
      <c r="M199" s="1" t="s">
        <v>423</v>
      </c>
    </row>
    <row r="200" spans="1:13" ht="13.2">
      <c r="A200" s="1" t="s">
        <v>822</v>
      </c>
      <c r="B200" s="1"/>
      <c r="C200" s="1"/>
      <c r="D200" s="1"/>
      <c r="E200" s="1" t="s">
        <v>1045</v>
      </c>
      <c r="F200" s="1" t="s">
        <v>1046</v>
      </c>
      <c r="G200" s="1" t="s">
        <v>1994</v>
      </c>
      <c r="H200" s="1" t="s">
        <v>1046</v>
      </c>
      <c r="I200" s="1" t="s">
        <v>1046</v>
      </c>
      <c r="J200" s="1" t="s">
        <v>2015</v>
      </c>
      <c r="K200" s="1"/>
      <c r="L200" s="8" t="s">
        <v>1925</v>
      </c>
      <c r="M200" s="1" t="s">
        <v>423</v>
      </c>
    </row>
    <row r="201" spans="1:13" ht="13.2">
      <c r="A201" s="1" t="s">
        <v>2016</v>
      </c>
      <c r="B201" s="1"/>
      <c r="C201" s="1"/>
      <c r="D201" s="1"/>
      <c r="E201" s="1" t="s">
        <v>1045</v>
      </c>
      <c r="F201" s="1" t="s">
        <v>1046</v>
      </c>
      <c r="G201" s="1" t="s">
        <v>1994</v>
      </c>
      <c r="H201" s="1" t="s">
        <v>1046</v>
      </c>
      <c r="I201" s="1" t="s">
        <v>1046</v>
      </c>
      <c r="J201" s="1" t="s">
        <v>2017</v>
      </c>
      <c r="K201" s="1"/>
      <c r="L201" s="8" t="s">
        <v>1925</v>
      </c>
      <c r="M201" s="1" t="s">
        <v>423</v>
      </c>
    </row>
    <row r="202" spans="1:13" ht="13.2">
      <c r="A202" s="1" t="s">
        <v>816</v>
      </c>
      <c r="B202" s="1"/>
      <c r="C202" s="1"/>
      <c r="D202" s="1"/>
      <c r="E202" s="1" t="s">
        <v>1045</v>
      </c>
      <c r="F202" s="1" t="s">
        <v>1046</v>
      </c>
      <c r="G202" s="1" t="s">
        <v>1994</v>
      </c>
      <c r="H202" s="1" t="s">
        <v>1046</v>
      </c>
      <c r="I202" s="1" t="s">
        <v>1046</v>
      </c>
      <c r="J202" s="1" t="s">
        <v>2018</v>
      </c>
      <c r="K202" s="1"/>
      <c r="L202" s="8" t="s">
        <v>1925</v>
      </c>
      <c r="M202" s="1" t="s">
        <v>423</v>
      </c>
    </row>
    <row r="203" spans="1:13" ht="13.2">
      <c r="A203" s="1" t="s">
        <v>794</v>
      </c>
      <c r="B203" s="1"/>
      <c r="C203" s="1"/>
      <c r="D203" s="1"/>
      <c r="E203" s="1" t="s">
        <v>1045</v>
      </c>
      <c r="F203" s="1" t="s">
        <v>1046</v>
      </c>
      <c r="G203" s="1" t="s">
        <v>1994</v>
      </c>
      <c r="H203" s="1" t="s">
        <v>1046</v>
      </c>
      <c r="I203" s="1" t="s">
        <v>1046</v>
      </c>
      <c r="J203" s="1" t="s">
        <v>2019</v>
      </c>
      <c r="K203" s="1"/>
      <c r="L203" s="8" t="s">
        <v>1925</v>
      </c>
      <c r="M203" s="1" t="s">
        <v>423</v>
      </c>
    </row>
    <row r="204" spans="1:13" ht="13.2">
      <c r="A204" s="1" t="s">
        <v>795</v>
      </c>
      <c r="B204" s="1"/>
      <c r="C204" s="1"/>
      <c r="D204" s="1"/>
      <c r="E204" s="1" t="s">
        <v>1045</v>
      </c>
      <c r="F204" s="1" t="s">
        <v>1046</v>
      </c>
      <c r="G204" s="1" t="s">
        <v>1994</v>
      </c>
      <c r="H204" s="1" t="s">
        <v>1046</v>
      </c>
      <c r="I204" s="1" t="s">
        <v>1046</v>
      </c>
      <c r="J204" s="1" t="s">
        <v>2020</v>
      </c>
      <c r="K204" s="1"/>
      <c r="L204" s="8" t="s">
        <v>1925</v>
      </c>
      <c r="M204" s="1" t="s">
        <v>423</v>
      </c>
    </row>
    <row r="205" spans="1:13" ht="13.2">
      <c r="A205" s="1" t="s">
        <v>796</v>
      </c>
      <c r="B205" s="1"/>
      <c r="C205" s="1"/>
      <c r="D205" s="1"/>
      <c r="E205" s="1" t="s">
        <v>1045</v>
      </c>
      <c r="F205" s="1" t="s">
        <v>1046</v>
      </c>
      <c r="G205" s="1" t="s">
        <v>1994</v>
      </c>
      <c r="H205" s="1" t="s">
        <v>1046</v>
      </c>
      <c r="I205" s="1" t="s">
        <v>1046</v>
      </c>
      <c r="J205" s="1" t="s">
        <v>2021</v>
      </c>
      <c r="K205" s="1"/>
      <c r="L205" s="8" t="s">
        <v>1925</v>
      </c>
      <c r="M205" s="1" t="s">
        <v>423</v>
      </c>
    </row>
    <row r="206" spans="1:13" ht="13.2">
      <c r="A206" s="1" t="s">
        <v>807</v>
      </c>
      <c r="B206" s="1"/>
      <c r="C206" s="1"/>
      <c r="D206" s="1"/>
      <c r="E206" s="1" t="s">
        <v>1045</v>
      </c>
      <c r="F206" s="1" t="s">
        <v>1046</v>
      </c>
      <c r="G206" s="1" t="s">
        <v>1994</v>
      </c>
      <c r="H206" s="1" t="s">
        <v>1046</v>
      </c>
      <c r="I206" s="1" t="s">
        <v>1046</v>
      </c>
      <c r="J206" s="1" t="s">
        <v>2022</v>
      </c>
      <c r="K206" s="1"/>
      <c r="L206" s="8" t="s">
        <v>1925</v>
      </c>
      <c r="M206" s="1" t="s">
        <v>423</v>
      </c>
    </row>
    <row r="207" spans="1:13" ht="13.2">
      <c r="A207" s="1" t="s">
        <v>805</v>
      </c>
      <c r="B207" s="1"/>
      <c r="C207" s="1"/>
      <c r="D207" s="1"/>
      <c r="E207" s="1" t="s">
        <v>1045</v>
      </c>
      <c r="F207" s="1" t="s">
        <v>1046</v>
      </c>
      <c r="G207" s="1" t="s">
        <v>1994</v>
      </c>
      <c r="H207" s="1" t="s">
        <v>1046</v>
      </c>
      <c r="I207" s="1" t="s">
        <v>1046</v>
      </c>
      <c r="J207" s="1" t="s">
        <v>2023</v>
      </c>
      <c r="K207" s="1"/>
      <c r="L207" s="8" t="s">
        <v>1925</v>
      </c>
      <c r="M207" s="1" t="s">
        <v>423</v>
      </c>
    </row>
    <row r="208" spans="1:13" ht="13.2">
      <c r="A208" s="1" t="s">
        <v>2024</v>
      </c>
      <c r="B208" s="1"/>
      <c r="C208" s="1"/>
      <c r="D208" s="1"/>
      <c r="E208" s="1" t="s">
        <v>1045</v>
      </c>
      <c r="F208" s="1" t="s">
        <v>1046</v>
      </c>
      <c r="G208" s="1" t="s">
        <v>1994</v>
      </c>
      <c r="H208" s="1" t="s">
        <v>1046</v>
      </c>
      <c r="I208" s="1" t="s">
        <v>1046</v>
      </c>
      <c r="J208" s="1" t="s">
        <v>2025</v>
      </c>
      <c r="K208" s="1"/>
      <c r="L208" s="8" t="s">
        <v>1925</v>
      </c>
      <c r="M208" s="1" t="s">
        <v>423</v>
      </c>
    </row>
    <row r="209" spans="1:13" ht="13.2">
      <c r="A209" s="1" t="s">
        <v>798</v>
      </c>
      <c r="B209" s="1"/>
      <c r="C209" s="1"/>
      <c r="D209" s="1"/>
      <c r="E209" s="1" t="s">
        <v>1045</v>
      </c>
      <c r="F209" s="1" t="s">
        <v>1046</v>
      </c>
      <c r="G209" s="1" t="s">
        <v>1994</v>
      </c>
      <c r="H209" s="1" t="s">
        <v>1046</v>
      </c>
      <c r="I209" s="1" t="s">
        <v>1046</v>
      </c>
      <c r="J209" s="1" t="s">
        <v>2026</v>
      </c>
      <c r="K209" s="1"/>
      <c r="L209" s="8" t="s">
        <v>1925</v>
      </c>
      <c r="M209" s="1" t="s">
        <v>423</v>
      </c>
    </row>
    <row r="210" spans="1:13" ht="13.2">
      <c r="A210" s="1" t="s">
        <v>799</v>
      </c>
      <c r="B210" s="1"/>
      <c r="C210" s="1"/>
      <c r="D210" s="1"/>
      <c r="E210" s="1" t="s">
        <v>1045</v>
      </c>
      <c r="F210" s="1" t="s">
        <v>1046</v>
      </c>
      <c r="G210" s="1" t="s">
        <v>1994</v>
      </c>
      <c r="H210" s="1" t="s">
        <v>1046</v>
      </c>
      <c r="I210" s="1" t="s">
        <v>1046</v>
      </c>
      <c r="J210" s="1" t="s">
        <v>2027</v>
      </c>
      <c r="K210" s="1"/>
      <c r="L210" s="8" t="s">
        <v>1925</v>
      </c>
      <c r="M210" s="1" t="s">
        <v>423</v>
      </c>
    </row>
    <row r="211" spans="1:13" ht="13.2">
      <c r="A211" s="1" t="s">
        <v>967</v>
      </c>
      <c r="B211" s="1"/>
      <c r="C211" s="1"/>
      <c r="D211" s="1"/>
      <c r="E211" s="1" t="s">
        <v>102</v>
      </c>
      <c r="F211" s="1" t="s">
        <v>1143</v>
      </c>
      <c r="G211" s="1" t="s">
        <v>1046</v>
      </c>
      <c r="H211" s="1"/>
      <c r="I211" s="1"/>
      <c r="J211" s="1" t="s">
        <v>1527</v>
      </c>
      <c r="K211" s="1"/>
      <c r="L211" s="8" t="s">
        <v>1528</v>
      </c>
      <c r="M211" s="1" t="s">
        <v>424</v>
      </c>
    </row>
    <row r="212" spans="1:13" ht="13.2">
      <c r="A212" s="1" t="s">
        <v>969</v>
      </c>
      <c r="B212" s="1"/>
      <c r="C212" s="1"/>
      <c r="D212" s="1"/>
      <c r="E212" s="1" t="s">
        <v>102</v>
      </c>
      <c r="F212" s="1" t="s">
        <v>1531</v>
      </c>
      <c r="G212" s="1" t="s">
        <v>1046</v>
      </c>
      <c r="H212" s="1"/>
      <c r="I212" s="1"/>
      <c r="J212" s="1" t="s">
        <v>1532</v>
      </c>
      <c r="K212" s="1"/>
      <c r="L212" s="8" t="s">
        <v>1528</v>
      </c>
      <c r="M212" s="1" t="s">
        <v>424</v>
      </c>
    </row>
    <row r="213" spans="1:13" ht="13.2">
      <c r="A213" s="1" t="s">
        <v>978</v>
      </c>
      <c r="B213" s="1"/>
      <c r="C213" s="1"/>
      <c r="D213" s="1"/>
      <c r="E213" s="1" t="s">
        <v>102</v>
      </c>
      <c r="F213" s="1" t="s">
        <v>1143</v>
      </c>
      <c r="G213" s="1" t="s">
        <v>1046</v>
      </c>
      <c r="H213" s="1"/>
      <c r="I213" s="1"/>
      <c r="J213" s="1" t="s">
        <v>1535</v>
      </c>
      <c r="K213" s="1"/>
      <c r="L213" s="8" t="s">
        <v>1528</v>
      </c>
      <c r="M213" s="1" t="s">
        <v>424</v>
      </c>
    </row>
    <row r="214" spans="1:13" ht="13.2">
      <c r="A214" s="1" t="s">
        <v>971</v>
      </c>
      <c r="B214" s="1"/>
      <c r="C214" s="1"/>
      <c r="D214" s="1"/>
      <c r="E214" s="1" t="s">
        <v>102</v>
      </c>
      <c r="F214" s="1" t="s">
        <v>1531</v>
      </c>
      <c r="G214" s="1" t="s">
        <v>1046</v>
      </c>
      <c r="H214" s="1"/>
      <c r="I214" s="1"/>
      <c r="J214" s="1" t="s">
        <v>1538</v>
      </c>
      <c r="K214" s="1"/>
      <c r="L214" s="8" t="s">
        <v>1528</v>
      </c>
      <c r="M214" s="1" t="s">
        <v>424</v>
      </c>
    </row>
    <row r="215" spans="1:13" ht="13.2">
      <c r="A215" s="1" t="s">
        <v>979</v>
      </c>
      <c r="B215" s="1"/>
      <c r="C215" s="1"/>
      <c r="D215" s="1"/>
      <c r="E215" s="1" t="s">
        <v>102</v>
      </c>
      <c r="F215" s="1" t="s">
        <v>1143</v>
      </c>
      <c r="G215" s="1" t="s">
        <v>1046</v>
      </c>
      <c r="H215" s="1"/>
      <c r="I215" s="1"/>
      <c r="J215" s="1" t="s">
        <v>1541</v>
      </c>
      <c r="K215" s="1"/>
      <c r="L215" s="8" t="s">
        <v>1528</v>
      </c>
      <c r="M215" s="1" t="s">
        <v>424</v>
      </c>
    </row>
    <row r="216" spans="1:13" ht="13.2">
      <c r="A216" s="1" t="s">
        <v>980</v>
      </c>
      <c r="B216" s="1"/>
      <c r="C216" s="1"/>
      <c r="D216" s="1"/>
      <c r="E216" s="1" t="s">
        <v>102</v>
      </c>
      <c r="F216" s="1" t="s">
        <v>1143</v>
      </c>
      <c r="G216" s="1" t="s">
        <v>1046</v>
      </c>
      <c r="H216" s="1"/>
      <c r="I216" s="1"/>
      <c r="J216" s="1" t="s">
        <v>1544</v>
      </c>
      <c r="K216" s="1"/>
      <c r="L216" s="8" t="s">
        <v>1528</v>
      </c>
      <c r="M216" s="1" t="s">
        <v>424</v>
      </c>
    </row>
    <row r="217" spans="1:13" ht="13.2">
      <c r="A217" s="1" t="s">
        <v>981</v>
      </c>
      <c r="B217" s="1"/>
      <c r="C217" s="1"/>
      <c r="D217" s="1"/>
      <c r="E217" s="1" t="s">
        <v>102</v>
      </c>
      <c r="F217" s="1" t="s">
        <v>1143</v>
      </c>
      <c r="G217" s="1" t="s">
        <v>1046</v>
      </c>
      <c r="H217" s="1"/>
      <c r="I217" s="1"/>
      <c r="J217" s="1" t="s">
        <v>1546</v>
      </c>
      <c r="K217" s="1"/>
      <c r="L217" s="8" t="s">
        <v>1528</v>
      </c>
      <c r="M217" s="1" t="s">
        <v>424</v>
      </c>
    </row>
    <row r="218" spans="1:13" ht="13.2">
      <c r="A218" s="1" t="s">
        <v>974</v>
      </c>
      <c r="B218" s="1"/>
      <c r="C218" s="1"/>
      <c r="D218" s="1"/>
      <c r="E218" s="1" t="s">
        <v>102</v>
      </c>
      <c r="F218" s="1" t="s">
        <v>1143</v>
      </c>
      <c r="G218" s="1" t="s">
        <v>1046</v>
      </c>
      <c r="H218" s="1"/>
      <c r="I218" s="1"/>
      <c r="J218" s="1" t="s">
        <v>1548</v>
      </c>
      <c r="K218" s="1"/>
      <c r="L218" s="8" t="s">
        <v>1528</v>
      </c>
      <c r="M218" s="1" t="s">
        <v>424</v>
      </c>
    </row>
    <row r="219" spans="1:13" ht="13.2">
      <c r="A219" s="1" t="s">
        <v>982</v>
      </c>
      <c r="B219" s="1"/>
      <c r="C219" s="1"/>
      <c r="D219" s="1"/>
      <c r="E219" s="1" t="s">
        <v>102</v>
      </c>
      <c r="F219" s="1" t="s">
        <v>1550</v>
      </c>
      <c r="G219" s="1" t="s">
        <v>1046</v>
      </c>
      <c r="H219" s="1"/>
      <c r="I219" s="1"/>
      <c r="J219" s="1" t="s">
        <v>1551</v>
      </c>
      <c r="K219" s="1"/>
      <c r="L219" s="8" t="s">
        <v>1528</v>
      </c>
      <c r="M219" s="1" t="s">
        <v>424</v>
      </c>
    </row>
    <row r="220" spans="1:13" ht="13.2">
      <c r="A220" s="1" t="s">
        <v>983</v>
      </c>
      <c r="B220" s="1"/>
      <c r="C220" s="1"/>
      <c r="D220" s="1"/>
      <c r="E220" s="1" t="s">
        <v>102</v>
      </c>
      <c r="F220" s="1" t="s">
        <v>1143</v>
      </c>
      <c r="G220" s="1" t="s">
        <v>1046</v>
      </c>
      <c r="H220" s="1"/>
      <c r="I220" s="1"/>
      <c r="J220" s="1" t="s">
        <v>1555</v>
      </c>
      <c r="K220" s="1"/>
      <c r="L220" s="8" t="s">
        <v>1528</v>
      </c>
      <c r="M220" s="1" t="s">
        <v>424</v>
      </c>
    </row>
    <row r="221" spans="1:13" ht="13.2">
      <c r="A221" s="1" t="s">
        <v>984</v>
      </c>
      <c r="B221" s="1"/>
      <c r="C221" s="1"/>
      <c r="D221" s="1"/>
      <c r="E221" s="1" t="s">
        <v>102</v>
      </c>
      <c r="F221" s="1" t="s">
        <v>1558</v>
      </c>
      <c r="G221" s="1" t="s">
        <v>1046</v>
      </c>
      <c r="H221" s="1"/>
      <c r="I221" s="1"/>
      <c r="J221" s="1" t="s">
        <v>1559</v>
      </c>
      <c r="K221" s="1"/>
      <c r="L221" s="8" t="s">
        <v>1528</v>
      </c>
      <c r="M221" s="1" t="s">
        <v>424</v>
      </c>
    </row>
    <row r="222" spans="1:13" ht="13.2">
      <c r="A222" s="1" t="s">
        <v>985</v>
      </c>
      <c r="B222" s="1"/>
      <c r="C222" s="1"/>
      <c r="D222" s="1"/>
      <c r="E222" s="1" t="s">
        <v>102</v>
      </c>
      <c r="F222" s="1" t="s">
        <v>1531</v>
      </c>
      <c r="G222" s="1" t="s">
        <v>1046</v>
      </c>
      <c r="H222" s="1"/>
      <c r="I222" s="1"/>
      <c r="J222" s="1" t="s">
        <v>1563</v>
      </c>
      <c r="K222" s="1"/>
      <c r="L222" s="8" t="s">
        <v>1528</v>
      </c>
      <c r="M222" s="1" t="s">
        <v>424</v>
      </c>
    </row>
    <row r="223" spans="1:13" ht="13.2">
      <c r="A223" s="1" t="s">
        <v>986</v>
      </c>
      <c r="B223" s="1"/>
      <c r="C223" s="1"/>
      <c r="D223" s="1"/>
      <c r="E223" s="1" t="s">
        <v>102</v>
      </c>
      <c r="F223" s="1" t="s">
        <v>1143</v>
      </c>
      <c r="G223" s="1" t="s">
        <v>1046</v>
      </c>
      <c r="H223" s="1"/>
      <c r="I223" s="1"/>
      <c r="J223" s="1" t="s">
        <v>1565</v>
      </c>
      <c r="K223" s="1"/>
      <c r="L223" s="8" t="s">
        <v>1528</v>
      </c>
      <c r="M223" s="1" t="s">
        <v>424</v>
      </c>
    </row>
    <row r="224" spans="1:13" ht="13.2">
      <c r="A224" s="1" t="s">
        <v>963</v>
      </c>
      <c r="B224" s="1"/>
      <c r="C224" s="1"/>
      <c r="D224" s="1"/>
      <c r="E224" s="1" t="s">
        <v>1045</v>
      </c>
      <c r="F224" s="1" t="s">
        <v>1046</v>
      </c>
      <c r="G224" s="1" t="s">
        <v>1681</v>
      </c>
      <c r="H224" s="1" t="s">
        <v>1046</v>
      </c>
      <c r="I224" s="1" t="s">
        <v>1046</v>
      </c>
      <c r="J224" s="1" t="s">
        <v>1567</v>
      </c>
      <c r="K224" s="1"/>
      <c r="L224" s="8" t="s">
        <v>1528</v>
      </c>
      <c r="M224" s="1" t="s">
        <v>424</v>
      </c>
    </row>
    <row r="225" spans="1:13" ht="13.2">
      <c r="A225" s="1" t="s">
        <v>670</v>
      </c>
      <c r="B225" s="1"/>
      <c r="C225" s="1"/>
      <c r="D225" s="1"/>
      <c r="E225" s="1" t="s">
        <v>102</v>
      </c>
      <c r="F225" s="1" t="s">
        <v>1569</v>
      </c>
      <c r="G225" s="1" t="s">
        <v>1046</v>
      </c>
      <c r="H225" s="1"/>
      <c r="I225" s="1"/>
      <c r="J225" s="1" t="s">
        <v>1570</v>
      </c>
      <c r="K225" s="1"/>
      <c r="L225" s="8" t="s">
        <v>1528</v>
      </c>
      <c r="M225" s="1" t="s">
        <v>424</v>
      </c>
    </row>
    <row r="226" spans="1:13" ht="13.2">
      <c r="A226" s="1" t="s">
        <v>783</v>
      </c>
      <c r="B226" s="1"/>
      <c r="C226" s="1"/>
      <c r="D226" s="1"/>
      <c r="E226" s="1" t="s">
        <v>1045</v>
      </c>
      <c r="F226" s="1" t="s">
        <v>1046</v>
      </c>
      <c r="G226" s="1" t="s">
        <v>1682</v>
      </c>
      <c r="H226" s="1" t="s">
        <v>1046</v>
      </c>
      <c r="I226" s="1" t="s">
        <v>1046</v>
      </c>
      <c r="J226" s="1" t="s">
        <v>1572</v>
      </c>
      <c r="K226" s="1"/>
      <c r="L226" s="8" t="s">
        <v>1528</v>
      </c>
      <c r="M226" s="1" t="s">
        <v>424</v>
      </c>
    </row>
    <row r="227" spans="1:13" ht="13.2">
      <c r="A227" s="1" t="s">
        <v>784</v>
      </c>
      <c r="B227" s="1"/>
      <c r="C227" s="1"/>
      <c r="D227" s="1"/>
      <c r="E227" s="1" t="s">
        <v>1045</v>
      </c>
      <c r="F227" s="1" t="s">
        <v>1046</v>
      </c>
      <c r="G227" s="1" t="s">
        <v>1682</v>
      </c>
      <c r="H227" s="1" t="s">
        <v>1046</v>
      </c>
      <c r="I227" s="1" t="s">
        <v>1046</v>
      </c>
      <c r="J227" s="1" t="s">
        <v>1574</v>
      </c>
      <c r="K227" s="1"/>
      <c r="L227" s="8" t="s">
        <v>1528</v>
      </c>
      <c r="M227" s="1" t="s">
        <v>424</v>
      </c>
    </row>
    <row r="228" spans="1:13" ht="13.2">
      <c r="A228" s="1" t="s">
        <v>785</v>
      </c>
      <c r="B228" s="1"/>
      <c r="C228" s="1"/>
      <c r="D228" s="1"/>
      <c r="E228" s="1" t="s">
        <v>1045</v>
      </c>
      <c r="F228" s="1" t="s">
        <v>1046</v>
      </c>
      <c r="G228" s="1" t="s">
        <v>1682</v>
      </c>
      <c r="H228" s="1" t="s">
        <v>1046</v>
      </c>
      <c r="I228" s="1" t="s">
        <v>1046</v>
      </c>
      <c r="J228" s="1" t="s">
        <v>1576</v>
      </c>
      <c r="K228" s="1"/>
      <c r="L228" s="8" t="s">
        <v>1528</v>
      </c>
      <c r="M228" s="1" t="s">
        <v>424</v>
      </c>
    </row>
    <row r="229" spans="1:13" ht="13.2">
      <c r="A229" s="1" t="s">
        <v>825</v>
      </c>
      <c r="B229" s="1"/>
      <c r="C229" s="1"/>
      <c r="D229" s="1"/>
      <c r="E229" s="1" t="s">
        <v>102</v>
      </c>
      <c r="F229" s="1" t="s">
        <v>1046</v>
      </c>
      <c r="G229" s="1" t="s">
        <v>1046</v>
      </c>
      <c r="H229" s="1"/>
      <c r="I229" s="1"/>
      <c r="J229" s="1" t="s">
        <v>1580</v>
      </c>
      <c r="K229" s="1"/>
      <c r="L229" s="8" t="s">
        <v>1528</v>
      </c>
      <c r="M229" s="1" t="s">
        <v>424</v>
      </c>
    </row>
    <row r="230" spans="1:13" ht="13.2">
      <c r="A230" s="1" t="s">
        <v>826</v>
      </c>
      <c r="B230" s="1"/>
      <c r="C230" s="1"/>
      <c r="D230" s="1"/>
      <c r="E230" s="1" t="s">
        <v>102</v>
      </c>
      <c r="F230" s="1" t="s">
        <v>1046</v>
      </c>
      <c r="G230" s="1" t="s">
        <v>1046</v>
      </c>
      <c r="H230" s="1"/>
      <c r="I230" s="1"/>
      <c r="J230" s="1" t="s">
        <v>1583</v>
      </c>
      <c r="K230" s="1"/>
      <c r="L230" s="8" t="s">
        <v>1528</v>
      </c>
      <c r="M230" s="1" t="s">
        <v>424</v>
      </c>
    </row>
    <row r="231" spans="1:13" ht="13.2">
      <c r="A231" s="1" t="s">
        <v>762</v>
      </c>
      <c r="B231" s="1"/>
      <c r="C231" s="1"/>
      <c r="D231" s="1"/>
      <c r="E231" s="1" t="s">
        <v>1045</v>
      </c>
      <c r="F231" s="1" t="s">
        <v>1046</v>
      </c>
      <c r="G231" s="1" t="s">
        <v>1683</v>
      </c>
      <c r="H231" s="1" t="s">
        <v>1046</v>
      </c>
      <c r="I231" s="1" t="s">
        <v>1046</v>
      </c>
      <c r="J231" s="1" t="s">
        <v>1586</v>
      </c>
      <c r="K231" s="1"/>
      <c r="L231" s="8" t="s">
        <v>1528</v>
      </c>
      <c r="M231" s="1" t="s">
        <v>424</v>
      </c>
    </row>
    <row r="232" spans="1:13" ht="13.2">
      <c r="A232" s="1" t="s">
        <v>778</v>
      </c>
      <c r="B232" s="1"/>
      <c r="C232" s="1"/>
      <c r="D232" s="1"/>
      <c r="E232" s="1" t="s">
        <v>102</v>
      </c>
      <c r="F232" s="1" t="s">
        <v>1589</v>
      </c>
      <c r="G232" s="1" t="s">
        <v>1046</v>
      </c>
      <c r="H232" s="1"/>
      <c r="I232" s="1"/>
      <c r="J232" s="1" t="s">
        <v>1590</v>
      </c>
      <c r="K232" s="1"/>
      <c r="L232" s="8" t="s">
        <v>1528</v>
      </c>
      <c r="M232" s="1" t="s">
        <v>424</v>
      </c>
    </row>
    <row r="233" spans="1:13" ht="13.2">
      <c r="A233" s="1" t="s">
        <v>904</v>
      </c>
      <c r="B233" s="1"/>
      <c r="C233" s="1"/>
      <c r="D233" s="1"/>
      <c r="E233" s="1" t="s">
        <v>102</v>
      </c>
      <c r="F233" s="1" t="s">
        <v>1046</v>
      </c>
      <c r="G233" s="1" t="s">
        <v>1046</v>
      </c>
      <c r="H233" s="1"/>
      <c r="I233" s="1"/>
      <c r="J233" s="1" t="s">
        <v>1592</v>
      </c>
      <c r="K233" s="1"/>
      <c r="L233" s="8" t="s">
        <v>1528</v>
      </c>
      <c r="M233" s="1" t="s">
        <v>424</v>
      </c>
    </row>
    <row r="234" spans="1:13" ht="13.2">
      <c r="A234" s="1" t="s">
        <v>906</v>
      </c>
      <c r="B234" s="1"/>
      <c r="C234" s="1"/>
      <c r="D234" s="1"/>
      <c r="E234" s="1" t="s">
        <v>102</v>
      </c>
      <c r="F234" s="1" t="s">
        <v>1046</v>
      </c>
      <c r="G234" s="1" t="s">
        <v>1046</v>
      </c>
      <c r="H234" s="1"/>
      <c r="I234" s="1"/>
      <c r="J234" s="1" t="s">
        <v>1594</v>
      </c>
      <c r="K234" s="1"/>
      <c r="L234" s="8" t="s">
        <v>1528</v>
      </c>
      <c r="M234" s="1" t="s">
        <v>424</v>
      </c>
    </row>
    <row r="235" spans="1:13" ht="13.2">
      <c r="A235" s="1" t="s">
        <v>907</v>
      </c>
      <c r="B235" s="1"/>
      <c r="C235" s="1"/>
      <c r="D235" s="1"/>
      <c r="E235" s="1" t="s">
        <v>102</v>
      </c>
      <c r="F235" s="1" t="s">
        <v>1046</v>
      </c>
      <c r="G235" s="1" t="s">
        <v>1046</v>
      </c>
      <c r="H235" s="1"/>
      <c r="I235" s="1"/>
      <c r="J235" s="1" t="s">
        <v>1597</v>
      </c>
      <c r="K235" s="1"/>
      <c r="L235" s="8" t="s">
        <v>1528</v>
      </c>
      <c r="M235" s="1" t="s">
        <v>424</v>
      </c>
    </row>
    <row r="236" spans="1:13" ht="13.2">
      <c r="A236" s="1" t="s">
        <v>908</v>
      </c>
      <c r="B236" s="1"/>
      <c r="C236" s="1"/>
      <c r="D236" s="1"/>
      <c r="E236" s="1" t="s">
        <v>102</v>
      </c>
      <c r="F236" s="1" t="s">
        <v>1046</v>
      </c>
      <c r="G236" s="1" t="s">
        <v>1046</v>
      </c>
      <c r="H236" s="1"/>
      <c r="I236" s="1"/>
      <c r="J236" s="1" t="s">
        <v>1599</v>
      </c>
      <c r="K236" s="1"/>
      <c r="L236" s="8" t="s">
        <v>1528</v>
      </c>
      <c r="M236" s="1" t="s">
        <v>424</v>
      </c>
    </row>
    <row r="237" spans="1:13" ht="13.2">
      <c r="A237" s="1" t="s">
        <v>909</v>
      </c>
      <c r="B237" s="1"/>
      <c r="C237" s="1"/>
      <c r="D237" s="1"/>
      <c r="E237" s="1" t="s">
        <v>102</v>
      </c>
      <c r="F237" s="1" t="s">
        <v>1046</v>
      </c>
      <c r="G237" s="1" t="s">
        <v>1046</v>
      </c>
      <c r="H237" s="1"/>
      <c r="I237" s="1"/>
      <c r="J237" s="1" t="s">
        <v>1601</v>
      </c>
      <c r="K237" s="1"/>
      <c r="L237" s="8" t="s">
        <v>1528</v>
      </c>
      <c r="M237" s="1" t="s">
        <v>424</v>
      </c>
    </row>
    <row r="238" spans="1:13" ht="13.2">
      <c r="A238" s="1" t="s">
        <v>910</v>
      </c>
      <c r="B238" s="1"/>
      <c r="C238" s="1"/>
      <c r="D238" s="1"/>
      <c r="E238" s="1" t="s">
        <v>102</v>
      </c>
      <c r="F238" s="1" t="s">
        <v>1046</v>
      </c>
      <c r="G238" s="1" t="s">
        <v>1046</v>
      </c>
      <c r="H238" s="1"/>
      <c r="I238" s="1"/>
      <c r="J238" s="1" t="s">
        <v>1603</v>
      </c>
      <c r="K238" s="1"/>
      <c r="L238" s="8" t="s">
        <v>1528</v>
      </c>
      <c r="M238" s="1" t="s">
        <v>424</v>
      </c>
    </row>
    <row r="239" spans="1:13" ht="13.2">
      <c r="A239" s="1" t="s">
        <v>911</v>
      </c>
      <c r="B239" s="1"/>
      <c r="C239" s="1"/>
      <c r="D239" s="1"/>
      <c r="E239" s="1" t="s">
        <v>102</v>
      </c>
      <c r="F239" s="1" t="s">
        <v>1046</v>
      </c>
      <c r="G239" s="1" t="s">
        <v>1046</v>
      </c>
      <c r="H239" s="1"/>
      <c r="I239" s="1"/>
      <c r="J239" s="1" t="s">
        <v>1605</v>
      </c>
      <c r="K239" s="1"/>
      <c r="L239" s="8" t="s">
        <v>1528</v>
      </c>
      <c r="M239" s="1" t="s">
        <v>424</v>
      </c>
    </row>
    <row r="240" spans="1:13" ht="13.2">
      <c r="A240" s="1" t="s">
        <v>912</v>
      </c>
      <c r="B240" s="1"/>
      <c r="C240" s="1"/>
      <c r="D240" s="1"/>
      <c r="E240" s="1" t="s">
        <v>102</v>
      </c>
      <c r="F240" s="1" t="s">
        <v>1046</v>
      </c>
      <c r="G240" s="1" t="s">
        <v>1046</v>
      </c>
      <c r="H240" s="1"/>
      <c r="I240" s="1"/>
      <c r="J240" s="1" t="s">
        <v>1684</v>
      </c>
      <c r="K240" s="1"/>
      <c r="L240" s="8" t="s">
        <v>1528</v>
      </c>
      <c r="M240" s="1" t="s">
        <v>424</v>
      </c>
    </row>
    <row r="241" spans="1:13" ht="13.2">
      <c r="A241" s="1" t="s">
        <v>913</v>
      </c>
      <c r="B241" s="1"/>
      <c r="C241" s="1"/>
      <c r="D241" s="1"/>
      <c r="E241" s="1" t="s">
        <v>102</v>
      </c>
      <c r="F241" s="1" t="s">
        <v>1046</v>
      </c>
      <c r="G241" s="1" t="s">
        <v>1046</v>
      </c>
      <c r="H241" s="1"/>
      <c r="I241" s="1"/>
      <c r="J241" s="1" t="s">
        <v>1685</v>
      </c>
      <c r="K241" s="1"/>
      <c r="L241" s="8" t="s">
        <v>1528</v>
      </c>
      <c r="M241" s="1" t="s">
        <v>424</v>
      </c>
    </row>
    <row r="242" spans="1:13" ht="13.2">
      <c r="A242" s="1" t="s">
        <v>914</v>
      </c>
      <c r="B242" s="1"/>
      <c r="C242" s="1"/>
      <c r="D242" s="1"/>
      <c r="E242" s="1" t="s">
        <v>102</v>
      </c>
      <c r="F242" s="1" t="s">
        <v>1046</v>
      </c>
      <c r="G242" s="1" t="s">
        <v>1046</v>
      </c>
      <c r="H242" s="1"/>
      <c r="I242" s="1"/>
      <c r="J242" s="1" t="s">
        <v>1686</v>
      </c>
      <c r="K242" s="1"/>
      <c r="L242" s="8" t="s">
        <v>1528</v>
      </c>
      <c r="M242" s="1" t="s">
        <v>424</v>
      </c>
    </row>
    <row r="243" spans="1:13" ht="13.2">
      <c r="A243" s="1" t="s">
        <v>915</v>
      </c>
      <c r="B243" s="1"/>
      <c r="C243" s="1"/>
      <c r="D243" s="1"/>
      <c r="E243" s="1" t="s">
        <v>102</v>
      </c>
      <c r="F243" s="1" t="s">
        <v>1046</v>
      </c>
      <c r="G243" s="1" t="s">
        <v>1046</v>
      </c>
      <c r="H243" s="1"/>
      <c r="I243" s="1"/>
      <c r="J243" s="1" t="s">
        <v>1687</v>
      </c>
      <c r="K243" s="1"/>
      <c r="L243" s="8" t="s">
        <v>1528</v>
      </c>
      <c r="M243" s="1" t="s">
        <v>424</v>
      </c>
    </row>
    <row r="244" spans="1:13" ht="13.2">
      <c r="A244" s="1" t="s">
        <v>916</v>
      </c>
      <c r="B244" s="1"/>
      <c r="C244" s="1"/>
      <c r="D244" s="1"/>
      <c r="E244" s="1" t="s">
        <v>102</v>
      </c>
      <c r="F244" s="1" t="s">
        <v>1046</v>
      </c>
      <c r="G244" s="1" t="s">
        <v>1046</v>
      </c>
      <c r="H244" s="1"/>
      <c r="I244" s="1"/>
      <c r="J244" s="1" t="s">
        <v>1688</v>
      </c>
      <c r="K244" s="1"/>
      <c r="L244" s="8" t="s">
        <v>1528</v>
      </c>
      <c r="M244" s="1" t="s">
        <v>424</v>
      </c>
    </row>
    <row r="245" spans="1:13" ht="13.2">
      <c r="A245" s="1" t="s">
        <v>917</v>
      </c>
      <c r="B245" s="1"/>
      <c r="C245" s="1"/>
      <c r="D245" s="1"/>
      <c r="E245" s="1" t="s">
        <v>102</v>
      </c>
      <c r="F245" s="1" t="s">
        <v>1046</v>
      </c>
      <c r="G245" s="1" t="s">
        <v>1046</v>
      </c>
      <c r="H245" s="1"/>
      <c r="I245" s="1"/>
      <c r="J245" s="1" t="s">
        <v>1689</v>
      </c>
      <c r="K245" s="1"/>
      <c r="L245" s="8" t="s">
        <v>1528</v>
      </c>
      <c r="M245" s="1" t="s">
        <v>424</v>
      </c>
    </row>
    <row r="246" spans="1:13" ht="13.2">
      <c r="A246" s="1" t="s">
        <v>918</v>
      </c>
      <c r="B246" s="1"/>
      <c r="C246" s="1"/>
      <c r="D246" s="1"/>
      <c r="E246" s="1" t="s">
        <v>102</v>
      </c>
      <c r="F246" s="1" t="s">
        <v>1046</v>
      </c>
      <c r="G246" s="1" t="s">
        <v>1046</v>
      </c>
      <c r="H246" s="1"/>
      <c r="I246" s="1"/>
      <c r="J246" s="1" t="s">
        <v>1690</v>
      </c>
      <c r="K246" s="1"/>
      <c r="L246" s="8" t="s">
        <v>1528</v>
      </c>
      <c r="M246" s="1" t="s">
        <v>424</v>
      </c>
    </row>
    <row r="247" spans="1:13" ht="13.2">
      <c r="A247" s="1" t="s">
        <v>919</v>
      </c>
      <c r="B247" s="1"/>
      <c r="C247" s="1"/>
      <c r="D247" s="1"/>
      <c r="E247" s="1" t="s">
        <v>102</v>
      </c>
      <c r="F247" s="1" t="s">
        <v>1046</v>
      </c>
      <c r="G247" s="1" t="s">
        <v>1046</v>
      </c>
      <c r="H247" s="1"/>
      <c r="I247" s="1"/>
      <c r="J247" s="1" t="s">
        <v>1691</v>
      </c>
      <c r="K247" s="1"/>
      <c r="L247" s="8" t="s">
        <v>1528</v>
      </c>
      <c r="M247" s="1" t="s">
        <v>424</v>
      </c>
    </row>
    <row r="248" spans="1:13" ht="13.2">
      <c r="A248" s="1" t="s">
        <v>920</v>
      </c>
      <c r="B248" s="1"/>
      <c r="C248" s="1"/>
      <c r="D248" s="1"/>
      <c r="E248" s="1" t="s">
        <v>102</v>
      </c>
      <c r="F248" s="1" t="s">
        <v>1046</v>
      </c>
      <c r="G248" s="1" t="s">
        <v>1046</v>
      </c>
      <c r="H248" s="1"/>
      <c r="I248" s="1"/>
      <c r="J248" s="1" t="s">
        <v>1692</v>
      </c>
      <c r="K248" s="1"/>
      <c r="L248" s="8" t="s">
        <v>1528</v>
      </c>
      <c r="M248" s="1" t="s">
        <v>424</v>
      </c>
    </row>
    <row r="249" spans="1:13" ht="13.2">
      <c r="A249" s="1" t="s">
        <v>921</v>
      </c>
      <c r="B249" s="1"/>
      <c r="C249" s="1"/>
      <c r="D249" s="1"/>
      <c r="E249" s="1" t="s">
        <v>102</v>
      </c>
      <c r="F249" s="1" t="s">
        <v>1046</v>
      </c>
      <c r="G249" s="1" t="s">
        <v>1046</v>
      </c>
      <c r="H249" s="1"/>
      <c r="I249" s="1"/>
      <c r="J249" s="1" t="s">
        <v>1693</v>
      </c>
      <c r="K249" s="1"/>
      <c r="L249" s="8" t="s">
        <v>1528</v>
      </c>
      <c r="M249" s="1" t="s">
        <v>424</v>
      </c>
    </row>
    <row r="250" spans="1:13" ht="13.2">
      <c r="A250" s="1" t="s">
        <v>922</v>
      </c>
      <c r="B250" s="1"/>
      <c r="C250" s="1"/>
      <c r="D250" s="1"/>
      <c r="E250" s="1" t="s">
        <v>102</v>
      </c>
      <c r="F250" s="1" t="s">
        <v>1046</v>
      </c>
      <c r="G250" s="1" t="s">
        <v>1046</v>
      </c>
      <c r="H250" s="1"/>
      <c r="I250" s="1"/>
      <c r="J250" s="1" t="s">
        <v>1690</v>
      </c>
      <c r="K250" s="1"/>
      <c r="L250" s="8" t="s">
        <v>1528</v>
      </c>
      <c r="M250" s="1" t="s">
        <v>424</v>
      </c>
    </row>
    <row r="251" spans="1:13" ht="13.2">
      <c r="A251" s="1" t="s">
        <v>923</v>
      </c>
      <c r="B251" s="1"/>
      <c r="C251" s="1"/>
      <c r="D251" s="1"/>
      <c r="E251" s="1" t="s">
        <v>102</v>
      </c>
      <c r="F251" s="1" t="s">
        <v>1046</v>
      </c>
      <c r="G251" s="1" t="s">
        <v>1046</v>
      </c>
      <c r="H251" s="1"/>
      <c r="I251" s="1"/>
      <c r="J251" s="1" t="s">
        <v>1691</v>
      </c>
      <c r="K251" s="1"/>
      <c r="L251" s="8" t="s">
        <v>1528</v>
      </c>
      <c r="M251" s="1" t="s">
        <v>424</v>
      </c>
    </row>
    <row r="252" spans="1:13" ht="13.2">
      <c r="A252" s="1" t="s">
        <v>855</v>
      </c>
      <c r="B252" s="1"/>
      <c r="C252" s="1"/>
      <c r="D252" s="1"/>
      <c r="E252" s="1" t="s">
        <v>1045</v>
      </c>
      <c r="F252" s="1" t="s">
        <v>1046</v>
      </c>
      <c r="G252" s="1" t="s">
        <v>1472</v>
      </c>
      <c r="H252" s="1" t="s">
        <v>1046</v>
      </c>
      <c r="I252" s="1" t="s">
        <v>1046</v>
      </c>
      <c r="J252" s="1" t="s">
        <v>1694</v>
      </c>
      <c r="K252" s="1"/>
      <c r="L252" s="8" t="s">
        <v>1528</v>
      </c>
      <c r="M252" s="1" t="s">
        <v>424</v>
      </c>
    </row>
    <row r="253" spans="1:13" ht="13.2">
      <c r="A253" s="1" t="s">
        <v>856</v>
      </c>
      <c r="B253" s="1"/>
      <c r="C253" s="1"/>
      <c r="D253" s="1"/>
      <c r="E253" s="1" t="s">
        <v>1045</v>
      </c>
      <c r="F253" s="1" t="s">
        <v>1046</v>
      </c>
      <c r="G253" s="1" t="s">
        <v>1472</v>
      </c>
      <c r="H253" s="1" t="s">
        <v>1046</v>
      </c>
      <c r="I253" s="1" t="s">
        <v>1046</v>
      </c>
      <c r="J253" s="1" t="s">
        <v>1695</v>
      </c>
      <c r="K253" s="1"/>
      <c r="L253" s="8" t="s">
        <v>1528</v>
      </c>
      <c r="M253" s="1" t="s">
        <v>424</v>
      </c>
    </row>
    <row r="254" spans="1:13" ht="13.2">
      <c r="A254" s="1" t="s">
        <v>857</v>
      </c>
      <c r="B254" s="1"/>
      <c r="C254" s="1"/>
      <c r="D254" s="1"/>
      <c r="E254" s="1" t="s">
        <v>1045</v>
      </c>
      <c r="F254" s="1" t="s">
        <v>1046</v>
      </c>
      <c r="G254" s="1" t="s">
        <v>1472</v>
      </c>
      <c r="H254" s="1" t="s">
        <v>1046</v>
      </c>
      <c r="I254" s="1" t="s">
        <v>1046</v>
      </c>
      <c r="J254" s="1" t="s">
        <v>1696</v>
      </c>
      <c r="K254" s="1"/>
      <c r="L254" s="8" t="s">
        <v>1528</v>
      </c>
      <c r="M254" s="1" t="s">
        <v>424</v>
      </c>
    </row>
    <row r="255" spans="1:13" ht="13.2">
      <c r="A255" s="1" t="s">
        <v>852</v>
      </c>
      <c r="B255" s="1"/>
      <c r="C255" s="1"/>
      <c r="D255" s="1"/>
      <c r="E255" s="1" t="s">
        <v>1045</v>
      </c>
      <c r="F255" s="1" t="s">
        <v>1046</v>
      </c>
      <c r="G255" s="1" t="s">
        <v>1472</v>
      </c>
      <c r="H255" s="1" t="s">
        <v>1046</v>
      </c>
      <c r="I255" s="1" t="s">
        <v>1046</v>
      </c>
      <c r="J255" s="1" t="s">
        <v>1697</v>
      </c>
      <c r="K255" s="1"/>
      <c r="L255" s="8" t="s">
        <v>1528</v>
      </c>
      <c r="M255" s="1" t="s">
        <v>424</v>
      </c>
    </row>
    <row r="256" spans="1:13" ht="13.2">
      <c r="A256" s="1" t="s">
        <v>858</v>
      </c>
      <c r="B256" s="1"/>
      <c r="C256" s="1"/>
      <c r="D256" s="1"/>
      <c r="E256" s="1" t="s">
        <v>1045</v>
      </c>
      <c r="F256" s="1" t="s">
        <v>1046</v>
      </c>
      <c r="G256" s="1" t="s">
        <v>1472</v>
      </c>
      <c r="H256" s="1" t="s">
        <v>1046</v>
      </c>
      <c r="I256" s="1" t="s">
        <v>1046</v>
      </c>
      <c r="J256" s="1" t="s">
        <v>1698</v>
      </c>
      <c r="K256" s="1"/>
      <c r="L256" s="8" t="s">
        <v>1528</v>
      </c>
      <c r="M256" s="1" t="s">
        <v>424</v>
      </c>
    </row>
    <row r="257" spans="1:13" ht="13.2">
      <c r="A257" s="1" t="s">
        <v>859</v>
      </c>
      <c r="B257" s="1"/>
      <c r="C257" s="1"/>
      <c r="D257" s="1"/>
      <c r="E257" s="1" t="s">
        <v>1045</v>
      </c>
      <c r="F257" s="1" t="s">
        <v>1046</v>
      </c>
      <c r="G257" s="1" t="s">
        <v>1472</v>
      </c>
      <c r="H257" s="1" t="s">
        <v>1046</v>
      </c>
      <c r="I257" s="1" t="s">
        <v>1046</v>
      </c>
      <c r="J257" s="1" t="s">
        <v>1699</v>
      </c>
      <c r="K257" s="1"/>
      <c r="L257" s="8" t="s">
        <v>1528</v>
      </c>
      <c r="M257" s="1" t="s">
        <v>424</v>
      </c>
    </row>
    <row r="258" spans="1:13" ht="13.2">
      <c r="A258" s="1" t="s">
        <v>860</v>
      </c>
      <c r="B258" s="1"/>
      <c r="C258" s="1"/>
      <c r="D258" s="1"/>
      <c r="E258" s="1" t="s">
        <v>1045</v>
      </c>
      <c r="F258" s="1" t="s">
        <v>1046</v>
      </c>
      <c r="G258" s="1" t="s">
        <v>1472</v>
      </c>
      <c r="H258" s="1" t="s">
        <v>1046</v>
      </c>
      <c r="I258" s="1" t="s">
        <v>1046</v>
      </c>
      <c r="J258" s="1" t="s">
        <v>1700</v>
      </c>
      <c r="K258" s="1"/>
      <c r="L258" s="8" t="s">
        <v>1528</v>
      </c>
      <c r="M258" s="1" t="s">
        <v>424</v>
      </c>
    </row>
    <row r="259" spans="1:13" ht="13.2">
      <c r="A259" s="1" t="s">
        <v>861</v>
      </c>
      <c r="B259" s="1"/>
      <c r="C259" s="1"/>
      <c r="D259" s="1"/>
      <c r="E259" s="1" t="s">
        <v>1045</v>
      </c>
      <c r="F259" s="1" t="s">
        <v>1046</v>
      </c>
      <c r="G259" s="1" t="s">
        <v>1472</v>
      </c>
      <c r="H259" s="1" t="s">
        <v>1046</v>
      </c>
      <c r="I259" s="1" t="s">
        <v>1046</v>
      </c>
      <c r="J259" s="1" t="s">
        <v>1701</v>
      </c>
      <c r="K259" s="1"/>
      <c r="L259" s="8" t="s">
        <v>1528</v>
      </c>
      <c r="M259" s="1" t="s">
        <v>424</v>
      </c>
    </row>
    <row r="260" spans="1:13" ht="13.2">
      <c r="A260" s="1" t="s">
        <v>848</v>
      </c>
      <c r="B260" s="1"/>
      <c r="C260" s="1"/>
      <c r="D260" s="1"/>
      <c r="E260" s="1" t="s">
        <v>1045</v>
      </c>
      <c r="F260" s="1" t="s">
        <v>1046</v>
      </c>
      <c r="G260" s="1" t="s">
        <v>1472</v>
      </c>
      <c r="H260" s="1" t="s">
        <v>1046</v>
      </c>
      <c r="I260" s="1" t="s">
        <v>1046</v>
      </c>
      <c r="J260" s="1" t="s">
        <v>1702</v>
      </c>
      <c r="K260" s="1"/>
      <c r="L260" s="8" t="s">
        <v>1528</v>
      </c>
      <c r="M260" s="1" t="s">
        <v>424</v>
      </c>
    </row>
    <row r="261" spans="1:13" ht="13.2">
      <c r="A261" s="1" t="s">
        <v>862</v>
      </c>
      <c r="B261" s="1"/>
      <c r="C261" s="1"/>
      <c r="D261" s="1"/>
      <c r="E261" s="1" t="s">
        <v>1045</v>
      </c>
      <c r="F261" s="1" t="s">
        <v>1046</v>
      </c>
      <c r="G261" s="1" t="s">
        <v>1472</v>
      </c>
      <c r="H261" s="1" t="s">
        <v>1046</v>
      </c>
      <c r="I261" s="1" t="s">
        <v>1046</v>
      </c>
      <c r="J261" s="1" t="s">
        <v>1703</v>
      </c>
      <c r="K261" s="1"/>
      <c r="L261" s="8" t="s">
        <v>1528</v>
      </c>
      <c r="M261" s="1" t="s">
        <v>424</v>
      </c>
    </row>
    <row r="262" spans="1:13" ht="13.2">
      <c r="A262" s="1" t="s">
        <v>991</v>
      </c>
      <c r="B262" s="1"/>
      <c r="C262" s="1"/>
      <c r="D262" s="1"/>
      <c r="E262" s="1" t="s">
        <v>102</v>
      </c>
      <c r="F262" s="1" t="s">
        <v>1704</v>
      </c>
      <c r="G262" s="1" t="s">
        <v>1046</v>
      </c>
      <c r="H262" s="1"/>
      <c r="I262" s="1"/>
      <c r="J262" s="1" t="s">
        <v>1705</v>
      </c>
      <c r="K262" s="1"/>
      <c r="L262" s="8" t="s">
        <v>1528</v>
      </c>
      <c r="M262" s="1" t="s">
        <v>424</v>
      </c>
    </row>
    <row r="263" spans="1:13" ht="13.2">
      <c r="A263" s="1" t="s">
        <v>992</v>
      </c>
      <c r="B263" s="1"/>
      <c r="C263" s="1"/>
      <c r="D263" s="1"/>
      <c r="E263" s="1" t="s">
        <v>102</v>
      </c>
      <c r="F263" s="1" t="s">
        <v>1706</v>
      </c>
      <c r="G263" s="1" t="s">
        <v>1046</v>
      </c>
      <c r="H263" s="1"/>
      <c r="I263" s="1"/>
      <c r="J263" s="1" t="s">
        <v>1707</v>
      </c>
      <c r="K263" s="1"/>
      <c r="L263" s="8" t="s">
        <v>1528</v>
      </c>
      <c r="M263" s="1" t="s">
        <v>424</v>
      </c>
    </row>
    <row r="264" spans="1:13" ht="13.2">
      <c r="A264" s="1" t="s">
        <v>993</v>
      </c>
      <c r="B264" s="1"/>
      <c r="C264" s="1"/>
      <c r="D264" s="1"/>
      <c r="E264" s="1" t="s">
        <v>102</v>
      </c>
      <c r="F264" s="1" t="s">
        <v>1708</v>
      </c>
      <c r="G264" s="1" t="s">
        <v>1046</v>
      </c>
      <c r="H264" s="1"/>
      <c r="I264" s="1"/>
      <c r="J264" s="1" t="s">
        <v>1709</v>
      </c>
      <c r="K264" s="1"/>
      <c r="L264" s="8" t="s">
        <v>1528</v>
      </c>
      <c r="M264" s="1" t="s">
        <v>424</v>
      </c>
    </row>
    <row r="265" spans="1:13" ht="13.2">
      <c r="A265" s="1" t="s">
        <v>994</v>
      </c>
      <c r="B265" s="1"/>
      <c r="C265" s="1"/>
      <c r="D265" s="1"/>
      <c r="E265" s="1" t="s">
        <v>102</v>
      </c>
      <c r="F265" s="1" t="s">
        <v>1710</v>
      </c>
      <c r="G265" s="1" t="s">
        <v>1046</v>
      </c>
      <c r="H265" s="1"/>
      <c r="I265" s="1"/>
      <c r="J265" s="1" t="s">
        <v>1711</v>
      </c>
      <c r="K265" s="1"/>
      <c r="L265" s="8" t="s">
        <v>1528</v>
      </c>
      <c r="M265" s="1" t="s">
        <v>424</v>
      </c>
    </row>
    <row r="266" spans="1:13" ht="13.2">
      <c r="A266" s="1" t="s">
        <v>995</v>
      </c>
      <c r="B266" s="1"/>
      <c r="C266" s="1"/>
      <c r="D266" s="1"/>
      <c r="E266" s="1" t="s">
        <v>1045</v>
      </c>
      <c r="F266" s="1" t="s">
        <v>1046</v>
      </c>
      <c r="G266" s="1" t="s">
        <v>1712</v>
      </c>
      <c r="H266" s="1" t="s">
        <v>1046</v>
      </c>
      <c r="I266" s="1" t="s">
        <v>1046</v>
      </c>
      <c r="J266" s="1" t="s">
        <v>1713</v>
      </c>
      <c r="K266" s="1"/>
      <c r="L266" s="8" t="s">
        <v>1528</v>
      </c>
      <c r="M266" s="1" t="s">
        <v>424</v>
      </c>
    </row>
    <row r="267" spans="1:13" ht="13.2">
      <c r="A267" s="1" t="s">
        <v>996</v>
      </c>
      <c r="B267" s="1"/>
      <c r="C267" s="1"/>
      <c r="D267" s="1"/>
      <c r="E267" s="1" t="s">
        <v>102</v>
      </c>
      <c r="F267" s="1" t="s">
        <v>1714</v>
      </c>
      <c r="G267" s="1" t="s">
        <v>1046</v>
      </c>
      <c r="H267" s="1"/>
      <c r="I267" s="1"/>
      <c r="J267" s="1" t="s">
        <v>1714</v>
      </c>
      <c r="K267" s="1"/>
      <c r="L267" s="8" t="s">
        <v>1528</v>
      </c>
      <c r="M267" s="1" t="s">
        <v>424</v>
      </c>
    </row>
    <row r="268" spans="1:13" ht="13.2">
      <c r="A268" s="1" t="s">
        <v>997</v>
      </c>
      <c r="B268" s="1"/>
      <c r="C268" s="1"/>
      <c r="D268" s="1"/>
      <c r="E268" s="1" t="s">
        <v>102</v>
      </c>
      <c r="F268" s="1" t="s">
        <v>1715</v>
      </c>
      <c r="G268" s="1" t="s">
        <v>1046</v>
      </c>
      <c r="H268" s="1"/>
      <c r="I268" s="1"/>
      <c r="J268" s="1" t="s">
        <v>1716</v>
      </c>
      <c r="K268" s="1"/>
      <c r="L268" s="8" t="s">
        <v>1528</v>
      </c>
      <c r="M268" s="1" t="s">
        <v>424</v>
      </c>
    </row>
    <row r="269" spans="1:13" ht="13.2">
      <c r="A269" s="1" t="s">
        <v>998</v>
      </c>
      <c r="B269" s="1"/>
      <c r="C269" s="1"/>
      <c r="D269" s="1"/>
      <c r="E269" s="1" t="s">
        <v>102</v>
      </c>
      <c r="F269" s="1" t="s">
        <v>1717</v>
      </c>
      <c r="G269" s="1" t="s">
        <v>1046</v>
      </c>
      <c r="H269" s="1"/>
      <c r="I269" s="1"/>
      <c r="J269" s="1" t="s">
        <v>1717</v>
      </c>
      <c r="K269" s="1"/>
      <c r="L269" s="8" t="s">
        <v>1528</v>
      </c>
      <c r="M269" s="1" t="s">
        <v>424</v>
      </c>
    </row>
    <row r="270" spans="1:13" ht="13.2">
      <c r="A270" s="1" t="s">
        <v>999</v>
      </c>
      <c r="B270" s="1"/>
      <c r="C270" s="1"/>
      <c r="D270" s="1"/>
      <c r="E270" s="1" t="s">
        <v>102</v>
      </c>
      <c r="F270" s="1" t="s">
        <v>1718</v>
      </c>
      <c r="G270" s="1" t="s">
        <v>1046</v>
      </c>
      <c r="H270" s="1"/>
      <c r="I270" s="1"/>
      <c r="J270" s="1" t="s">
        <v>1718</v>
      </c>
      <c r="K270" s="1"/>
      <c r="L270" s="8" t="s">
        <v>1528</v>
      </c>
      <c r="M270" s="1" t="s">
        <v>424</v>
      </c>
    </row>
    <row r="271" spans="1:13" ht="13.2">
      <c r="A271" s="1" t="s">
        <v>898</v>
      </c>
      <c r="B271" s="1"/>
      <c r="C271" s="1"/>
      <c r="D271" s="1"/>
      <c r="E271" s="1" t="s">
        <v>102</v>
      </c>
      <c r="F271" s="1" t="s">
        <v>1637</v>
      </c>
      <c r="G271" s="1" t="s">
        <v>1046</v>
      </c>
      <c r="H271" s="1"/>
      <c r="I271" s="1"/>
      <c r="J271" s="1" t="s">
        <v>1719</v>
      </c>
      <c r="K271" s="1"/>
      <c r="L271" s="8" t="s">
        <v>1528</v>
      </c>
      <c r="M271" s="1" t="s">
        <v>424</v>
      </c>
    </row>
    <row r="272" spans="1:13" ht="13.2">
      <c r="A272" s="1" t="s">
        <v>899</v>
      </c>
      <c r="B272" s="1"/>
      <c r="C272" s="1"/>
      <c r="D272" s="1"/>
      <c r="E272" s="1" t="s">
        <v>102</v>
      </c>
      <c r="F272" s="1" t="s">
        <v>1637</v>
      </c>
      <c r="G272" s="1" t="s">
        <v>1046</v>
      </c>
      <c r="H272" s="1"/>
      <c r="I272" s="1"/>
      <c r="J272" s="1" t="s">
        <v>1720</v>
      </c>
      <c r="K272" s="1"/>
      <c r="L272" s="8" t="s">
        <v>1528</v>
      </c>
      <c r="M272" s="1" t="s">
        <v>424</v>
      </c>
    </row>
    <row r="273" spans="1:13" ht="13.2">
      <c r="A273" s="1" t="s">
        <v>884</v>
      </c>
      <c r="B273" s="1"/>
      <c r="C273" s="1"/>
      <c r="D273" s="1"/>
      <c r="E273" s="1" t="s">
        <v>102</v>
      </c>
      <c r="F273" s="1" t="s">
        <v>1667</v>
      </c>
      <c r="G273" s="1" t="s">
        <v>1046</v>
      </c>
      <c r="H273" s="1"/>
      <c r="I273" s="1"/>
      <c r="J273" s="1" t="s">
        <v>1721</v>
      </c>
      <c r="K273" s="1"/>
      <c r="L273" s="8" t="s">
        <v>1528</v>
      </c>
      <c r="M273" s="1" t="s">
        <v>424</v>
      </c>
    </row>
    <row r="274" spans="1:13" ht="13.2">
      <c r="A274" s="1" t="s">
        <v>890</v>
      </c>
      <c r="B274" s="1"/>
      <c r="C274" s="1"/>
      <c r="D274" s="1"/>
      <c r="E274" s="1" t="s">
        <v>1045</v>
      </c>
      <c r="F274" s="1" t="s">
        <v>1046</v>
      </c>
      <c r="G274" s="1" t="s">
        <v>1472</v>
      </c>
      <c r="H274" s="1" t="s">
        <v>1046</v>
      </c>
      <c r="I274" s="1" t="s">
        <v>1046</v>
      </c>
      <c r="J274" s="1" t="s">
        <v>1722</v>
      </c>
      <c r="K274" s="1"/>
      <c r="L274" s="8" t="s">
        <v>1528</v>
      </c>
      <c r="M274" s="1" t="s">
        <v>424</v>
      </c>
    </row>
    <row r="275" spans="1:13" ht="13.2">
      <c r="A275" s="1" t="s">
        <v>886</v>
      </c>
      <c r="B275" s="1"/>
      <c r="C275" s="1"/>
      <c r="D275" s="1"/>
      <c r="E275" s="1" t="s">
        <v>1045</v>
      </c>
      <c r="F275" s="1" t="s">
        <v>1046</v>
      </c>
      <c r="G275" s="1" t="s">
        <v>1712</v>
      </c>
      <c r="H275" s="1" t="s">
        <v>1046</v>
      </c>
      <c r="I275" s="1" t="s">
        <v>1046</v>
      </c>
      <c r="J275" s="1" t="s">
        <v>1723</v>
      </c>
      <c r="K275" s="1"/>
      <c r="L275" s="8" t="s">
        <v>1528</v>
      </c>
      <c r="M275" s="1" t="s">
        <v>424</v>
      </c>
    </row>
    <row r="276" spans="1:13" ht="13.2">
      <c r="A276" s="1" t="s">
        <v>465</v>
      </c>
      <c r="B276" s="1"/>
      <c r="C276" s="1"/>
      <c r="D276" s="1"/>
      <c r="E276" s="1" t="s">
        <v>102</v>
      </c>
      <c r="F276" s="1" t="s">
        <v>1136</v>
      </c>
      <c r="G276" s="1" t="s">
        <v>1046</v>
      </c>
      <c r="H276" s="1"/>
      <c r="I276" s="1"/>
      <c r="J276" s="1" t="s">
        <v>462</v>
      </c>
      <c r="K276" s="1"/>
      <c r="L276" s="8" t="s">
        <v>1528</v>
      </c>
      <c r="M276" s="1" t="s">
        <v>424</v>
      </c>
    </row>
    <row r="277" spans="1:13" ht="13.2">
      <c r="A277" s="1" t="s">
        <v>504</v>
      </c>
      <c r="B277" s="1"/>
      <c r="C277" s="1"/>
      <c r="D277" s="1"/>
      <c r="E277" s="1" t="s">
        <v>102</v>
      </c>
      <c r="F277" s="1" t="s">
        <v>1407</v>
      </c>
      <c r="G277" s="1" t="s">
        <v>1046</v>
      </c>
      <c r="H277" s="1"/>
      <c r="I277" s="1"/>
      <c r="J277" s="1" t="s">
        <v>1724</v>
      </c>
      <c r="K277" s="1"/>
      <c r="L277" s="8" t="s">
        <v>1528</v>
      </c>
      <c r="M277" s="1" t="s">
        <v>424</v>
      </c>
    </row>
    <row r="278" spans="1:13" ht="13.2">
      <c r="A278" s="1" t="s">
        <v>506</v>
      </c>
      <c r="B278" s="1"/>
      <c r="C278" s="1"/>
      <c r="D278" s="1"/>
      <c r="E278" s="1" t="s">
        <v>102</v>
      </c>
      <c r="F278" s="1" t="s">
        <v>1407</v>
      </c>
      <c r="G278" s="1" t="s">
        <v>1046</v>
      </c>
      <c r="H278" s="1"/>
      <c r="I278" s="1"/>
      <c r="J278" s="1" t="s">
        <v>1725</v>
      </c>
      <c r="K278" s="1"/>
      <c r="L278" s="8" t="s">
        <v>1528</v>
      </c>
      <c r="M278" s="1" t="s">
        <v>424</v>
      </c>
    </row>
    <row r="279" spans="1:13" ht="13.2">
      <c r="A279" s="1" t="s">
        <v>495</v>
      </c>
      <c r="B279" s="1"/>
      <c r="C279" s="1"/>
      <c r="D279" s="1"/>
      <c r="E279" s="1" t="s">
        <v>102</v>
      </c>
      <c r="F279" s="1" t="s">
        <v>1407</v>
      </c>
      <c r="G279" s="1" t="s">
        <v>1046</v>
      </c>
      <c r="H279" s="1"/>
      <c r="I279" s="1"/>
      <c r="J279" s="1" t="s">
        <v>492</v>
      </c>
      <c r="K279" s="1"/>
      <c r="L279" s="8" t="s">
        <v>1528</v>
      </c>
      <c r="M279" s="1" t="s">
        <v>424</v>
      </c>
    </row>
    <row r="280" spans="1:13" ht="13.2">
      <c r="A280" s="1" t="s">
        <v>611</v>
      </c>
      <c r="B280" s="1"/>
      <c r="C280" s="1"/>
      <c r="D280" s="1"/>
      <c r="E280" s="1" t="s">
        <v>102</v>
      </c>
      <c r="F280" s="1" t="s">
        <v>1046</v>
      </c>
      <c r="G280" s="1" t="s">
        <v>1046</v>
      </c>
      <c r="H280" s="1"/>
      <c r="I280" s="1"/>
      <c r="J280" s="1" t="s">
        <v>1726</v>
      </c>
      <c r="K280" s="1"/>
      <c r="L280" s="8" t="s">
        <v>1528</v>
      </c>
      <c r="M280" s="1" t="s">
        <v>424</v>
      </c>
    </row>
    <row r="281" spans="1:13" ht="13.2">
      <c r="A281" s="1" t="s">
        <v>603</v>
      </c>
      <c r="B281" s="1"/>
      <c r="C281" s="1"/>
      <c r="D281" s="1"/>
      <c r="E281" s="1" t="s">
        <v>102</v>
      </c>
      <c r="F281" s="1" t="s">
        <v>1407</v>
      </c>
      <c r="G281" s="1" t="s">
        <v>1046</v>
      </c>
      <c r="H281" s="1"/>
      <c r="I281" s="1"/>
      <c r="J281" s="1" t="s">
        <v>1727</v>
      </c>
      <c r="K281" s="1"/>
      <c r="L281" s="8" t="s">
        <v>1528</v>
      </c>
      <c r="M281" s="1" t="s">
        <v>424</v>
      </c>
    </row>
    <row r="282" spans="1:13" ht="13.2">
      <c r="A282" s="1" t="s">
        <v>520</v>
      </c>
      <c r="B282" s="1"/>
      <c r="C282" s="1"/>
      <c r="D282" s="1"/>
      <c r="E282" s="1" t="s">
        <v>102</v>
      </c>
      <c r="F282" s="1" t="s">
        <v>1046</v>
      </c>
      <c r="G282" s="1" t="s">
        <v>1046</v>
      </c>
      <c r="H282" s="1"/>
      <c r="I282" s="1"/>
      <c r="J282" s="1" t="s">
        <v>1728</v>
      </c>
      <c r="K282" s="1"/>
      <c r="L282" s="8" t="s">
        <v>1528</v>
      </c>
      <c r="M282" s="1" t="s">
        <v>424</v>
      </c>
    </row>
    <row r="283" spans="1:13" ht="13.2">
      <c r="A283" s="1" t="s">
        <v>509</v>
      </c>
      <c r="B283" s="1"/>
      <c r="C283" s="1"/>
      <c r="D283" s="1"/>
      <c r="E283" s="1" t="s">
        <v>102</v>
      </c>
      <c r="F283" s="1" t="s">
        <v>1729</v>
      </c>
      <c r="G283" s="1" t="s">
        <v>1046</v>
      </c>
      <c r="H283" s="1"/>
      <c r="I283" s="1"/>
      <c r="J283" s="1" t="s">
        <v>1730</v>
      </c>
      <c r="K283" s="1"/>
      <c r="L283" s="8" t="s">
        <v>1528</v>
      </c>
      <c r="M283" s="1" t="s">
        <v>424</v>
      </c>
    </row>
    <row r="284" spans="1:13" ht="13.2">
      <c r="A284" s="1" t="s">
        <v>1040</v>
      </c>
      <c r="B284" s="1"/>
      <c r="C284" s="1"/>
      <c r="D284" s="1"/>
      <c r="E284" s="1" t="s">
        <v>98</v>
      </c>
      <c r="F284" s="1" t="s">
        <v>1046</v>
      </c>
      <c r="G284" s="1"/>
      <c r="H284" s="1" t="s">
        <v>1046</v>
      </c>
      <c r="I284" s="1" t="s">
        <v>1046</v>
      </c>
      <c r="J284" s="1" t="s">
        <v>1731</v>
      </c>
      <c r="K284" s="1"/>
      <c r="L284" s="8" t="s">
        <v>1528</v>
      </c>
      <c r="M284" s="1" t="s">
        <v>424</v>
      </c>
    </row>
    <row r="285" spans="1:13" ht="13.2">
      <c r="A285" s="1" t="s">
        <v>1042</v>
      </c>
      <c r="B285" s="1"/>
      <c r="C285" s="1"/>
      <c r="D285" s="1"/>
      <c r="E285" s="1" t="s">
        <v>98</v>
      </c>
      <c r="F285" s="1" t="s">
        <v>1046</v>
      </c>
      <c r="G285" s="1"/>
      <c r="H285" s="1" t="s">
        <v>1046</v>
      </c>
      <c r="I285" s="1" t="s">
        <v>1046</v>
      </c>
      <c r="J285" s="1" t="s">
        <v>1732</v>
      </c>
      <c r="K285" s="1"/>
      <c r="L285" s="8" t="s">
        <v>1528</v>
      </c>
      <c r="M285" s="1" t="s">
        <v>424</v>
      </c>
    </row>
    <row r="286" spans="1:13" ht="13.2">
      <c r="A286" s="1" t="s">
        <v>1043</v>
      </c>
      <c r="B286" s="1"/>
      <c r="C286" s="1"/>
      <c r="D286" s="1"/>
      <c r="E286" s="1" t="s">
        <v>98</v>
      </c>
      <c r="F286" s="1" t="s">
        <v>1046</v>
      </c>
      <c r="G286" s="1"/>
      <c r="H286" s="1" t="s">
        <v>1046</v>
      </c>
      <c r="I286" s="1" t="s">
        <v>1046</v>
      </c>
      <c r="J286" s="1" t="s">
        <v>1733</v>
      </c>
      <c r="K286" s="1"/>
      <c r="L286" s="8" t="s">
        <v>1528</v>
      </c>
      <c r="M286" s="1" t="s">
        <v>424</v>
      </c>
    </row>
    <row r="287" spans="1:13" ht="13.2">
      <c r="A287" s="1" t="s">
        <v>756</v>
      </c>
      <c r="B287" s="1"/>
      <c r="C287" s="1"/>
      <c r="D287" s="1"/>
      <c r="E287" s="1" t="s">
        <v>102</v>
      </c>
      <c r="F287" s="1" t="s">
        <v>1046</v>
      </c>
      <c r="G287" s="1" t="s">
        <v>1046</v>
      </c>
      <c r="H287" s="1"/>
      <c r="I287" s="1"/>
      <c r="J287" s="1" t="s">
        <v>1734</v>
      </c>
      <c r="K287" s="1"/>
      <c r="L287" s="8" t="s">
        <v>1528</v>
      </c>
      <c r="M287" s="1" t="s">
        <v>424</v>
      </c>
    </row>
    <row r="288" spans="1:13" ht="13.2">
      <c r="A288" s="1" t="s">
        <v>757</v>
      </c>
      <c r="B288" s="1"/>
      <c r="C288" s="1"/>
      <c r="D288" s="1"/>
      <c r="E288" s="1" t="s">
        <v>102</v>
      </c>
      <c r="F288" s="1" t="s">
        <v>1046</v>
      </c>
      <c r="G288" s="1" t="s">
        <v>1046</v>
      </c>
      <c r="H288" s="1"/>
      <c r="I288" s="1"/>
      <c r="J288" s="1" t="s">
        <v>1735</v>
      </c>
      <c r="K288" s="1"/>
      <c r="L288" s="8" t="s">
        <v>1528</v>
      </c>
      <c r="M288" s="1" t="s">
        <v>424</v>
      </c>
    </row>
    <row r="289" spans="1:13" ht="13.2">
      <c r="A289" s="1" t="s">
        <v>701</v>
      </c>
      <c r="B289" s="1"/>
      <c r="C289" s="1"/>
      <c r="D289" s="1"/>
      <c r="E289" s="1" t="s">
        <v>102</v>
      </c>
      <c r="F289" s="1" t="s">
        <v>1736</v>
      </c>
      <c r="G289" s="1" t="s">
        <v>1046</v>
      </c>
      <c r="H289" s="1"/>
      <c r="I289" s="1"/>
      <c r="J289" s="1" t="s">
        <v>1737</v>
      </c>
      <c r="K289" s="1"/>
      <c r="L289" s="8" t="s">
        <v>1528</v>
      </c>
      <c r="M289" s="1" t="s">
        <v>424</v>
      </c>
    </row>
    <row r="290" spans="1:13" ht="13.2">
      <c r="A290" s="1" t="s">
        <v>705</v>
      </c>
      <c r="B290" s="1"/>
      <c r="C290" s="1"/>
      <c r="D290" s="1"/>
      <c r="E290" s="1" t="s">
        <v>102</v>
      </c>
      <c r="F290" s="1" t="s">
        <v>1641</v>
      </c>
      <c r="G290" s="1" t="s">
        <v>1046</v>
      </c>
      <c r="H290" s="1"/>
      <c r="I290" s="1"/>
      <c r="J290" s="1" t="s">
        <v>1738</v>
      </c>
      <c r="K290" s="1"/>
      <c r="L290" s="8" t="s">
        <v>1528</v>
      </c>
      <c r="M290" s="1" t="s">
        <v>424</v>
      </c>
    </row>
    <row r="291" spans="1:13" ht="13.2">
      <c r="A291" s="1" t="s">
        <v>696</v>
      </c>
      <c r="B291" s="1"/>
      <c r="C291" s="1"/>
      <c r="D291" s="1"/>
      <c r="E291" s="1" t="s">
        <v>102</v>
      </c>
      <c r="F291" s="1" t="s">
        <v>1641</v>
      </c>
      <c r="G291" s="1" t="s">
        <v>1046</v>
      </c>
      <c r="H291" s="1"/>
      <c r="I291" s="1"/>
      <c r="J291" s="1" t="s">
        <v>1739</v>
      </c>
      <c r="K291" s="1"/>
      <c r="L291" s="8" t="s">
        <v>1528</v>
      </c>
      <c r="M291" s="1" t="s">
        <v>424</v>
      </c>
    </row>
    <row r="292" spans="1:13" ht="13.2">
      <c r="A292" s="1" t="s">
        <v>707</v>
      </c>
      <c r="B292" s="1"/>
      <c r="C292" s="1"/>
      <c r="D292" s="1"/>
      <c r="E292" s="1" t="s">
        <v>102</v>
      </c>
      <c r="F292" s="1" t="s">
        <v>1740</v>
      </c>
      <c r="G292" s="1" t="s">
        <v>1046</v>
      </c>
      <c r="H292" s="1"/>
      <c r="I292" s="1"/>
      <c r="J292" s="1" t="s">
        <v>1741</v>
      </c>
      <c r="K292" s="1"/>
      <c r="L292" s="8" t="s">
        <v>1528</v>
      </c>
      <c r="M292" s="1" t="s">
        <v>424</v>
      </c>
    </row>
    <row r="293" spans="1:13" ht="13.2">
      <c r="A293" s="1" t="s">
        <v>708</v>
      </c>
      <c r="B293" s="1"/>
      <c r="C293" s="1"/>
      <c r="D293" s="1"/>
      <c r="E293" s="1" t="s">
        <v>102</v>
      </c>
      <c r="F293" s="1" t="s">
        <v>1740</v>
      </c>
      <c r="G293" s="1" t="s">
        <v>1046</v>
      </c>
      <c r="H293" s="1"/>
      <c r="I293" s="1"/>
      <c r="J293" s="1" t="s">
        <v>1742</v>
      </c>
      <c r="K293" s="1"/>
      <c r="L293" s="8" t="s">
        <v>1528</v>
      </c>
      <c r="M293" s="1" t="s">
        <v>424</v>
      </c>
    </row>
    <row r="294" spans="1:13" ht="13.2">
      <c r="A294" s="1" t="s">
        <v>723</v>
      </c>
      <c r="B294" s="1"/>
      <c r="C294" s="1"/>
      <c r="D294" s="1"/>
      <c r="E294" s="1" t="s">
        <v>102</v>
      </c>
      <c r="F294" s="1" t="s">
        <v>1740</v>
      </c>
      <c r="G294" s="1" t="s">
        <v>1046</v>
      </c>
      <c r="H294" s="1"/>
      <c r="I294" s="1"/>
      <c r="J294" s="1" t="s">
        <v>1743</v>
      </c>
      <c r="K294" s="1"/>
      <c r="L294" s="8" t="s">
        <v>1528</v>
      </c>
      <c r="M294" s="1" t="s">
        <v>424</v>
      </c>
    </row>
    <row r="295" spans="1:13" ht="13.2">
      <c r="A295" s="1" t="s">
        <v>724</v>
      </c>
      <c r="B295" s="1"/>
      <c r="C295" s="1"/>
      <c r="D295" s="1"/>
      <c r="E295" s="1" t="s">
        <v>102</v>
      </c>
      <c r="F295" s="1" t="s">
        <v>1744</v>
      </c>
      <c r="G295" s="1" t="s">
        <v>1046</v>
      </c>
      <c r="H295" s="1"/>
      <c r="I295" s="1"/>
      <c r="J295" s="1" t="s">
        <v>1745</v>
      </c>
      <c r="K295" s="1"/>
      <c r="L295" s="8" t="s">
        <v>1528</v>
      </c>
      <c r="M295" s="1" t="s">
        <v>424</v>
      </c>
    </row>
    <row r="296" spans="1:13" ht="13.2">
      <c r="A296" s="1" t="s">
        <v>725</v>
      </c>
      <c r="B296" s="1"/>
      <c r="C296" s="1"/>
      <c r="D296" s="1"/>
      <c r="E296" s="1" t="s">
        <v>102</v>
      </c>
      <c r="F296" s="1" t="s">
        <v>1744</v>
      </c>
      <c r="G296" s="1" t="s">
        <v>1046</v>
      </c>
      <c r="H296" s="1"/>
      <c r="I296" s="1"/>
      <c r="J296" s="1" t="s">
        <v>1746</v>
      </c>
      <c r="K296" s="1"/>
      <c r="L296" s="8" t="s">
        <v>1528</v>
      </c>
      <c r="M296" s="1" t="s">
        <v>424</v>
      </c>
    </row>
    <row r="297" spans="1:13" ht="13.2">
      <c r="A297" s="1" t="s">
        <v>713</v>
      </c>
      <c r="B297" s="1"/>
      <c r="C297" s="1"/>
      <c r="D297" s="1"/>
      <c r="E297" s="1" t="s">
        <v>102</v>
      </c>
      <c r="F297" s="1" t="s">
        <v>1747</v>
      </c>
      <c r="G297" s="1" t="s">
        <v>1046</v>
      </c>
      <c r="H297" s="1"/>
      <c r="I297" s="1"/>
      <c r="J297" s="1" t="s">
        <v>1748</v>
      </c>
      <c r="K297" s="1"/>
      <c r="L297" s="8" t="s">
        <v>1528</v>
      </c>
      <c r="M297" s="1" t="s">
        <v>424</v>
      </c>
    </row>
    <row r="298" spans="1:13" ht="13.2">
      <c r="A298" s="1" t="s">
        <v>706</v>
      </c>
      <c r="B298" s="1"/>
      <c r="C298" s="1"/>
      <c r="D298" s="1"/>
      <c r="E298" s="1" t="s">
        <v>102</v>
      </c>
      <c r="F298" s="1" t="s">
        <v>1749</v>
      </c>
      <c r="G298" s="1" t="s">
        <v>1046</v>
      </c>
      <c r="H298" s="1"/>
      <c r="I298" s="1"/>
      <c r="J298" s="1" t="s">
        <v>1750</v>
      </c>
      <c r="K298" s="1"/>
      <c r="L298" s="8" t="s">
        <v>1528</v>
      </c>
      <c r="M298" s="1" t="s">
        <v>424</v>
      </c>
    </row>
    <row r="299" spans="1:13" ht="13.2">
      <c r="A299" s="1" t="s">
        <v>709</v>
      </c>
      <c r="B299" s="1"/>
      <c r="C299" s="1"/>
      <c r="D299" s="1"/>
      <c r="E299" s="1" t="s">
        <v>102</v>
      </c>
      <c r="F299" s="1" t="s">
        <v>1751</v>
      </c>
      <c r="G299" s="1" t="s">
        <v>1046</v>
      </c>
      <c r="H299" s="1"/>
      <c r="I299" s="1"/>
      <c r="J299" s="1" t="s">
        <v>1752</v>
      </c>
      <c r="K299" s="1"/>
      <c r="L299" s="8" t="s">
        <v>1528</v>
      </c>
      <c r="M299" s="1" t="s">
        <v>424</v>
      </c>
    </row>
    <row r="300" spans="1:13" ht="13.2">
      <c r="A300" s="1" t="s">
        <v>720</v>
      </c>
      <c r="B300" s="1"/>
      <c r="C300" s="1"/>
      <c r="D300" s="1"/>
      <c r="E300" s="1" t="s">
        <v>1045</v>
      </c>
      <c r="F300" s="1" t="s">
        <v>1046</v>
      </c>
      <c r="G300" s="1" t="s">
        <v>1472</v>
      </c>
      <c r="H300" s="1" t="s">
        <v>1046</v>
      </c>
      <c r="I300" s="1" t="s">
        <v>1046</v>
      </c>
      <c r="J300" s="1" t="s">
        <v>1753</v>
      </c>
      <c r="K300" s="1"/>
      <c r="L300" s="8" t="s">
        <v>1528</v>
      </c>
      <c r="M300" s="1" t="s">
        <v>424</v>
      </c>
    </row>
    <row r="301" spans="1:13" ht="13.2">
      <c r="A301" s="1" t="s">
        <v>710</v>
      </c>
      <c r="B301" s="1"/>
      <c r="C301" s="1"/>
      <c r="D301" s="1"/>
      <c r="E301" s="1" t="s">
        <v>102</v>
      </c>
      <c r="F301" s="1" t="s">
        <v>1754</v>
      </c>
      <c r="G301" s="1" t="s">
        <v>1046</v>
      </c>
      <c r="H301" s="1"/>
      <c r="I301" s="1"/>
      <c r="J301" s="1" t="s">
        <v>1755</v>
      </c>
      <c r="K301" s="1"/>
      <c r="L301" s="8" t="s">
        <v>1528</v>
      </c>
      <c r="M301" s="1" t="s">
        <v>424</v>
      </c>
    </row>
    <row r="302" spans="1:13" ht="13.2">
      <c r="A302" s="1" t="s">
        <v>715</v>
      </c>
      <c r="B302" s="1"/>
      <c r="C302" s="1"/>
      <c r="D302" s="1"/>
      <c r="E302" s="1" t="s">
        <v>102</v>
      </c>
      <c r="F302" s="1" t="s">
        <v>1046</v>
      </c>
      <c r="G302" s="1" t="s">
        <v>1046</v>
      </c>
      <c r="H302" s="1"/>
      <c r="I302" s="1"/>
      <c r="J302" s="1" t="s">
        <v>1756</v>
      </c>
      <c r="K302" s="1"/>
      <c r="L302" s="8" t="s">
        <v>1528</v>
      </c>
      <c r="M302" s="1" t="s">
        <v>424</v>
      </c>
    </row>
    <row r="303" spans="1:13" ht="13.2">
      <c r="A303" s="1" t="s">
        <v>716</v>
      </c>
      <c r="B303" s="1"/>
      <c r="C303" s="1"/>
      <c r="D303" s="1"/>
      <c r="E303" s="1" t="s">
        <v>102</v>
      </c>
      <c r="F303" s="1" t="s">
        <v>1046</v>
      </c>
      <c r="G303" s="1" t="s">
        <v>1046</v>
      </c>
      <c r="H303" s="1"/>
      <c r="I303" s="1"/>
      <c r="J303" s="1" t="s">
        <v>1757</v>
      </c>
      <c r="K303" s="1"/>
      <c r="L303" s="8" t="s">
        <v>1528</v>
      </c>
      <c r="M303" s="1" t="s">
        <v>424</v>
      </c>
    </row>
    <row r="304" spans="1:13" ht="13.2">
      <c r="A304" s="1" t="s">
        <v>717</v>
      </c>
      <c r="B304" s="1"/>
      <c r="C304" s="1"/>
      <c r="D304" s="1"/>
      <c r="E304" s="1" t="s">
        <v>102</v>
      </c>
      <c r="F304" s="1" t="s">
        <v>1046</v>
      </c>
      <c r="G304" s="1" t="s">
        <v>1046</v>
      </c>
      <c r="H304" s="1"/>
      <c r="I304" s="1"/>
      <c r="J304" s="1" t="s">
        <v>1758</v>
      </c>
      <c r="K304" s="1"/>
      <c r="L304" s="8" t="s">
        <v>1528</v>
      </c>
      <c r="M304" s="1" t="s">
        <v>424</v>
      </c>
    </row>
    <row r="305" spans="1:13" ht="13.2">
      <c r="A305" s="1" t="s">
        <v>635</v>
      </c>
      <c r="B305" s="1"/>
      <c r="C305" s="1"/>
      <c r="D305" s="1"/>
      <c r="E305" s="1" t="s">
        <v>102</v>
      </c>
      <c r="F305" s="1" t="s">
        <v>1611</v>
      </c>
      <c r="G305" s="1" t="s">
        <v>1046</v>
      </c>
      <c r="H305" s="1"/>
      <c r="I305" s="1"/>
      <c r="J305" s="1" t="s">
        <v>1759</v>
      </c>
      <c r="K305" s="1"/>
      <c r="L305" s="8" t="s">
        <v>1528</v>
      </c>
      <c r="M305" s="1" t="s">
        <v>424</v>
      </c>
    </row>
    <row r="306" spans="1:13" ht="13.2">
      <c r="A306" s="1" t="s">
        <v>628</v>
      </c>
      <c r="B306" s="1"/>
      <c r="C306" s="1"/>
      <c r="D306" s="1"/>
      <c r="E306" s="1" t="s">
        <v>102</v>
      </c>
      <c r="F306" s="1" t="s">
        <v>1639</v>
      </c>
      <c r="G306" s="1" t="s">
        <v>1046</v>
      </c>
      <c r="H306" s="1"/>
      <c r="I306" s="1"/>
      <c r="J306" s="1" t="s">
        <v>1760</v>
      </c>
      <c r="K306" s="1"/>
      <c r="L306" s="8" t="s">
        <v>1528</v>
      </c>
      <c r="M306" s="1" t="s">
        <v>424</v>
      </c>
    </row>
    <row r="307" spans="1:13" ht="13.2">
      <c r="A307" s="1" t="s">
        <v>682</v>
      </c>
      <c r="B307" s="1"/>
      <c r="C307" s="1"/>
      <c r="D307" s="1"/>
      <c r="E307" s="1" t="s">
        <v>102</v>
      </c>
      <c r="F307" s="1" t="s">
        <v>1611</v>
      </c>
      <c r="G307" s="1" t="s">
        <v>1046</v>
      </c>
      <c r="H307" s="1"/>
      <c r="I307" s="1"/>
      <c r="J307" s="1" t="s">
        <v>1761</v>
      </c>
      <c r="K307" s="1"/>
      <c r="L307" s="8" t="s">
        <v>1528</v>
      </c>
      <c r="M307" s="1" t="s">
        <v>424</v>
      </c>
    </row>
    <row r="308" spans="1:13" ht="13.2">
      <c r="A308" s="1" t="s">
        <v>685</v>
      </c>
      <c r="B308" s="1"/>
      <c r="C308" s="1"/>
      <c r="D308" s="1"/>
      <c r="E308" s="1" t="s">
        <v>102</v>
      </c>
      <c r="F308" s="1" t="s">
        <v>1611</v>
      </c>
      <c r="G308" s="1" t="s">
        <v>1046</v>
      </c>
      <c r="H308" s="1"/>
      <c r="I308" s="1"/>
      <c r="J308" s="1" t="s">
        <v>1762</v>
      </c>
      <c r="K308" s="1"/>
      <c r="L308" s="8" t="s">
        <v>1528</v>
      </c>
      <c r="M308" s="1" t="s">
        <v>424</v>
      </c>
    </row>
    <row r="309" spans="1:13" ht="13.2">
      <c r="A309" s="1" t="s">
        <v>648</v>
      </c>
      <c r="B309" s="1"/>
      <c r="C309" s="1"/>
      <c r="D309" s="1"/>
      <c r="E309" s="1" t="s">
        <v>102</v>
      </c>
      <c r="F309" s="1" t="s">
        <v>1611</v>
      </c>
      <c r="G309" s="1" t="s">
        <v>1046</v>
      </c>
      <c r="H309" s="1"/>
      <c r="I309" s="1"/>
      <c r="J309" s="1" t="s">
        <v>1763</v>
      </c>
      <c r="K309" s="1"/>
      <c r="L309" s="8" t="s">
        <v>1528</v>
      </c>
      <c r="M309" s="1" t="s">
        <v>424</v>
      </c>
    </row>
    <row r="310" spans="1:13" ht="13.2">
      <c r="A310" s="1" t="s">
        <v>952</v>
      </c>
      <c r="B310" s="1"/>
      <c r="C310" s="1"/>
      <c r="D310" s="1"/>
      <c r="E310" s="1" t="s">
        <v>1045</v>
      </c>
      <c r="F310" s="1" t="s">
        <v>1046</v>
      </c>
      <c r="G310" s="1" t="s">
        <v>1764</v>
      </c>
      <c r="H310" s="1" t="s">
        <v>1046</v>
      </c>
      <c r="I310" s="1" t="s">
        <v>1046</v>
      </c>
      <c r="J310" s="1" t="s">
        <v>1765</v>
      </c>
      <c r="K310" s="1"/>
      <c r="L310" s="8" t="s">
        <v>1528</v>
      </c>
      <c r="M310" s="1" t="s">
        <v>424</v>
      </c>
    </row>
    <row r="311" spans="1:13" ht="13.2">
      <c r="A311" s="1" t="s">
        <v>953</v>
      </c>
      <c r="B311" s="1"/>
      <c r="C311" s="1"/>
      <c r="D311" s="1"/>
      <c r="E311" s="1" t="s">
        <v>1045</v>
      </c>
      <c r="F311" s="1" t="s">
        <v>1046</v>
      </c>
      <c r="G311" s="1" t="s">
        <v>1764</v>
      </c>
      <c r="H311" s="1" t="s">
        <v>1046</v>
      </c>
      <c r="I311" s="1" t="s">
        <v>1046</v>
      </c>
      <c r="J311" s="1" t="s">
        <v>1766</v>
      </c>
      <c r="K311" s="1"/>
      <c r="L311" s="8" t="s">
        <v>1528</v>
      </c>
      <c r="M311" s="1" t="s">
        <v>424</v>
      </c>
    </row>
    <row r="312" spans="1:13" ht="13.2">
      <c r="A312" s="1" t="s">
        <v>954</v>
      </c>
      <c r="B312" s="1"/>
      <c r="C312" s="1"/>
      <c r="D312" s="1"/>
      <c r="E312" s="1" t="s">
        <v>1045</v>
      </c>
      <c r="F312" s="1" t="s">
        <v>1046</v>
      </c>
      <c r="G312" s="1" t="s">
        <v>1764</v>
      </c>
      <c r="H312" s="1" t="s">
        <v>1046</v>
      </c>
      <c r="I312" s="1" t="s">
        <v>1046</v>
      </c>
      <c r="J312" s="1" t="s">
        <v>1767</v>
      </c>
      <c r="K312" s="1"/>
      <c r="L312" s="8" t="s">
        <v>1528</v>
      </c>
      <c r="M312" s="1" t="s">
        <v>424</v>
      </c>
    </row>
    <row r="313" spans="1:13" ht="13.2">
      <c r="A313" s="1" t="s">
        <v>955</v>
      </c>
      <c r="B313" s="1"/>
      <c r="C313" s="1"/>
      <c r="D313" s="1"/>
      <c r="E313" s="1" t="s">
        <v>1045</v>
      </c>
      <c r="F313" s="1" t="s">
        <v>1046</v>
      </c>
      <c r="G313" s="1" t="s">
        <v>1764</v>
      </c>
      <c r="H313" s="1" t="s">
        <v>1046</v>
      </c>
      <c r="I313" s="1" t="s">
        <v>1046</v>
      </c>
      <c r="J313" s="1" t="s">
        <v>1768</v>
      </c>
      <c r="K313" s="1"/>
      <c r="L313" s="8" t="s">
        <v>1528</v>
      </c>
      <c r="M313" s="1" t="s">
        <v>424</v>
      </c>
    </row>
    <row r="314" spans="1:13" ht="13.2">
      <c r="A314" s="1" t="s">
        <v>956</v>
      </c>
      <c r="B314" s="1"/>
      <c r="C314" s="1"/>
      <c r="D314" s="1"/>
      <c r="E314" s="1" t="s">
        <v>1045</v>
      </c>
      <c r="F314" s="1" t="s">
        <v>1046</v>
      </c>
      <c r="G314" s="1" t="s">
        <v>1764</v>
      </c>
      <c r="H314" s="1" t="s">
        <v>1046</v>
      </c>
      <c r="I314" s="1" t="s">
        <v>1046</v>
      </c>
      <c r="J314" s="1" t="s">
        <v>1769</v>
      </c>
      <c r="K314" s="1"/>
      <c r="L314" s="8" t="s">
        <v>1528</v>
      </c>
      <c r="M314" s="1" t="s">
        <v>424</v>
      </c>
    </row>
    <row r="315" spans="1:13" ht="13.2">
      <c r="A315" s="1" t="s">
        <v>957</v>
      </c>
      <c r="B315" s="1"/>
      <c r="C315" s="1"/>
      <c r="D315" s="1"/>
      <c r="E315" s="1" t="s">
        <v>1045</v>
      </c>
      <c r="F315" s="1" t="s">
        <v>1046</v>
      </c>
      <c r="G315" s="1" t="s">
        <v>1764</v>
      </c>
      <c r="H315" s="1" t="s">
        <v>1046</v>
      </c>
      <c r="I315" s="1" t="s">
        <v>1046</v>
      </c>
      <c r="J315" s="1" t="s">
        <v>1770</v>
      </c>
      <c r="K315" s="1"/>
      <c r="L315" s="8" t="s">
        <v>1528</v>
      </c>
      <c r="M315" s="1" t="s">
        <v>424</v>
      </c>
    </row>
    <row r="316" spans="1:13" ht="13.2">
      <c r="A316" s="1" t="s">
        <v>943</v>
      </c>
      <c r="B316" s="1"/>
      <c r="C316" s="1"/>
      <c r="D316" s="1"/>
      <c r="E316" s="1" t="s">
        <v>1045</v>
      </c>
      <c r="F316" s="1" t="s">
        <v>1046</v>
      </c>
      <c r="G316" s="1" t="s">
        <v>1771</v>
      </c>
      <c r="H316" s="1" t="s">
        <v>1046</v>
      </c>
      <c r="I316" s="1" t="s">
        <v>1046</v>
      </c>
      <c r="J316" s="1" t="s">
        <v>1772</v>
      </c>
      <c r="K316" s="1"/>
      <c r="L316" s="8" t="s">
        <v>1528</v>
      </c>
      <c r="M316" s="1" t="s">
        <v>424</v>
      </c>
    </row>
    <row r="317" spans="1:13" ht="13.2">
      <c r="A317" s="1" t="s">
        <v>944</v>
      </c>
      <c r="B317" s="1"/>
      <c r="C317" s="1"/>
      <c r="D317" s="1"/>
      <c r="E317" s="1" t="s">
        <v>1045</v>
      </c>
      <c r="F317" s="1" t="s">
        <v>1046</v>
      </c>
      <c r="G317" s="1" t="s">
        <v>1771</v>
      </c>
      <c r="H317" s="1" t="s">
        <v>1046</v>
      </c>
      <c r="I317" s="1" t="s">
        <v>1046</v>
      </c>
      <c r="J317" s="1" t="s">
        <v>1773</v>
      </c>
      <c r="K317" s="1"/>
      <c r="L317" s="8" t="s">
        <v>1528</v>
      </c>
      <c r="M317" s="1" t="s">
        <v>424</v>
      </c>
    </row>
    <row r="318" spans="1:13" ht="13.2">
      <c r="A318" s="1" t="s">
        <v>945</v>
      </c>
      <c r="B318" s="1"/>
      <c r="C318" s="1"/>
      <c r="D318" s="1"/>
      <c r="E318" s="1" t="s">
        <v>1045</v>
      </c>
      <c r="F318" s="1" t="s">
        <v>1046</v>
      </c>
      <c r="G318" s="1" t="s">
        <v>1771</v>
      </c>
      <c r="H318" s="1" t="s">
        <v>1046</v>
      </c>
      <c r="I318" s="1" t="s">
        <v>1046</v>
      </c>
      <c r="J318" s="1" t="s">
        <v>1774</v>
      </c>
      <c r="K318" s="1"/>
      <c r="L318" s="8" t="s">
        <v>1528</v>
      </c>
      <c r="M318" s="1" t="s">
        <v>424</v>
      </c>
    </row>
    <row r="319" spans="1:13" ht="13.2">
      <c r="A319" s="1" t="s">
        <v>946</v>
      </c>
      <c r="B319" s="1"/>
      <c r="C319" s="1"/>
      <c r="D319" s="1"/>
      <c r="E319" s="1" t="s">
        <v>1045</v>
      </c>
      <c r="F319" s="1" t="s">
        <v>1046</v>
      </c>
      <c r="G319" s="1" t="s">
        <v>1771</v>
      </c>
      <c r="H319" s="1" t="s">
        <v>1046</v>
      </c>
      <c r="I319" s="1" t="s">
        <v>1046</v>
      </c>
      <c r="J319" s="1" t="s">
        <v>1775</v>
      </c>
      <c r="K319" s="1"/>
      <c r="L319" s="8" t="s">
        <v>1528</v>
      </c>
      <c r="M319" s="1" t="s">
        <v>424</v>
      </c>
    </row>
    <row r="320" spans="1:13" ht="13.2">
      <c r="A320" s="1" t="s">
        <v>947</v>
      </c>
      <c r="B320" s="1"/>
      <c r="C320" s="1"/>
      <c r="D320" s="1"/>
      <c r="E320" s="1" t="s">
        <v>1045</v>
      </c>
      <c r="F320" s="1" t="s">
        <v>1046</v>
      </c>
      <c r="G320" s="1" t="s">
        <v>1771</v>
      </c>
      <c r="H320" s="1" t="s">
        <v>1046</v>
      </c>
      <c r="I320" s="1" t="s">
        <v>1046</v>
      </c>
      <c r="J320" s="1" t="s">
        <v>1776</v>
      </c>
      <c r="K320" s="1"/>
      <c r="L320" s="8" t="s">
        <v>1528</v>
      </c>
      <c r="M320" s="1" t="s">
        <v>424</v>
      </c>
    </row>
    <row r="321" spans="1:13" ht="13.2">
      <c r="A321" s="1" t="s">
        <v>948</v>
      </c>
      <c r="B321" s="1"/>
      <c r="C321" s="1"/>
      <c r="D321" s="1"/>
      <c r="E321" s="1" t="s">
        <v>1045</v>
      </c>
      <c r="F321" s="1" t="s">
        <v>1046</v>
      </c>
      <c r="G321" s="1" t="s">
        <v>1771</v>
      </c>
      <c r="H321" s="1" t="s">
        <v>1046</v>
      </c>
      <c r="I321" s="1" t="s">
        <v>1046</v>
      </c>
      <c r="J321" s="1" t="s">
        <v>1777</v>
      </c>
      <c r="K321" s="1"/>
      <c r="L321" s="8" t="s">
        <v>1528</v>
      </c>
      <c r="M321" s="1" t="s">
        <v>424</v>
      </c>
    </row>
    <row r="322" spans="1:13" ht="13.2">
      <c r="A322" s="1" t="s">
        <v>879</v>
      </c>
      <c r="B322" s="1"/>
      <c r="C322" s="1"/>
      <c r="D322" s="1"/>
      <c r="E322" s="1" t="s">
        <v>102</v>
      </c>
      <c r="F322" s="1" t="s">
        <v>1667</v>
      </c>
      <c r="G322" s="1" t="s">
        <v>1046</v>
      </c>
      <c r="H322" s="1"/>
      <c r="I322" s="1"/>
      <c r="J322" s="1" t="s">
        <v>1778</v>
      </c>
      <c r="K322" s="1"/>
      <c r="L322" s="8" t="s">
        <v>1528</v>
      </c>
      <c r="M322" s="1" t="s">
        <v>424</v>
      </c>
    </row>
    <row r="323" spans="1:13" ht="13.2">
      <c r="A323" s="1" t="s">
        <v>880</v>
      </c>
      <c r="B323" s="1"/>
      <c r="C323" s="1"/>
      <c r="D323" s="1"/>
      <c r="E323" s="1" t="s">
        <v>102</v>
      </c>
      <c r="F323" s="1" t="s">
        <v>1667</v>
      </c>
      <c r="G323" s="1" t="s">
        <v>1046</v>
      </c>
      <c r="H323" s="1"/>
      <c r="I323" s="1"/>
      <c r="J323" s="1" t="s">
        <v>1779</v>
      </c>
      <c r="K323" s="1"/>
      <c r="L323" s="8" t="s">
        <v>1528</v>
      </c>
      <c r="M323" s="1" t="s">
        <v>424</v>
      </c>
    </row>
    <row r="324" spans="1:13" ht="13.2">
      <c r="A324" s="1" t="s">
        <v>872</v>
      </c>
      <c r="B324" s="1"/>
      <c r="C324" s="1"/>
      <c r="D324" s="1"/>
      <c r="E324" s="1" t="s">
        <v>102</v>
      </c>
      <c r="F324" s="1" t="s">
        <v>1275</v>
      </c>
      <c r="G324" s="1" t="s">
        <v>1046</v>
      </c>
      <c r="H324" s="1"/>
      <c r="I324" s="1"/>
      <c r="J324" s="1" t="s">
        <v>1780</v>
      </c>
      <c r="K324" s="1"/>
      <c r="L324" s="8" t="s">
        <v>1528</v>
      </c>
      <c r="M324" s="1" t="s">
        <v>424</v>
      </c>
    </row>
    <row r="325" spans="1:13" ht="13.2">
      <c r="A325" s="1" t="s">
        <v>878</v>
      </c>
      <c r="B325" s="1"/>
      <c r="C325" s="1"/>
      <c r="D325" s="1"/>
      <c r="E325" s="1" t="s">
        <v>102</v>
      </c>
      <c r="F325" s="1" t="s">
        <v>1629</v>
      </c>
      <c r="G325" s="1" t="s">
        <v>1046</v>
      </c>
      <c r="H325" s="1"/>
      <c r="I325" s="1"/>
      <c r="J325" s="1" t="s">
        <v>1781</v>
      </c>
      <c r="K325" s="1"/>
      <c r="L325" s="8" t="s">
        <v>1528</v>
      </c>
      <c r="M325" s="1" t="s">
        <v>424</v>
      </c>
    </row>
    <row r="326" spans="1:13" ht="13.2">
      <c r="A326" s="1" t="s">
        <v>874</v>
      </c>
      <c r="B326" s="1"/>
      <c r="C326" s="1"/>
      <c r="D326" s="1"/>
      <c r="E326" s="1" t="s">
        <v>102</v>
      </c>
      <c r="F326" s="1" t="s">
        <v>1629</v>
      </c>
      <c r="G326" s="1" t="s">
        <v>1046</v>
      </c>
      <c r="H326" s="1"/>
      <c r="I326" s="1"/>
      <c r="J326" s="1" t="s">
        <v>1782</v>
      </c>
      <c r="K326" s="1"/>
      <c r="L326" s="8" t="s">
        <v>1528</v>
      </c>
      <c r="M326" s="1" t="s">
        <v>424</v>
      </c>
    </row>
    <row r="327" spans="1:13" ht="13.2">
      <c r="A327" s="1" t="s">
        <v>866</v>
      </c>
      <c r="B327" s="1"/>
      <c r="C327" s="1"/>
      <c r="D327" s="1"/>
      <c r="E327" s="1" t="s">
        <v>102</v>
      </c>
      <c r="F327" s="1" t="s">
        <v>1667</v>
      </c>
      <c r="G327" s="1" t="s">
        <v>1046</v>
      </c>
      <c r="H327" s="1"/>
      <c r="I327" s="1"/>
      <c r="J327" s="1" t="s">
        <v>1783</v>
      </c>
      <c r="K327" s="1"/>
      <c r="L327" s="8" t="s">
        <v>1528</v>
      </c>
      <c r="M327" s="1" t="s">
        <v>424</v>
      </c>
    </row>
    <row r="328" spans="1:13" ht="13.2">
      <c r="A328" s="1" t="s">
        <v>867</v>
      </c>
      <c r="B328" s="1"/>
      <c r="C328" s="1"/>
      <c r="D328" s="1"/>
      <c r="E328" s="1" t="s">
        <v>102</v>
      </c>
      <c r="F328" s="1" t="s">
        <v>1641</v>
      </c>
      <c r="G328" s="1" t="s">
        <v>1046</v>
      </c>
      <c r="H328" s="1"/>
      <c r="I328" s="1"/>
      <c r="J328" s="1" t="s">
        <v>1784</v>
      </c>
      <c r="K328" s="1"/>
      <c r="L328" s="8" t="s">
        <v>1528</v>
      </c>
      <c r="M328" s="1" t="s">
        <v>424</v>
      </c>
    </row>
    <row r="329" spans="1:13" ht="13.2">
      <c r="A329" s="1" t="s">
        <v>531</v>
      </c>
      <c r="B329" s="1"/>
      <c r="C329" s="1"/>
      <c r="D329" s="1"/>
      <c r="E329" s="1" t="s">
        <v>102</v>
      </c>
      <c r="F329" s="1" t="s">
        <v>1354</v>
      </c>
      <c r="G329" s="1" t="s">
        <v>1046</v>
      </c>
      <c r="H329" s="1"/>
      <c r="I329" s="1"/>
      <c r="J329" s="1" t="s">
        <v>1439</v>
      </c>
      <c r="K329" s="1"/>
      <c r="L329" s="8" t="s">
        <v>1440</v>
      </c>
      <c r="M329" s="1" t="s">
        <v>425</v>
      </c>
    </row>
    <row r="330" spans="1:13" ht="13.2">
      <c r="A330" s="1" t="s">
        <v>534</v>
      </c>
      <c r="B330" s="1"/>
      <c r="C330" s="1"/>
      <c r="D330" s="1"/>
      <c r="E330" s="1" t="s">
        <v>102</v>
      </c>
      <c r="F330" s="1" t="s">
        <v>1441</v>
      </c>
      <c r="G330" s="1" t="s">
        <v>1046</v>
      </c>
      <c r="H330" s="1"/>
      <c r="I330" s="1"/>
      <c r="J330" s="1" t="s">
        <v>1442</v>
      </c>
      <c r="K330" s="1"/>
      <c r="L330" s="8" t="s">
        <v>1440</v>
      </c>
      <c r="M330" s="1" t="s">
        <v>425</v>
      </c>
    </row>
    <row r="331" spans="1:13" ht="13.2">
      <c r="A331" s="1" t="s">
        <v>536</v>
      </c>
      <c r="B331" s="1"/>
      <c r="C331" s="1"/>
      <c r="D331" s="1"/>
      <c r="E331" s="1" t="s">
        <v>102</v>
      </c>
      <c r="F331" s="1" t="s">
        <v>1441</v>
      </c>
      <c r="G331" s="1" t="s">
        <v>1046</v>
      </c>
      <c r="H331" s="1"/>
      <c r="I331" s="1"/>
      <c r="J331" s="1" t="s">
        <v>1443</v>
      </c>
      <c r="K331" s="1"/>
      <c r="L331" s="8" t="s">
        <v>1440</v>
      </c>
      <c r="M331" s="1" t="s">
        <v>425</v>
      </c>
    </row>
    <row r="332" spans="1:13" ht="13.2">
      <c r="A332" s="1" t="s">
        <v>537</v>
      </c>
      <c r="B332" s="1"/>
      <c r="C332" s="1"/>
      <c r="D332" s="1"/>
      <c r="E332" s="1" t="s">
        <v>102</v>
      </c>
      <c r="F332" s="1" t="s">
        <v>1441</v>
      </c>
      <c r="G332" s="1" t="s">
        <v>1046</v>
      </c>
      <c r="H332" s="1"/>
      <c r="I332" s="1"/>
      <c r="J332" s="1" t="s">
        <v>1444</v>
      </c>
      <c r="K332" s="1"/>
      <c r="L332" s="8" t="s">
        <v>1440</v>
      </c>
      <c r="M332" s="1" t="s">
        <v>425</v>
      </c>
    </row>
    <row r="333" spans="1:13" ht="13.2">
      <c r="A333" s="1" t="s">
        <v>521</v>
      </c>
      <c r="B333" s="1"/>
      <c r="C333" s="1"/>
      <c r="D333" s="1"/>
      <c r="E333" s="1" t="s">
        <v>102</v>
      </c>
      <c r="F333" s="1" t="s">
        <v>1046</v>
      </c>
      <c r="G333" s="1" t="s">
        <v>1046</v>
      </c>
      <c r="H333" s="1"/>
      <c r="I333" s="1"/>
      <c r="J333" s="1" t="s">
        <v>1445</v>
      </c>
      <c r="K333" s="1"/>
      <c r="L333" s="8" t="s">
        <v>1440</v>
      </c>
      <c r="M333" s="1" t="s">
        <v>425</v>
      </c>
    </row>
    <row r="334" spans="1:13" ht="13.2">
      <c r="A334" s="1" t="s">
        <v>526</v>
      </c>
      <c r="B334" s="1"/>
      <c r="C334" s="1"/>
      <c r="D334" s="1"/>
      <c r="E334" s="1" t="s">
        <v>102</v>
      </c>
      <c r="F334" s="1" t="s">
        <v>1046</v>
      </c>
      <c r="G334" s="1" t="s">
        <v>1046</v>
      </c>
      <c r="H334" s="1"/>
      <c r="I334" s="1"/>
      <c r="J334" s="1" t="s">
        <v>1446</v>
      </c>
      <c r="K334" s="1"/>
      <c r="L334" s="8" t="s">
        <v>1440</v>
      </c>
      <c r="M334" s="1" t="s">
        <v>425</v>
      </c>
    </row>
    <row r="335" spans="1:13" ht="13.2">
      <c r="A335" s="1" t="s">
        <v>510</v>
      </c>
      <c r="B335" s="1"/>
      <c r="C335" s="1"/>
      <c r="D335" s="1"/>
      <c r="E335" s="1" t="s">
        <v>102</v>
      </c>
      <c r="F335" s="1" t="s">
        <v>1447</v>
      </c>
      <c r="G335" s="1" t="s">
        <v>1046</v>
      </c>
      <c r="H335" s="1"/>
      <c r="I335" s="1"/>
      <c r="J335" s="1" t="s">
        <v>1448</v>
      </c>
      <c r="K335" s="1"/>
      <c r="L335" s="8" t="s">
        <v>1440</v>
      </c>
      <c r="M335" s="1" t="s">
        <v>425</v>
      </c>
    </row>
    <row r="336" spans="1:13" ht="13.2">
      <c r="A336" s="1" t="s">
        <v>514</v>
      </c>
      <c r="B336" s="1"/>
      <c r="C336" s="1"/>
      <c r="D336" s="1"/>
      <c r="E336" s="1" t="s">
        <v>102</v>
      </c>
      <c r="F336" s="1" t="s">
        <v>1447</v>
      </c>
      <c r="G336" s="1" t="s">
        <v>1046</v>
      </c>
      <c r="H336" s="1"/>
      <c r="I336" s="1"/>
      <c r="J336" s="1" t="s">
        <v>1449</v>
      </c>
      <c r="K336" s="1"/>
      <c r="L336" s="8" t="s">
        <v>1440</v>
      </c>
      <c r="M336" s="1" t="s">
        <v>425</v>
      </c>
    </row>
    <row r="337" spans="1:13" ht="13.2">
      <c r="A337" s="1" t="s">
        <v>515</v>
      </c>
      <c r="B337" s="1"/>
      <c r="C337" s="1"/>
      <c r="D337" s="1"/>
      <c r="E337" s="1" t="s">
        <v>102</v>
      </c>
      <c r="F337" s="1" t="s">
        <v>1046</v>
      </c>
      <c r="G337" s="1" t="s">
        <v>1046</v>
      </c>
      <c r="H337" s="1"/>
      <c r="I337" s="1"/>
      <c r="J337" s="1" t="s">
        <v>1450</v>
      </c>
      <c r="K337" s="1"/>
      <c r="L337" s="8" t="s">
        <v>1440</v>
      </c>
      <c r="M337" s="1" t="s">
        <v>425</v>
      </c>
    </row>
    <row r="338" spans="1:13" ht="13.2">
      <c r="A338" s="1" t="s">
        <v>517</v>
      </c>
      <c r="B338" s="1"/>
      <c r="C338" s="1"/>
      <c r="D338" s="1"/>
      <c r="E338" s="1" t="s">
        <v>102</v>
      </c>
      <c r="F338" s="1" t="s">
        <v>1046</v>
      </c>
      <c r="G338" s="1" t="s">
        <v>1046</v>
      </c>
      <c r="H338" s="1"/>
      <c r="I338" s="1"/>
      <c r="J338" s="1" t="s">
        <v>1451</v>
      </c>
      <c r="K338" s="1"/>
      <c r="L338" s="8" t="s">
        <v>1440</v>
      </c>
      <c r="M338" s="1" t="s">
        <v>425</v>
      </c>
    </row>
    <row r="339" spans="1:13" ht="13.2">
      <c r="A339" s="1" t="s">
        <v>683</v>
      </c>
      <c r="B339" s="1"/>
      <c r="C339" s="1"/>
      <c r="D339" s="1"/>
      <c r="E339" s="1" t="s">
        <v>102</v>
      </c>
      <c r="F339" s="1" t="s">
        <v>1523</v>
      </c>
      <c r="G339" s="1" t="s">
        <v>1046</v>
      </c>
      <c r="H339" s="1"/>
      <c r="I339" s="1"/>
      <c r="J339" s="1" t="s">
        <v>1524</v>
      </c>
      <c r="K339" s="1" t="s">
        <v>1525</v>
      </c>
      <c r="L339" s="8" t="s">
        <v>1526</v>
      </c>
      <c r="M339" s="1" t="s">
        <v>426</v>
      </c>
    </row>
    <row r="340" spans="1:13" ht="13.2">
      <c r="A340" s="1" t="s">
        <v>629</v>
      </c>
      <c r="B340" s="1"/>
      <c r="C340" s="1"/>
      <c r="D340" s="1"/>
      <c r="E340" s="1" t="s">
        <v>102</v>
      </c>
      <c r="F340" s="1" t="s">
        <v>1529</v>
      </c>
      <c r="G340" s="1" t="s">
        <v>1046</v>
      </c>
      <c r="H340" s="1"/>
      <c r="I340" s="1"/>
      <c r="J340" s="1" t="s">
        <v>1530</v>
      </c>
      <c r="K340" s="1" t="s">
        <v>1525</v>
      </c>
      <c r="L340" s="8" t="s">
        <v>1526</v>
      </c>
      <c r="M340" s="1" t="s">
        <v>426</v>
      </c>
    </row>
    <row r="341" spans="1:13" ht="13.2">
      <c r="A341" s="1" t="s">
        <v>624</v>
      </c>
      <c r="B341" s="1"/>
      <c r="C341" s="1"/>
      <c r="D341" s="1"/>
      <c r="E341" s="1" t="s">
        <v>102</v>
      </c>
      <c r="F341" s="1" t="s">
        <v>1533</v>
      </c>
      <c r="G341" s="1" t="s">
        <v>1046</v>
      </c>
      <c r="H341" s="1"/>
      <c r="I341" s="1"/>
      <c r="J341" s="1" t="s">
        <v>1534</v>
      </c>
      <c r="K341" s="1" t="s">
        <v>1525</v>
      </c>
      <c r="L341" s="8" t="s">
        <v>1526</v>
      </c>
      <c r="M341" s="1" t="s">
        <v>426</v>
      </c>
    </row>
    <row r="342" spans="1:13" ht="13.2">
      <c r="A342" s="1" t="s">
        <v>466</v>
      </c>
      <c r="B342" s="1"/>
      <c r="C342" s="1"/>
      <c r="D342" s="1"/>
      <c r="E342" s="1" t="s">
        <v>102</v>
      </c>
      <c r="F342" s="1" t="s">
        <v>1536</v>
      </c>
      <c r="G342" s="1" t="s">
        <v>1046</v>
      </c>
      <c r="H342" s="1"/>
      <c r="I342" s="1"/>
      <c r="J342" s="1" t="s">
        <v>1537</v>
      </c>
      <c r="K342" s="1" t="s">
        <v>1525</v>
      </c>
      <c r="L342" s="8" t="s">
        <v>1526</v>
      </c>
      <c r="M342" s="1" t="s">
        <v>426</v>
      </c>
    </row>
    <row r="343" spans="1:13" ht="13.2">
      <c r="A343" s="1" t="s">
        <v>671</v>
      </c>
      <c r="B343" s="1"/>
      <c r="C343" s="1"/>
      <c r="D343" s="1"/>
      <c r="E343" s="1" t="s">
        <v>102</v>
      </c>
      <c r="F343" s="1" t="s">
        <v>1539</v>
      </c>
      <c r="G343" s="1" t="s">
        <v>1046</v>
      </c>
      <c r="H343" s="1"/>
      <c r="I343" s="1"/>
      <c r="J343" s="1" t="s">
        <v>1540</v>
      </c>
      <c r="K343" s="1" t="s">
        <v>1525</v>
      </c>
      <c r="L343" s="8" t="s">
        <v>1526</v>
      </c>
      <c r="M343" s="1" t="s">
        <v>426</v>
      </c>
    </row>
    <row r="344" spans="1:13" ht="13.2">
      <c r="A344" s="1" t="s">
        <v>636</v>
      </c>
      <c r="B344" s="1"/>
      <c r="C344" s="1"/>
      <c r="D344" s="1"/>
      <c r="E344" s="1" t="s">
        <v>102</v>
      </c>
      <c r="F344" s="1" t="s">
        <v>1523</v>
      </c>
      <c r="G344" s="1" t="s">
        <v>1046</v>
      </c>
      <c r="H344" s="1"/>
      <c r="I344" s="1"/>
      <c r="J344" s="1" t="s">
        <v>1542</v>
      </c>
      <c r="K344" s="1" t="s">
        <v>1543</v>
      </c>
      <c r="L344" s="8" t="s">
        <v>1526</v>
      </c>
      <c r="M344" s="1" t="s">
        <v>426</v>
      </c>
    </row>
    <row r="345" spans="1:13" ht="13.2">
      <c r="A345" s="1" t="s">
        <v>649</v>
      </c>
      <c r="B345" s="1"/>
      <c r="C345" s="1"/>
      <c r="D345" s="1"/>
      <c r="E345" s="1" t="s">
        <v>102</v>
      </c>
      <c r="F345" s="1" t="s">
        <v>1523</v>
      </c>
      <c r="G345" s="1" t="s">
        <v>1046</v>
      </c>
      <c r="H345" s="1"/>
      <c r="I345" s="1"/>
      <c r="J345" s="1" t="s">
        <v>1545</v>
      </c>
      <c r="K345" s="1" t="s">
        <v>1543</v>
      </c>
      <c r="L345" s="8" t="s">
        <v>1526</v>
      </c>
      <c r="M345" s="1" t="s">
        <v>426</v>
      </c>
    </row>
    <row r="346" spans="1:13" ht="13.2">
      <c r="A346" s="1" t="s">
        <v>643</v>
      </c>
      <c r="B346" s="1"/>
      <c r="C346" s="1"/>
      <c r="D346" s="1"/>
      <c r="E346" s="1" t="s">
        <v>102</v>
      </c>
      <c r="F346" s="1" t="s">
        <v>1536</v>
      </c>
      <c r="G346" s="1" t="s">
        <v>1046</v>
      </c>
      <c r="H346" s="1"/>
      <c r="I346" s="1"/>
      <c r="J346" s="1" t="s">
        <v>1547</v>
      </c>
      <c r="K346" s="1" t="s">
        <v>1525</v>
      </c>
      <c r="L346" s="8" t="s">
        <v>1526</v>
      </c>
      <c r="M346" s="1" t="s">
        <v>426</v>
      </c>
    </row>
    <row r="347" spans="1:13" ht="13.2">
      <c r="A347" s="1" t="s">
        <v>652</v>
      </c>
      <c r="B347" s="1"/>
      <c r="C347" s="1"/>
      <c r="D347" s="1"/>
      <c r="E347" s="1" t="s">
        <v>102</v>
      </c>
      <c r="F347" s="1" t="s">
        <v>1536</v>
      </c>
      <c r="G347" s="1" t="s">
        <v>1046</v>
      </c>
      <c r="H347" s="1"/>
      <c r="I347" s="1"/>
      <c r="J347" s="1" t="s">
        <v>1549</v>
      </c>
      <c r="K347" s="1" t="s">
        <v>1543</v>
      </c>
      <c r="L347" s="8" t="s">
        <v>1526</v>
      </c>
      <c r="M347" s="1" t="s">
        <v>426</v>
      </c>
    </row>
    <row r="348" spans="1:13" ht="13.2">
      <c r="A348" s="1" t="s">
        <v>1552</v>
      </c>
      <c r="B348" s="1"/>
      <c r="C348" s="1"/>
      <c r="D348" s="1"/>
      <c r="E348" s="1"/>
      <c r="F348" s="1" t="s">
        <v>1536</v>
      </c>
      <c r="G348" s="1"/>
      <c r="H348" s="1"/>
      <c r="I348" s="1"/>
      <c r="J348" s="1" t="s">
        <v>1553</v>
      </c>
      <c r="K348" s="1" t="s">
        <v>1554</v>
      </c>
      <c r="L348" s="8" t="s">
        <v>1526</v>
      </c>
      <c r="M348" s="1" t="s">
        <v>426</v>
      </c>
    </row>
    <row r="349" spans="1:13" ht="13.2">
      <c r="A349" s="1" t="s">
        <v>1556</v>
      </c>
      <c r="B349" s="1"/>
      <c r="C349" s="1"/>
      <c r="D349" s="1"/>
      <c r="E349" s="1"/>
      <c r="F349" s="1" t="s">
        <v>1523</v>
      </c>
      <c r="G349" s="1"/>
      <c r="H349" s="1"/>
      <c r="I349" s="1"/>
      <c r="J349" s="1" t="s">
        <v>1557</v>
      </c>
      <c r="K349" s="1" t="s">
        <v>1554</v>
      </c>
      <c r="L349" s="8" t="s">
        <v>1526</v>
      </c>
      <c r="M349" s="1" t="s">
        <v>426</v>
      </c>
    </row>
    <row r="350" spans="1:13" ht="13.2">
      <c r="A350" s="1" t="s">
        <v>1560</v>
      </c>
      <c r="B350" s="1"/>
      <c r="C350" s="1"/>
      <c r="D350" s="1"/>
      <c r="E350" s="1"/>
      <c r="F350" s="1" t="s">
        <v>1523</v>
      </c>
      <c r="G350" s="1"/>
      <c r="H350" s="1"/>
      <c r="I350" s="1"/>
      <c r="J350" s="1" t="s">
        <v>1561</v>
      </c>
      <c r="K350" s="1" t="s">
        <v>1562</v>
      </c>
      <c r="L350" s="8" t="s">
        <v>1526</v>
      </c>
      <c r="M350" s="1" t="s">
        <v>426</v>
      </c>
    </row>
    <row r="351" spans="1:13" ht="13.2">
      <c r="A351" s="1" t="s">
        <v>672</v>
      </c>
      <c r="B351" s="1"/>
      <c r="C351" s="1"/>
      <c r="D351" s="1"/>
      <c r="E351" s="1" t="s">
        <v>102</v>
      </c>
      <c r="F351" s="1" t="s">
        <v>1539</v>
      </c>
      <c r="G351" s="1" t="s">
        <v>1046</v>
      </c>
      <c r="H351" s="1"/>
      <c r="I351" s="1"/>
      <c r="J351" s="1" t="s">
        <v>1564</v>
      </c>
      <c r="K351" s="1" t="s">
        <v>1525</v>
      </c>
      <c r="L351" s="8" t="s">
        <v>1526</v>
      </c>
      <c r="M351" s="1" t="s">
        <v>426</v>
      </c>
    </row>
    <row r="352" spans="1:13" ht="13.2">
      <c r="A352" s="1" t="s">
        <v>686</v>
      </c>
      <c r="B352" s="1"/>
      <c r="C352" s="1"/>
      <c r="D352" s="1"/>
      <c r="E352" s="1" t="s">
        <v>102</v>
      </c>
      <c r="F352" s="1" t="s">
        <v>1523</v>
      </c>
      <c r="G352" s="1" t="s">
        <v>1046</v>
      </c>
      <c r="H352" s="1"/>
      <c r="I352" s="1"/>
      <c r="J352" s="1" t="s">
        <v>1566</v>
      </c>
      <c r="K352" s="1" t="s">
        <v>1525</v>
      </c>
      <c r="L352" s="8" t="s">
        <v>1526</v>
      </c>
      <c r="M352" s="1" t="s">
        <v>426</v>
      </c>
    </row>
    <row r="353" spans="1:13" ht="13.2">
      <c r="A353" s="1" t="s">
        <v>663</v>
      </c>
      <c r="B353" s="1"/>
      <c r="C353" s="1"/>
      <c r="D353" s="1"/>
      <c r="E353" s="1" t="s">
        <v>102</v>
      </c>
      <c r="F353" s="1" t="s">
        <v>1539</v>
      </c>
      <c r="G353" s="1" t="s">
        <v>1046</v>
      </c>
      <c r="H353" s="1"/>
      <c r="I353" s="1"/>
      <c r="J353" s="1" t="s">
        <v>1568</v>
      </c>
      <c r="K353" s="1" t="s">
        <v>1525</v>
      </c>
      <c r="L353" s="8" t="s">
        <v>1526</v>
      </c>
      <c r="M353" s="1" t="s">
        <v>426</v>
      </c>
    </row>
    <row r="354" spans="1:13" ht="13.2">
      <c r="A354" s="1" t="s">
        <v>476</v>
      </c>
      <c r="B354" s="1"/>
      <c r="C354" s="1"/>
      <c r="D354" s="1"/>
      <c r="E354" s="1" t="s">
        <v>102</v>
      </c>
      <c r="F354" s="1" t="s">
        <v>1536</v>
      </c>
      <c r="G354" s="1" t="s">
        <v>1046</v>
      </c>
      <c r="H354" s="1"/>
      <c r="I354" s="1"/>
      <c r="J354" s="1" t="s">
        <v>1571</v>
      </c>
      <c r="K354" s="1" t="s">
        <v>1525</v>
      </c>
      <c r="L354" s="8" t="s">
        <v>1526</v>
      </c>
      <c r="M354" s="1" t="s">
        <v>426</v>
      </c>
    </row>
    <row r="355" spans="1:13" ht="13.2">
      <c r="A355" s="1" t="s">
        <v>478</v>
      </c>
      <c r="B355" s="1"/>
      <c r="C355" s="1"/>
      <c r="D355" s="1"/>
      <c r="E355" s="1" t="s">
        <v>102</v>
      </c>
      <c r="F355" s="1" t="s">
        <v>1536</v>
      </c>
      <c r="G355" s="1" t="s">
        <v>1046</v>
      </c>
      <c r="H355" s="1"/>
      <c r="I355" s="1"/>
      <c r="J355" s="1" t="s">
        <v>1573</v>
      </c>
      <c r="K355" s="1" t="s">
        <v>1525</v>
      </c>
      <c r="L355" s="8" t="s">
        <v>1526</v>
      </c>
      <c r="M355" s="1" t="s">
        <v>426</v>
      </c>
    </row>
    <row r="356" spans="1:13" ht="13.2">
      <c r="A356" s="1" t="s">
        <v>479</v>
      </c>
      <c r="B356" s="1"/>
      <c r="C356" s="1"/>
      <c r="D356" s="1"/>
      <c r="E356" s="1" t="s">
        <v>102</v>
      </c>
      <c r="F356" s="1" t="s">
        <v>1536</v>
      </c>
      <c r="G356" s="1" t="s">
        <v>1046</v>
      </c>
      <c r="H356" s="1"/>
      <c r="I356" s="1"/>
      <c r="J356" s="1" t="s">
        <v>1575</v>
      </c>
      <c r="K356" s="1" t="s">
        <v>1525</v>
      </c>
      <c r="L356" s="8" t="s">
        <v>1526</v>
      </c>
      <c r="M356" s="1" t="s">
        <v>426</v>
      </c>
    </row>
    <row r="357" spans="1:13" ht="13.2">
      <c r="A357" s="1" t="s">
        <v>1577</v>
      </c>
      <c r="B357" s="1"/>
      <c r="C357" s="1"/>
      <c r="D357" s="1"/>
      <c r="E357" s="1"/>
      <c r="F357" s="1" t="s">
        <v>1578</v>
      </c>
      <c r="G357" s="1"/>
      <c r="H357" s="1"/>
      <c r="I357" s="1"/>
      <c r="J357" s="1" t="s">
        <v>1579</v>
      </c>
      <c r="K357" s="1" t="s">
        <v>1554</v>
      </c>
      <c r="L357" s="8" t="s">
        <v>1526</v>
      </c>
      <c r="M357" s="1" t="s">
        <v>426</v>
      </c>
    </row>
    <row r="358" spans="1:13" ht="13.2">
      <c r="A358" s="1" t="s">
        <v>1581</v>
      </c>
      <c r="B358" s="1"/>
      <c r="C358" s="1"/>
      <c r="D358" s="1"/>
      <c r="E358" s="1"/>
      <c r="F358" s="1" t="s">
        <v>1578</v>
      </c>
      <c r="G358" s="1"/>
      <c r="H358" s="1"/>
      <c r="I358" s="1"/>
      <c r="J358" s="1" t="s">
        <v>1582</v>
      </c>
      <c r="K358" s="1" t="s">
        <v>1554</v>
      </c>
      <c r="L358" s="8" t="s">
        <v>1526</v>
      </c>
      <c r="M358" s="1" t="s">
        <v>426</v>
      </c>
    </row>
    <row r="359" spans="1:13" ht="13.2">
      <c r="A359" s="1" t="s">
        <v>1584</v>
      </c>
      <c r="B359" s="1"/>
      <c r="C359" s="1"/>
      <c r="D359" s="1"/>
      <c r="E359" s="1"/>
      <c r="F359" s="1" t="s">
        <v>1536</v>
      </c>
      <c r="G359" s="1"/>
      <c r="H359" s="1"/>
      <c r="I359" s="1"/>
      <c r="J359" s="1" t="s">
        <v>1585</v>
      </c>
      <c r="K359" s="1" t="s">
        <v>1562</v>
      </c>
      <c r="L359" s="8" t="s">
        <v>1526</v>
      </c>
      <c r="M359" s="1" t="s">
        <v>426</v>
      </c>
    </row>
    <row r="360" spans="1:13" ht="13.2">
      <c r="A360" s="1" t="s">
        <v>484</v>
      </c>
      <c r="B360" s="1"/>
      <c r="C360" s="1"/>
      <c r="D360" s="1"/>
      <c r="E360" s="1" t="s">
        <v>102</v>
      </c>
      <c r="F360" s="1" t="s">
        <v>1587</v>
      </c>
      <c r="G360" s="1" t="s">
        <v>1046</v>
      </c>
      <c r="H360" s="1"/>
      <c r="I360" s="1"/>
      <c r="J360" s="1" t="s">
        <v>1588</v>
      </c>
      <c r="K360" s="1" t="s">
        <v>1525</v>
      </c>
      <c r="L360" s="8" t="s">
        <v>1526</v>
      </c>
      <c r="M360" s="1" t="s">
        <v>426</v>
      </c>
    </row>
    <row r="361" spans="1:13" ht="13.2">
      <c r="A361" s="1" t="s">
        <v>490</v>
      </c>
      <c r="B361" s="1"/>
      <c r="C361" s="1"/>
      <c r="D361" s="1"/>
      <c r="E361" s="1" t="s">
        <v>102</v>
      </c>
      <c r="F361" s="1" t="s">
        <v>1587</v>
      </c>
      <c r="G361" s="1" t="s">
        <v>1046</v>
      </c>
      <c r="H361" s="1"/>
      <c r="I361" s="1"/>
      <c r="J361" s="1" t="s">
        <v>1591</v>
      </c>
      <c r="K361" s="1" t="s">
        <v>1525</v>
      </c>
      <c r="L361" s="8" t="s">
        <v>1526</v>
      </c>
      <c r="M361" s="1" t="s">
        <v>426</v>
      </c>
    </row>
    <row r="362" spans="1:13" ht="13.2">
      <c r="A362" s="1" t="s">
        <v>491</v>
      </c>
      <c r="B362" s="1"/>
      <c r="C362" s="1"/>
      <c r="D362" s="1"/>
      <c r="E362" s="1" t="s">
        <v>102</v>
      </c>
      <c r="F362" s="1" t="s">
        <v>1587</v>
      </c>
      <c r="G362" s="1" t="s">
        <v>1046</v>
      </c>
      <c r="H362" s="1"/>
      <c r="I362" s="1"/>
      <c r="J362" s="1" t="s">
        <v>1593</v>
      </c>
      <c r="K362" s="1" t="s">
        <v>1525</v>
      </c>
      <c r="L362" s="8" t="s">
        <v>1526</v>
      </c>
      <c r="M362" s="1" t="s">
        <v>426</v>
      </c>
    </row>
    <row r="363" spans="1:13" ht="13.2">
      <c r="A363" s="1" t="s">
        <v>645</v>
      </c>
      <c r="B363" s="1"/>
      <c r="C363" s="1"/>
      <c r="D363" s="1"/>
      <c r="E363" s="1" t="s">
        <v>102</v>
      </c>
      <c r="F363" s="1" t="s">
        <v>1587</v>
      </c>
      <c r="G363" s="1" t="s">
        <v>1046</v>
      </c>
      <c r="H363" s="1"/>
      <c r="I363" s="1"/>
      <c r="J363" s="1" t="s">
        <v>1595</v>
      </c>
      <c r="K363" s="1" t="s">
        <v>1596</v>
      </c>
      <c r="L363" s="8" t="s">
        <v>1526</v>
      </c>
      <c r="M363" s="1" t="s">
        <v>426</v>
      </c>
    </row>
    <row r="364" spans="1:13" ht="13.2">
      <c r="A364" s="1" t="s">
        <v>687</v>
      </c>
      <c r="B364" s="1"/>
      <c r="C364" s="1"/>
      <c r="D364" s="1"/>
      <c r="E364" s="1" t="s">
        <v>102</v>
      </c>
      <c r="F364" s="1" t="s">
        <v>1587</v>
      </c>
      <c r="G364" s="1" t="s">
        <v>1046</v>
      </c>
      <c r="H364" s="1"/>
      <c r="I364" s="1"/>
      <c r="J364" s="1" t="s">
        <v>1598</v>
      </c>
      <c r="K364" s="1" t="s">
        <v>1525</v>
      </c>
      <c r="L364" s="8" t="s">
        <v>1526</v>
      </c>
      <c r="M364" s="1" t="s">
        <v>426</v>
      </c>
    </row>
    <row r="365" spans="1:13" ht="13.2">
      <c r="A365" s="1" t="s">
        <v>688</v>
      </c>
      <c r="B365" s="1"/>
      <c r="C365" s="1"/>
      <c r="D365" s="1"/>
      <c r="E365" s="1" t="s">
        <v>102</v>
      </c>
      <c r="F365" s="1" t="s">
        <v>1536</v>
      </c>
      <c r="G365" s="1" t="s">
        <v>1046</v>
      </c>
      <c r="H365" s="1"/>
      <c r="I365" s="1"/>
      <c r="J365" s="1" t="s">
        <v>1600</v>
      </c>
      <c r="K365" s="1" t="s">
        <v>1525</v>
      </c>
      <c r="L365" s="8" t="s">
        <v>1526</v>
      </c>
      <c r="M365" s="1" t="s">
        <v>426</v>
      </c>
    </row>
    <row r="366" spans="1:13" ht="13.2">
      <c r="A366" s="1" t="s">
        <v>488</v>
      </c>
      <c r="B366" s="1"/>
      <c r="C366" s="1"/>
      <c r="D366" s="1"/>
      <c r="E366" s="1" t="s">
        <v>102</v>
      </c>
      <c r="F366" s="1" t="s">
        <v>1587</v>
      </c>
      <c r="G366" s="1" t="s">
        <v>1046</v>
      </c>
      <c r="H366" s="1"/>
      <c r="I366" s="1"/>
      <c r="J366" s="1" t="s">
        <v>1602</v>
      </c>
      <c r="K366" s="1" t="s">
        <v>1525</v>
      </c>
      <c r="L366" s="8" t="s">
        <v>1526</v>
      </c>
      <c r="M366" s="1" t="s">
        <v>426</v>
      </c>
    </row>
    <row r="367" spans="1:13" ht="13.2">
      <c r="A367" s="1" t="s">
        <v>680</v>
      </c>
      <c r="B367" s="1"/>
      <c r="C367" s="1"/>
      <c r="D367" s="1"/>
      <c r="E367" s="1" t="s">
        <v>102</v>
      </c>
      <c r="F367" s="1" t="s">
        <v>1523</v>
      </c>
      <c r="G367" s="1" t="s">
        <v>1046</v>
      </c>
      <c r="H367" s="1"/>
      <c r="I367" s="1"/>
      <c r="J367" s="1" t="s">
        <v>1604</v>
      </c>
      <c r="K367" s="1" t="s">
        <v>1525</v>
      </c>
      <c r="L367" s="8" t="s">
        <v>1526</v>
      </c>
      <c r="M367" s="1" t="s">
        <v>426</v>
      </c>
    </row>
    <row r="368" spans="1:13" ht="13.2">
      <c r="A368" s="1" t="s">
        <v>467</v>
      </c>
      <c r="B368" s="1"/>
      <c r="C368" s="1"/>
      <c r="D368" s="1"/>
      <c r="E368" s="1" t="s">
        <v>102</v>
      </c>
      <c r="F368" s="1" t="s">
        <v>1136</v>
      </c>
      <c r="G368" s="1" t="s">
        <v>1046</v>
      </c>
      <c r="H368" s="1"/>
      <c r="I368" s="1"/>
      <c r="J368" s="1" t="s">
        <v>1452</v>
      </c>
      <c r="K368" s="1"/>
      <c r="L368" s="8" t="s">
        <v>1453</v>
      </c>
      <c r="M368" s="1" t="s">
        <v>427</v>
      </c>
    </row>
    <row r="369" spans="1:14" ht="13.2">
      <c r="A369" s="1" t="s">
        <v>485</v>
      </c>
      <c r="B369" s="1"/>
      <c r="C369" s="1"/>
      <c r="D369" s="1"/>
      <c r="E369" s="1" t="s">
        <v>102</v>
      </c>
      <c r="F369" s="1" t="s">
        <v>1407</v>
      </c>
      <c r="G369" s="1" t="s">
        <v>1046</v>
      </c>
      <c r="H369" s="1"/>
      <c r="I369" s="1"/>
      <c r="J369" s="1" t="s">
        <v>1454</v>
      </c>
      <c r="K369" s="1"/>
      <c r="L369" s="8" t="s">
        <v>1453</v>
      </c>
      <c r="M369" s="1" t="s">
        <v>427</v>
      </c>
    </row>
    <row r="370" spans="1:14" ht="13.2">
      <c r="A370" s="1" t="s">
        <v>615</v>
      </c>
      <c r="B370" s="1"/>
      <c r="C370" s="1"/>
      <c r="D370" s="1"/>
      <c r="E370" s="1" t="s">
        <v>102</v>
      </c>
      <c r="F370" s="1" t="s">
        <v>1354</v>
      </c>
      <c r="G370" s="1" t="s">
        <v>1046</v>
      </c>
      <c r="H370" s="1"/>
      <c r="I370" s="1"/>
      <c r="J370" s="1" t="s">
        <v>1455</v>
      </c>
      <c r="K370" s="1"/>
      <c r="L370" s="8" t="s">
        <v>1453</v>
      </c>
      <c r="M370" s="1" t="s">
        <v>427</v>
      </c>
    </row>
    <row r="371" spans="1:14" ht="13.2">
      <c r="A371" s="1" t="s">
        <v>496</v>
      </c>
      <c r="B371" s="1"/>
      <c r="C371" s="1"/>
      <c r="D371" s="1"/>
      <c r="E371" s="1" t="s">
        <v>102</v>
      </c>
      <c r="F371" s="1" t="s">
        <v>1407</v>
      </c>
      <c r="G371" s="1" t="s">
        <v>1046</v>
      </c>
      <c r="H371" s="1"/>
      <c r="I371" s="1"/>
      <c r="J371" s="1" t="s">
        <v>1456</v>
      </c>
      <c r="K371" s="1"/>
      <c r="L371" s="8" t="s">
        <v>1453</v>
      </c>
      <c r="M371" s="1" t="s">
        <v>427</v>
      </c>
    </row>
    <row r="372" spans="1:14" ht="13.2">
      <c r="A372" s="1" t="s">
        <v>46</v>
      </c>
      <c r="B372" s="1"/>
      <c r="C372" s="1"/>
      <c r="D372" s="1"/>
      <c r="E372" s="1" t="s">
        <v>1045</v>
      </c>
      <c r="F372" s="1" t="s">
        <v>1046</v>
      </c>
      <c r="G372" s="1" t="s">
        <v>1457</v>
      </c>
      <c r="H372" s="1" t="s">
        <v>1046</v>
      </c>
      <c r="I372" s="1" t="s">
        <v>1046</v>
      </c>
      <c r="J372" s="1" t="s">
        <v>1458</v>
      </c>
      <c r="K372" s="1"/>
      <c r="L372" s="8" t="s">
        <v>1453</v>
      </c>
      <c r="M372" s="1" t="s">
        <v>427</v>
      </c>
    </row>
    <row r="373" spans="1:14" ht="13.2">
      <c r="A373" s="1" t="s">
        <v>44</v>
      </c>
      <c r="B373" s="1"/>
      <c r="C373" s="1"/>
      <c r="D373" s="1"/>
      <c r="E373" s="1" t="s">
        <v>1045</v>
      </c>
      <c r="F373" s="1" t="s">
        <v>1046</v>
      </c>
      <c r="G373" s="1" t="s">
        <v>1426</v>
      </c>
      <c r="H373" s="1" t="s">
        <v>1046</v>
      </c>
      <c r="I373" s="1" t="s">
        <v>1046</v>
      </c>
      <c r="J373" s="1" t="s">
        <v>1459</v>
      </c>
      <c r="K373" s="1"/>
      <c r="L373" s="8" t="s">
        <v>1453</v>
      </c>
      <c r="M373" s="1" t="s">
        <v>427</v>
      </c>
    </row>
    <row r="374" spans="1:14" ht="13.2">
      <c r="A374" s="1" t="s">
        <v>657</v>
      </c>
      <c r="B374" s="1"/>
      <c r="C374" s="1"/>
      <c r="D374" s="1"/>
      <c r="E374" s="1" t="s">
        <v>1045</v>
      </c>
      <c r="F374" s="1" t="s">
        <v>1046</v>
      </c>
      <c r="G374" s="1" t="s">
        <v>1460</v>
      </c>
      <c r="H374" s="1" t="s">
        <v>1046</v>
      </c>
      <c r="I374" s="1" t="s">
        <v>1046</v>
      </c>
      <c r="J374" s="1" t="s">
        <v>1461</v>
      </c>
      <c r="K374" s="1"/>
      <c r="L374" s="8" t="s">
        <v>1453</v>
      </c>
      <c r="M374" s="1" t="s">
        <v>427</v>
      </c>
    </row>
    <row r="375" spans="1:14" ht="13.2">
      <c r="A375" s="1" t="s">
        <v>676</v>
      </c>
      <c r="B375" s="1"/>
      <c r="C375" s="1"/>
      <c r="D375" s="1"/>
      <c r="E375" s="1" t="s">
        <v>1045</v>
      </c>
      <c r="F375" s="1" t="s">
        <v>1046</v>
      </c>
      <c r="G375" s="1" t="s">
        <v>1462</v>
      </c>
      <c r="H375" s="1" t="s">
        <v>1046</v>
      </c>
      <c r="I375" s="1" t="s">
        <v>1046</v>
      </c>
      <c r="J375" s="1" t="s">
        <v>1463</v>
      </c>
      <c r="K375" s="1"/>
      <c r="L375" s="8" t="s">
        <v>1453</v>
      </c>
      <c r="M375" s="1" t="s">
        <v>427</v>
      </c>
    </row>
    <row r="376" spans="1:14" ht="13.2">
      <c r="A376" s="1" t="s">
        <v>1001</v>
      </c>
      <c r="B376" s="1"/>
      <c r="C376" s="1"/>
      <c r="D376" s="1"/>
      <c r="E376" s="1" t="s">
        <v>1045</v>
      </c>
      <c r="F376" s="1" t="s">
        <v>1046</v>
      </c>
      <c r="G376" s="1" t="s">
        <v>1517</v>
      </c>
      <c r="H376" s="1" t="s">
        <v>1046</v>
      </c>
      <c r="I376" s="1" t="s">
        <v>1046</v>
      </c>
      <c r="J376" s="1" t="s">
        <v>1518</v>
      </c>
      <c r="K376" s="1" t="s">
        <v>1477</v>
      </c>
      <c r="L376" s="1" t="s">
        <v>1519</v>
      </c>
      <c r="M376" s="1" t="s">
        <v>428</v>
      </c>
      <c r="N376" s="1"/>
    </row>
    <row r="377" spans="1:14" ht="13.2">
      <c r="A377" s="1" t="s">
        <v>903</v>
      </c>
      <c r="B377" s="1"/>
      <c r="C377" s="1"/>
      <c r="D377" s="1"/>
      <c r="E377" s="1" t="s">
        <v>1045</v>
      </c>
      <c r="F377" s="1" t="s">
        <v>1046</v>
      </c>
      <c r="G377" s="1" t="s">
        <v>1520</v>
      </c>
      <c r="H377" s="1" t="s">
        <v>1046</v>
      </c>
      <c r="I377" s="1" t="s">
        <v>1046</v>
      </c>
      <c r="J377" s="1" t="s">
        <v>1521</v>
      </c>
      <c r="K377" s="1" t="s">
        <v>1522</v>
      </c>
      <c r="L377" s="1" t="s">
        <v>1519</v>
      </c>
      <c r="M377" s="1" t="s">
        <v>428</v>
      </c>
      <c r="N377" s="1"/>
    </row>
    <row r="378" spans="1:14" ht="13.2">
      <c r="A378" s="1" t="s">
        <v>924</v>
      </c>
      <c r="B378" s="1" t="s">
        <v>1479</v>
      </c>
      <c r="C378" s="1"/>
      <c r="D378" s="1"/>
      <c r="E378" s="1" t="s">
        <v>1480</v>
      </c>
      <c r="F378" s="1" t="s">
        <v>1046</v>
      </c>
      <c r="G378" s="1" t="s">
        <v>1481</v>
      </c>
      <c r="H378" s="1" t="s">
        <v>1046</v>
      </c>
      <c r="I378" s="1" t="s">
        <v>1046</v>
      </c>
      <c r="J378" s="1" t="s">
        <v>1482</v>
      </c>
      <c r="K378" s="1"/>
      <c r="L378" s="8" t="s">
        <v>1483</v>
      </c>
      <c r="M378" s="1" t="s">
        <v>429</v>
      </c>
    </row>
    <row r="379" spans="1:14" ht="13.2">
      <c r="A379" s="1" t="s">
        <v>925</v>
      </c>
      <c r="B379" s="1" t="s">
        <v>1479</v>
      </c>
      <c r="C379" s="1"/>
      <c r="D379" s="1"/>
      <c r="E379" s="1" t="s">
        <v>1480</v>
      </c>
      <c r="F379" s="1" t="s">
        <v>1046</v>
      </c>
      <c r="G379" s="1" t="s">
        <v>1481</v>
      </c>
      <c r="H379" s="1" t="s">
        <v>1046</v>
      </c>
      <c r="I379" s="1" t="s">
        <v>1046</v>
      </c>
      <c r="J379" s="1" t="s">
        <v>1482</v>
      </c>
      <c r="K379" s="1"/>
      <c r="L379" s="8" t="s">
        <v>1483</v>
      </c>
      <c r="M379" s="1" t="s">
        <v>429</v>
      </c>
    </row>
    <row r="380" spans="1:14" ht="13.2">
      <c r="A380" s="1" t="s">
        <v>926</v>
      </c>
      <c r="B380" s="1" t="s">
        <v>1479</v>
      </c>
      <c r="C380" s="1"/>
      <c r="D380" s="1"/>
      <c r="E380" s="1" t="s">
        <v>1480</v>
      </c>
      <c r="F380" s="1" t="s">
        <v>1046</v>
      </c>
      <c r="G380" s="1" t="s">
        <v>1481</v>
      </c>
      <c r="H380" s="1" t="s">
        <v>1046</v>
      </c>
      <c r="I380" s="1" t="s">
        <v>1046</v>
      </c>
      <c r="J380" s="1" t="s">
        <v>1482</v>
      </c>
      <c r="K380" s="1"/>
      <c r="L380" s="8" t="s">
        <v>1483</v>
      </c>
      <c r="M380" s="1" t="s">
        <v>429</v>
      </c>
    </row>
    <row r="381" spans="1:14" ht="13.2">
      <c r="A381" s="1" t="s">
        <v>927</v>
      </c>
      <c r="B381" s="1" t="s">
        <v>1479</v>
      </c>
      <c r="C381" s="1"/>
      <c r="D381" s="1"/>
      <c r="E381" s="1" t="s">
        <v>1480</v>
      </c>
      <c r="F381" s="1" t="s">
        <v>1046</v>
      </c>
      <c r="G381" s="1" t="s">
        <v>1481</v>
      </c>
      <c r="H381" s="1" t="s">
        <v>1046</v>
      </c>
      <c r="I381" s="1" t="s">
        <v>1046</v>
      </c>
      <c r="J381" s="1" t="s">
        <v>1482</v>
      </c>
      <c r="K381" s="1"/>
      <c r="L381" s="8" t="s">
        <v>1483</v>
      </c>
      <c r="M381" s="1" t="s">
        <v>429</v>
      </c>
    </row>
    <row r="382" spans="1:14" ht="13.2">
      <c r="A382" s="1" t="s">
        <v>928</v>
      </c>
      <c r="B382" s="1" t="s">
        <v>1479</v>
      </c>
      <c r="C382" s="1"/>
      <c r="D382" s="1"/>
      <c r="E382" s="1" t="s">
        <v>1480</v>
      </c>
      <c r="F382" s="1" t="s">
        <v>1046</v>
      </c>
      <c r="G382" s="1" t="s">
        <v>1481</v>
      </c>
      <c r="H382" s="1" t="s">
        <v>1046</v>
      </c>
      <c r="I382" s="1" t="s">
        <v>1046</v>
      </c>
      <c r="J382" s="1" t="s">
        <v>1482</v>
      </c>
      <c r="K382" s="1"/>
      <c r="L382" s="8" t="s">
        <v>1483</v>
      </c>
      <c r="M382" s="1" t="s">
        <v>429</v>
      </c>
    </row>
    <row r="383" spans="1:14" ht="13.2">
      <c r="A383" s="1" t="s">
        <v>929</v>
      </c>
      <c r="B383" s="1" t="s">
        <v>1479</v>
      </c>
      <c r="C383" s="1"/>
      <c r="D383" s="1"/>
      <c r="E383" s="1" t="s">
        <v>1480</v>
      </c>
      <c r="F383" s="1" t="s">
        <v>1046</v>
      </c>
      <c r="G383" s="1" t="s">
        <v>1481</v>
      </c>
      <c r="H383" s="1" t="s">
        <v>1046</v>
      </c>
      <c r="I383" s="1" t="s">
        <v>1046</v>
      </c>
      <c r="J383" s="1" t="s">
        <v>1482</v>
      </c>
      <c r="K383" s="1"/>
      <c r="L383" s="8" t="s">
        <v>1483</v>
      </c>
      <c r="M383" s="1" t="s">
        <v>429</v>
      </c>
    </row>
    <row r="384" spans="1:14" ht="13.2">
      <c r="A384" s="1" t="s">
        <v>1009</v>
      </c>
      <c r="B384" s="1"/>
      <c r="C384" s="1"/>
      <c r="D384" s="1"/>
      <c r="E384" s="1" t="s">
        <v>1490</v>
      </c>
      <c r="F384" s="1" t="s">
        <v>1046</v>
      </c>
      <c r="G384" s="1" t="s">
        <v>1491</v>
      </c>
      <c r="H384" s="1" t="s">
        <v>1046</v>
      </c>
      <c r="I384" s="1" t="s">
        <v>1046</v>
      </c>
      <c r="J384" s="1" t="s">
        <v>1492</v>
      </c>
      <c r="K384" s="1"/>
      <c r="L384" s="8" t="s">
        <v>1483</v>
      </c>
      <c r="M384" s="1" t="s">
        <v>429</v>
      </c>
    </row>
    <row r="385" spans="1:13" ht="13.2">
      <c r="A385" s="1" t="s">
        <v>1007</v>
      </c>
      <c r="B385" s="1"/>
      <c r="C385" s="1"/>
      <c r="D385" s="1"/>
      <c r="E385" s="1" t="s">
        <v>1490</v>
      </c>
      <c r="F385" s="1" t="s">
        <v>1046</v>
      </c>
      <c r="G385" s="1" t="s">
        <v>1493</v>
      </c>
      <c r="H385" s="1" t="s">
        <v>1046</v>
      </c>
      <c r="I385" s="1" t="s">
        <v>1046</v>
      </c>
      <c r="J385" s="1" t="s">
        <v>1492</v>
      </c>
      <c r="K385" s="1"/>
      <c r="L385" s="8" t="s">
        <v>1483</v>
      </c>
      <c r="M385" s="1" t="s">
        <v>429</v>
      </c>
    </row>
    <row r="386" spans="1:13" ht="13.2">
      <c r="A386" s="1" t="s">
        <v>892</v>
      </c>
      <c r="B386" s="1"/>
      <c r="C386" s="1"/>
      <c r="D386" s="1"/>
      <c r="E386" s="1" t="s">
        <v>1490</v>
      </c>
      <c r="F386" s="1" t="s">
        <v>1046</v>
      </c>
      <c r="G386" s="1" t="s">
        <v>1494</v>
      </c>
      <c r="H386" s="1" t="s">
        <v>1046</v>
      </c>
      <c r="I386" s="1" t="s">
        <v>1046</v>
      </c>
      <c r="J386" s="1" t="s">
        <v>1495</v>
      </c>
      <c r="K386" s="1"/>
      <c r="L386" s="8" t="s">
        <v>1483</v>
      </c>
      <c r="M386" s="1" t="s">
        <v>429</v>
      </c>
    </row>
    <row r="387" spans="1:13" ht="13.2">
      <c r="A387" s="1" t="s">
        <v>891</v>
      </c>
      <c r="B387" s="1"/>
      <c r="C387" s="1"/>
      <c r="D387" s="1"/>
      <c r="E387" s="1" t="s">
        <v>1490</v>
      </c>
      <c r="F387" s="1" t="s">
        <v>1046</v>
      </c>
      <c r="G387" s="1" t="s">
        <v>1496</v>
      </c>
      <c r="H387" s="1" t="s">
        <v>1046</v>
      </c>
      <c r="I387" s="1" t="s">
        <v>1046</v>
      </c>
      <c r="J387" s="1" t="s">
        <v>1495</v>
      </c>
      <c r="K387" s="1"/>
      <c r="L387" s="8" t="s">
        <v>1483</v>
      </c>
      <c r="M387" s="1" t="s">
        <v>429</v>
      </c>
    </row>
    <row r="388" spans="1:13" ht="13.2">
      <c r="A388" s="1" t="s">
        <v>896</v>
      </c>
      <c r="B388" s="1"/>
      <c r="C388" s="1"/>
      <c r="D388" s="1"/>
      <c r="E388" s="1" t="s">
        <v>1490</v>
      </c>
      <c r="F388" s="1" t="s">
        <v>1046</v>
      </c>
      <c r="G388" s="1" t="s">
        <v>1498</v>
      </c>
      <c r="H388" s="1" t="s">
        <v>1046</v>
      </c>
      <c r="I388" s="1" t="s">
        <v>1046</v>
      </c>
      <c r="J388" s="1" t="s">
        <v>1499</v>
      </c>
      <c r="K388" s="1"/>
      <c r="L388" s="8" t="s">
        <v>1483</v>
      </c>
      <c r="M388" s="1" t="s">
        <v>429</v>
      </c>
    </row>
    <row r="389" spans="1:13" ht="13.2">
      <c r="A389" s="1" t="s">
        <v>763</v>
      </c>
      <c r="B389" s="1"/>
      <c r="C389" s="1"/>
      <c r="D389" s="1"/>
      <c r="E389" s="1" t="s">
        <v>1490</v>
      </c>
      <c r="F389" s="1" t="s">
        <v>1046</v>
      </c>
      <c r="G389" s="1" t="s">
        <v>1500</v>
      </c>
      <c r="H389" s="1" t="s">
        <v>1046</v>
      </c>
      <c r="I389" s="1" t="s">
        <v>1046</v>
      </c>
      <c r="J389" s="1" t="s">
        <v>2033</v>
      </c>
      <c r="K389" s="1"/>
      <c r="L389" s="8" t="s">
        <v>1483</v>
      </c>
      <c r="M389" s="1" t="s">
        <v>429</v>
      </c>
    </row>
    <row r="390" spans="1:13" ht="13.2">
      <c r="A390" s="1" t="s">
        <v>900</v>
      </c>
      <c r="B390" s="1"/>
      <c r="C390" s="1"/>
      <c r="D390" s="1"/>
      <c r="E390" s="1" t="s">
        <v>1503</v>
      </c>
      <c r="F390" s="1"/>
      <c r="G390" s="1" t="s">
        <v>1046</v>
      </c>
      <c r="H390" s="1"/>
      <c r="I390" s="1"/>
      <c r="J390" s="1" t="s">
        <v>2034</v>
      </c>
      <c r="K390" s="1"/>
      <c r="L390" s="8" t="s">
        <v>1483</v>
      </c>
      <c r="M390" s="1" t="s">
        <v>429</v>
      </c>
    </row>
    <row r="391" spans="1:13" ht="13.2">
      <c r="A391" s="1" t="s">
        <v>901</v>
      </c>
      <c r="B391" s="1"/>
      <c r="C391" s="1"/>
      <c r="D391" s="1"/>
      <c r="E391" s="1" t="s">
        <v>1503</v>
      </c>
      <c r="F391" s="1"/>
      <c r="G391" s="1" t="s">
        <v>1046</v>
      </c>
      <c r="H391" s="1"/>
      <c r="I391" s="1"/>
      <c r="J391" s="1" t="s">
        <v>1505</v>
      </c>
      <c r="K391" s="1" t="s">
        <v>1506</v>
      </c>
      <c r="L391" s="8" t="s">
        <v>1483</v>
      </c>
      <c r="M391" s="1" t="s">
        <v>429</v>
      </c>
    </row>
    <row r="392" spans="1:13" ht="13.2">
      <c r="A392" s="1" t="s">
        <v>655</v>
      </c>
      <c r="B392" s="1"/>
      <c r="C392" s="1"/>
      <c r="D392" s="1"/>
      <c r="E392" s="1" t="s">
        <v>1503</v>
      </c>
      <c r="F392" s="1"/>
      <c r="G392" s="1" t="s">
        <v>1046</v>
      </c>
      <c r="H392" s="1"/>
      <c r="I392" s="1"/>
      <c r="J392" s="1" t="s">
        <v>2035</v>
      </c>
      <c r="K392" s="1"/>
      <c r="L392" s="8" t="s">
        <v>1483</v>
      </c>
      <c r="M392" s="1" t="s">
        <v>429</v>
      </c>
    </row>
    <row r="393" spans="1:13" ht="13.2">
      <c r="A393" s="1" t="s">
        <v>468</v>
      </c>
      <c r="B393" s="1"/>
      <c r="C393" s="1"/>
      <c r="D393" s="1"/>
      <c r="E393" s="1" t="s">
        <v>1503</v>
      </c>
      <c r="F393" s="1"/>
      <c r="G393" s="1" t="s">
        <v>1046</v>
      </c>
      <c r="H393" s="1"/>
      <c r="I393" s="1"/>
      <c r="J393" s="1" t="s">
        <v>2035</v>
      </c>
      <c r="K393" s="1"/>
      <c r="L393" s="8" t="s">
        <v>1483</v>
      </c>
      <c r="M393" s="1" t="s">
        <v>429</v>
      </c>
    </row>
    <row r="394" spans="1:13" ht="13.2">
      <c r="A394" s="1" t="s">
        <v>1030</v>
      </c>
      <c r="B394" s="1" t="s">
        <v>1510</v>
      </c>
      <c r="C394" s="1"/>
      <c r="D394" s="1"/>
      <c r="E394" s="1" t="s">
        <v>1480</v>
      </c>
      <c r="F394" s="1" t="s">
        <v>1046</v>
      </c>
      <c r="G394" s="1" t="s">
        <v>1481</v>
      </c>
      <c r="H394" s="1" t="s">
        <v>1046</v>
      </c>
      <c r="I394" s="1" t="s">
        <v>1046</v>
      </c>
      <c r="J394" s="1" t="s">
        <v>1511</v>
      </c>
      <c r="K394" s="1"/>
      <c r="L394" s="8" t="s">
        <v>1483</v>
      </c>
      <c r="M394" s="1" t="s">
        <v>429</v>
      </c>
    </row>
    <row r="395" spans="1:13" ht="13.2">
      <c r="A395" s="1" t="s">
        <v>1031</v>
      </c>
      <c r="B395" s="1" t="s">
        <v>1510</v>
      </c>
      <c r="C395" s="1"/>
      <c r="D395" s="1"/>
      <c r="E395" s="1" t="s">
        <v>1480</v>
      </c>
      <c r="F395" s="1" t="s">
        <v>1046</v>
      </c>
      <c r="G395" s="1" t="s">
        <v>1481</v>
      </c>
      <c r="H395" s="1" t="s">
        <v>1046</v>
      </c>
      <c r="I395" s="1" t="s">
        <v>1046</v>
      </c>
      <c r="J395" s="1" t="s">
        <v>1511</v>
      </c>
      <c r="K395" s="1"/>
      <c r="L395" s="8" t="s">
        <v>1483</v>
      </c>
      <c r="M395" s="1" t="s">
        <v>429</v>
      </c>
    </row>
    <row r="396" spans="1:13" ht="13.2">
      <c r="A396" s="1" t="s">
        <v>1023</v>
      </c>
      <c r="B396" s="1" t="s">
        <v>1510</v>
      </c>
      <c r="C396" s="1"/>
      <c r="D396" s="1"/>
      <c r="E396" s="1" t="s">
        <v>1480</v>
      </c>
      <c r="F396" s="1" t="s">
        <v>1046</v>
      </c>
      <c r="G396" s="1" t="s">
        <v>1481</v>
      </c>
      <c r="H396" s="1" t="s">
        <v>1046</v>
      </c>
      <c r="I396" s="1" t="s">
        <v>1046</v>
      </c>
      <c r="J396" s="1" t="s">
        <v>1511</v>
      </c>
      <c r="K396" s="1"/>
      <c r="L396" s="8" t="s">
        <v>1483</v>
      </c>
      <c r="M396" s="1" t="s">
        <v>429</v>
      </c>
    </row>
    <row r="397" spans="1:13" ht="13.2">
      <c r="A397" s="1" t="s">
        <v>1024</v>
      </c>
      <c r="B397" s="1" t="s">
        <v>1510</v>
      </c>
      <c r="C397" s="1"/>
      <c r="D397" s="1"/>
      <c r="E397" s="1" t="s">
        <v>1480</v>
      </c>
      <c r="F397" s="1" t="s">
        <v>1046</v>
      </c>
      <c r="G397" s="1" t="s">
        <v>1481</v>
      </c>
      <c r="H397" s="1" t="s">
        <v>1046</v>
      </c>
      <c r="I397" s="1" t="s">
        <v>1046</v>
      </c>
      <c r="J397" s="1" t="s">
        <v>1511</v>
      </c>
      <c r="K397" s="1"/>
      <c r="L397" s="8" t="s">
        <v>1483</v>
      </c>
      <c r="M397" s="1" t="s">
        <v>429</v>
      </c>
    </row>
    <row r="398" spans="1:13" ht="13.2">
      <c r="A398" s="1" t="s">
        <v>1017</v>
      </c>
      <c r="B398" s="1" t="s">
        <v>1510</v>
      </c>
      <c r="C398" s="1"/>
      <c r="D398" s="1"/>
      <c r="E398" s="1" t="s">
        <v>1480</v>
      </c>
      <c r="F398" s="1" t="s">
        <v>1046</v>
      </c>
      <c r="G398" s="1" t="s">
        <v>1481</v>
      </c>
      <c r="H398" s="1" t="s">
        <v>1046</v>
      </c>
      <c r="I398" s="1" t="s">
        <v>1046</v>
      </c>
      <c r="J398" s="1" t="s">
        <v>1511</v>
      </c>
      <c r="K398" s="1"/>
      <c r="L398" s="8" t="s">
        <v>1483</v>
      </c>
      <c r="M398" s="1" t="s">
        <v>429</v>
      </c>
    </row>
    <row r="399" spans="1:13" ht="13.2">
      <c r="A399" s="1" t="s">
        <v>1032</v>
      </c>
      <c r="B399" s="1" t="s">
        <v>1510</v>
      </c>
      <c r="C399" s="1"/>
      <c r="D399" s="1"/>
      <c r="E399" s="1" t="s">
        <v>1480</v>
      </c>
      <c r="F399" s="1" t="s">
        <v>1046</v>
      </c>
      <c r="G399" s="1" t="s">
        <v>1481</v>
      </c>
      <c r="H399" s="1" t="s">
        <v>1046</v>
      </c>
      <c r="I399" s="1" t="s">
        <v>1046</v>
      </c>
      <c r="J399" s="1" t="s">
        <v>1511</v>
      </c>
      <c r="K399" s="1"/>
      <c r="L399" s="8" t="s">
        <v>1483</v>
      </c>
      <c r="M399" s="1" t="s">
        <v>429</v>
      </c>
    </row>
    <row r="400" spans="1:13" ht="13.2">
      <c r="A400" s="1" t="s">
        <v>1012</v>
      </c>
      <c r="B400" s="1" t="s">
        <v>1510</v>
      </c>
      <c r="C400" s="1"/>
      <c r="D400" s="1"/>
      <c r="E400" s="1" t="s">
        <v>1480</v>
      </c>
      <c r="F400" s="1" t="s">
        <v>1046</v>
      </c>
      <c r="G400" s="1" t="s">
        <v>1481</v>
      </c>
      <c r="H400" s="1" t="s">
        <v>1046</v>
      </c>
      <c r="I400" s="1" t="s">
        <v>1046</v>
      </c>
      <c r="J400" s="1" t="s">
        <v>1511</v>
      </c>
      <c r="K400" s="1"/>
      <c r="L400" s="8" t="s">
        <v>1483</v>
      </c>
      <c r="M400" s="1" t="s">
        <v>429</v>
      </c>
    </row>
    <row r="401" spans="1:16" ht="13.2">
      <c r="A401" s="1" t="s">
        <v>1016</v>
      </c>
      <c r="B401" s="1" t="s">
        <v>1510</v>
      </c>
      <c r="C401" s="1"/>
      <c r="D401" s="1"/>
      <c r="E401" s="1" t="s">
        <v>1480</v>
      </c>
      <c r="F401" s="1" t="s">
        <v>1046</v>
      </c>
      <c r="G401" s="1" t="s">
        <v>1481</v>
      </c>
      <c r="H401" s="1" t="s">
        <v>1046</v>
      </c>
      <c r="I401" s="1" t="s">
        <v>1046</v>
      </c>
      <c r="J401" s="1" t="s">
        <v>1511</v>
      </c>
      <c r="K401" s="1"/>
      <c r="L401" s="8" t="s">
        <v>1483</v>
      </c>
      <c r="M401" s="1" t="s">
        <v>429</v>
      </c>
    </row>
    <row r="402" spans="1:16" ht="13.2">
      <c r="A402" s="1" t="s">
        <v>1029</v>
      </c>
      <c r="B402" s="1" t="s">
        <v>1510</v>
      </c>
      <c r="C402" s="1"/>
      <c r="D402" s="1"/>
      <c r="E402" s="1" t="s">
        <v>1480</v>
      </c>
      <c r="F402" s="1" t="s">
        <v>1046</v>
      </c>
      <c r="G402" s="1" t="s">
        <v>1481</v>
      </c>
      <c r="H402" s="1" t="s">
        <v>1046</v>
      </c>
      <c r="I402" s="1" t="s">
        <v>1046</v>
      </c>
      <c r="J402" s="1" t="s">
        <v>1511</v>
      </c>
      <c r="K402" s="1"/>
      <c r="L402" s="8" t="s">
        <v>1483</v>
      </c>
      <c r="M402" s="1" t="s">
        <v>429</v>
      </c>
    </row>
    <row r="403" spans="1:16" ht="13.2">
      <c r="A403" s="1" t="s">
        <v>1033</v>
      </c>
      <c r="B403" s="1" t="s">
        <v>1510</v>
      </c>
      <c r="C403" s="1"/>
      <c r="D403" s="1"/>
      <c r="E403" s="1" t="s">
        <v>1480</v>
      </c>
      <c r="F403" s="1" t="s">
        <v>1046</v>
      </c>
      <c r="G403" s="1" t="s">
        <v>1481</v>
      </c>
      <c r="H403" s="1" t="s">
        <v>1046</v>
      </c>
      <c r="I403" s="1" t="s">
        <v>1046</v>
      </c>
      <c r="J403" s="1" t="s">
        <v>1511</v>
      </c>
      <c r="K403" s="1"/>
      <c r="L403" s="8" t="s">
        <v>1483</v>
      </c>
      <c r="M403" s="1" t="s">
        <v>429</v>
      </c>
    </row>
    <row r="404" spans="1:16" ht="13.2">
      <c r="A404" s="1" t="s">
        <v>1020</v>
      </c>
      <c r="B404" s="1" t="s">
        <v>1512</v>
      </c>
      <c r="C404" s="1"/>
      <c r="D404" s="1"/>
      <c r="E404" s="1" t="s">
        <v>1480</v>
      </c>
      <c r="F404" s="1" t="s">
        <v>1046</v>
      </c>
      <c r="G404" s="1" t="s">
        <v>1481</v>
      </c>
      <c r="H404" s="1" t="s">
        <v>1046</v>
      </c>
      <c r="I404" s="1" t="s">
        <v>1046</v>
      </c>
      <c r="J404" s="1" t="s">
        <v>1513</v>
      </c>
      <c r="K404" s="1"/>
      <c r="L404" s="8" t="s">
        <v>1483</v>
      </c>
      <c r="M404" s="1" t="s">
        <v>429</v>
      </c>
    </row>
    <row r="405" spans="1:16" ht="13.2">
      <c r="A405" s="1" t="s">
        <v>1019</v>
      </c>
      <c r="B405" s="1" t="s">
        <v>1512</v>
      </c>
      <c r="C405" s="1"/>
      <c r="D405" s="1"/>
      <c r="E405" s="1" t="s">
        <v>1480</v>
      </c>
      <c r="F405" s="1" t="s">
        <v>1046</v>
      </c>
      <c r="G405" s="1" t="s">
        <v>1481</v>
      </c>
      <c r="H405" s="1" t="s">
        <v>1046</v>
      </c>
      <c r="I405" s="1" t="s">
        <v>1046</v>
      </c>
      <c r="J405" s="1" t="s">
        <v>1513</v>
      </c>
      <c r="K405" s="1"/>
      <c r="L405" s="8" t="s">
        <v>1483</v>
      </c>
      <c r="M405" s="1" t="s">
        <v>429</v>
      </c>
    </row>
    <row r="406" spans="1:16" ht="13.2">
      <c r="A406" s="1" t="s">
        <v>1014</v>
      </c>
      <c r="B406" s="1" t="s">
        <v>1512</v>
      </c>
      <c r="C406" s="1"/>
      <c r="D406" s="1"/>
      <c r="E406" s="1" t="s">
        <v>1480</v>
      </c>
      <c r="F406" s="1" t="s">
        <v>1046</v>
      </c>
      <c r="G406" s="1" t="s">
        <v>1481</v>
      </c>
      <c r="H406" s="1" t="s">
        <v>1046</v>
      </c>
      <c r="I406" s="1" t="s">
        <v>1046</v>
      </c>
      <c r="J406" s="1" t="s">
        <v>1513</v>
      </c>
      <c r="K406" s="1"/>
      <c r="L406" s="8" t="s">
        <v>1483</v>
      </c>
      <c r="M406" s="1" t="s">
        <v>429</v>
      </c>
    </row>
    <row r="407" spans="1:16" ht="13.2">
      <c r="A407" s="1" t="s">
        <v>1028</v>
      </c>
      <c r="B407" s="1" t="s">
        <v>1512</v>
      </c>
      <c r="C407" s="1"/>
      <c r="D407" s="1"/>
      <c r="E407" s="1" t="s">
        <v>1480</v>
      </c>
      <c r="F407" s="1" t="s">
        <v>1046</v>
      </c>
      <c r="G407" s="1" t="s">
        <v>1481</v>
      </c>
      <c r="H407" s="1" t="s">
        <v>1046</v>
      </c>
      <c r="I407" s="1" t="s">
        <v>1046</v>
      </c>
      <c r="J407" s="1" t="s">
        <v>1513</v>
      </c>
      <c r="K407" s="1"/>
      <c r="L407" s="8" t="s">
        <v>1483</v>
      </c>
      <c r="M407" s="1" t="s">
        <v>429</v>
      </c>
    </row>
    <row r="408" spans="1:16" ht="13.2">
      <c r="A408" s="1" t="s">
        <v>1026</v>
      </c>
      <c r="B408" s="1" t="s">
        <v>1512</v>
      </c>
      <c r="C408" s="1"/>
      <c r="D408" s="1"/>
      <c r="E408" s="1" t="s">
        <v>1480</v>
      </c>
      <c r="F408" s="1" t="s">
        <v>1046</v>
      </c>
      <c r="G408" s="1" t="s">
        <v>1481</v>
      </c>
      <c r="H408" s="1" t="s">
        <v>1046</v>
      </c>
      <c r="I408" s="1" t="s">
        <v>1046</v>
      </c>
      <c r="J408" s="1" t="s">
        <v>1513</v>
      </c>
      <c r="K408" s="1"/>
      <c r="L408" s="8" t="s">
        <v>1483</v>
      </c>
      <c r="M408" s="1" t="s">
        <v>429</v>
      </c>
    </row>
    <row r="409" spans="1:16" ht="13.2">
      <c r="A409" s="1" t="s">
        <v>1041</v>
      </c>
      <c r="B409" s="1" t="s">
        <v>1514</v>
      </c>
      <c r="C409" s="1"/>
      <c r="D409" s="1"/>
      <c r="E409" s="1" t="s">
        <v>1480</v>
      </c>
      <c r="F409" s="1" t="s">
        <v>1046</v>
      </c>
      <c r="G409" s="1" t="s">
        <v>1481</v>
      </c>
      <c r="H409" s="1" t="s">
        <v>1046</v>
      </c>
      <c r="I409" s="1" t="s">
        <v>1046</v>
      </c>
      <c r="J409" s="1" t="s">
        <v>1515</v>
      </c>
      <c r="K409" s="1"/>
      <c r="L409" s="8" t="s">
        <v>1483</v>
      </c>
      <c r="M409" s="1" t="s">
        <v>429</v>
      </c>
    </row>
    <row r="410" spans="1:16" ht="13.2">
      <c r="A410" s="1" t="s">
        <v>1034</v>
      </c>
      <c r="B410" s="1" t="s">
        <v>1514</v>
      </c>
      <c r="C410" s="1"/>
      <c r="D410" s="1"/>
      <c r="E410" s="1" t="s">
        <v>1480</v>
      </c>
      <c r="F410" s="1" t="s">
        <v>1046</v>
      </c>
      <c r="G410" s="1" t="s">
        <v>1481</v>
      </c>
      <c r="H410" s="1" t="s">
        <v>1046</v>
      </c>
      <c r="I410" s="1" t="s">
        <v>1046</v>
      </c>
      <c r="J410" s="1" t="s">
        <v>1515</v>
      </c>
      <c r="K410" s="1"/>
      <c r="L410" s="8" t="s">
        <v>1483</v>
      </c>
      <c r="M410" s="1" t="s">
        <v>429</v>
      </c>
    </row>
    <row r="411" spans="1:16" ht="13.2">
      <c r="A411" s="1" t="s">
        <v>1035</v>
      </c>
      <c r="B411" s="1" t="s">
        <v>1514</v>
      </c>
      <c r="C411" s="1"/>
      <c r="D411" s="1"/>
      <c r="E411" s="1" t="s">
        <v>1480</v>
      </c>
      <c r="F411" s="1" t="s">
        <v>1046</v>
      </c>
      <c r="G411" s="1" t="s">
        <v>1481</v>
      </c>
      <c r="H411" s="1" t="s">
        <v>1046</v>
      </c>
      <c r="I411" s="1" t="s">
        <v>1046</v>
      </c>
      <c r="J411" s="1" t="s">
        <v>1515</v>
      </c>
      <c r="K411" s="1"/>
      <c r="L411" s="8" t="s">
        <v>1483</v>
      </c>
      <c r="M411" s="1" t="s">
        <v>429</v>
      </c>
    </row>
    <row r="412" spans="1:16" ht="13.2">
      <c r="A412" s="1" t="s">
        <v>1036</v>
      </c>
      <c r="B412" s="1" t="s">
        <v>1514</v>
      </c>
      <c r="C412" s="1"/>
      <c r="D412" s="1"/>
      <c r="E412" s="1" t="s">
        <v>1480</v>
      </c>
      <c r="F412" s="1" t="s">
        <v>1046</v>
      </c>
      <c r="G412" s="1" t="s">
        <v>1481</v>
      </c>
      <c r="H412" s="1" t="s">
        <v>1046</v>
      </c>
      <c r="I412" s="1" t="s">
        <v>1046</v>
      </c>
      <c r="J412" s="1" t="s">
        <v>1515</v>
      </c>
      <c r="K412" s="1"/>
      <c r="L412" s="8" t="s">
        <v>1483</v>
      </c>
      <c r="M412" s="1" t="s">
        <v>429</v>
      </c>
    </row>
    <row r="413" spans="1:16" ht="13.2">
      <c r="A413" s="1" t="s">
        <v>1037</v>
      </c>
      <c r="B413" s="1" t="s">
        <v>1514</v>
      </c>
      <c r="C413" s="1"/>
      <c r="D413" s="1"/>
      <c r="E413" s="1" t="s">
        <v>1480</v>
      </c>
      <c r="F413" s="1" t="s">
        <v>1046</v>
      </c>
      <c r="G413" s="1" t="s">
        <v>1481</v>
      </c>
      <c r="H413" s="1" t="s">
        <v>1046</v>
      </c>
      <c r="I413" s="1" t="s">
        <v>1046</v>
      </c>
      <c r="J413" s="1" t="s">
        <v>1515</v>
      </c>
      <c r="K413" s="1"/>
      <c r="L413" s="8" t="s">
        <v>1483</v>
      </c>
      <c r="M413" s="1" t="s">
        <v>429</v>
      </c>
    </row>
    <row r="414" spans="1:16" ht="13.2">
      <c r="A414" s="1" t="s">
        <v>1038</v>
      </c>
      <c r="B414" s="1" t="s">
        <v>1514</v>
      </c>
      <c r="C414" s="1"/>
      <c r="D414" s="1"/>
      <c r="E414" s="1" t="s">
        <v>1480</v>
      </c>
      <c r="F414" s="1" t="s">
        <v>1046</v>
      </c>
      <c r="G414" s="1" t="s">
        <v>1481</v>
      </c>
      <c r="H414" s="1" t="s">
        <v>1046</v>
      </c>
      <c r="I414" s="1" t="s">
        <v>1046</v>
      </c>
      <c r="J414" s="1" t="s">
        <v>1515</v>
      </c>
      <c r="K414" s="1"/>
      <c r="L414" s="8" t="s">
        <v>1483</v>
      </c>
      <c r="M414" s="1" t="s">
        <v>429</v>
      </c>
    </row>
    <row r="415" spans="1:16" ht="13.2">
      <c r="A415" s="1" t="s">
        <v>673</v>
      </c>
      <c r="B415" s="1"/>
      <c r="C415" s="1"/>
      <c r="D415" s="1"/>
      <c r="E415" s="1" t="s">
        <v>1464</v>
      </c>
      <c r="F415" s="1"/>
      <c r="G415" s="1" t="s">
        <v>1046</v>
      </c>
      <c r="H415" s="1"/>
      <c r="I415" s="1"/>
      <c r="J415" s="1" t="s">
        <v>1465</v>
      </c>
      <c r="K415" s="1"/>
      <c r="L415" s="8" t="s">
        <v>1466</v>
      </c>
      <c r="M415" s="1" t="s">
        <v>430</v>
      </c>
      <c r="P415" s="9"/>
    </row>
    <row r="416" spans="1:16" ht="13.2">
      <c r="A416" s="1" t="s">
        <v>625</v>
      </c>
      <c r="B416" s="1"/>
      <c r="C416" s="1"/>
      <c r="D416" s="1"/>
      <c r="E416" s="1" t="s">
        <v>1464</v>
      </c>
      <c r="F416" s="1"/>
      <c r="G416" s="1" t="s">
        <v>1046</v>
      </c>
      <c r="H416" s="1"/>
      <c r="I416" s="1"/>
      <c r="J416" s="1" t="s">
        <v>1467</v>
      </c>
      <c r="K416" s="1"/>
      <c r="L416" s="8" t="s">
        <v>1466</v>
      </c>
      <c r="M416" s="1" t="s">
        <v>430</v>
      </c>
    </row>
    <row r="417" spans="1:13" ht="13.2">
      <c r="A417" s="1" t="s">
        <v>1468</v>
      </c>
      <c r="B417" s="1"/>
      <c r="C417" s="1"/>
      <c r="D417" s="1"/>
      <c r="E417" s="1" t="s">
        <v>1464</v>
      </c>
      <c r="F417" s="1"/>
      <c r="G417" s="1" t="s">
        <v>1046</v>
      </c>
      <c r="H417" s="1"/>
      <c r="I417" s="1"/>
      <c r="J417" s="1" t="s">
        <v>1469</v>
      </c>
      <c r="K417" s="1"/>
      <c r="L417" s="8" t="s">
        <v>1466</v>
      </c>
      <c r="M417" s="1" t="s">
        <v>430</v>
      </c>
    </row>
    <row r="418" spans="1:13" ht="13.2">
      <c r="A418" s="1" t="s">
        <v>959</v>
      </c>
      <c r="B418" s="1"/>
      <c r="C418" s="1"/>
      <c r="D418" s="1"/>
      <c r="E418" s="1" t="s">
        <v>1464</v>
      </c>
      <c r="F418" s="1"/>
      <c r="G418" s="1" t="s">
        <v>1046</v>
      </c>
      <c r="H418" s="1"/>
      <c r="I418" s="1"/>
      <c r="J418" s="1" t="s">
        <v>1470</v>
      </c>
      <c r="K418" s="1"/>
      <c r="L418" s="8" t="s">
        <v>1466</v>
      </c>
      <c r="M418" s="1" t="s">
        <v>430</v>
      </c>
    </row>
    <row r="419" spans="1:13" ht="13.2">
      <c r="A419" s="1" t="s">
        <v>477</v>
      </c>
      <c r="B419" s="1"/>
      <c r="C419" s="1"/>
      <c r="D419" s="1"/>
      <c r="E419" s="1" t="s">
        <v>1464</v>
      </c>
      <c r="F419" s="1" t="s">
        <v>1136</v>
      </c>
      <c r="G419" s="1" t="s">
        <v>1046</v>
      </c>
      <c r="H419" s="1"/>
      <c r="I419" s="1"/>
      <c r="J419" s="1" t="s">
        <v>1471</v>
      </c>
      <c r="K419" s="1"/>
      <c r="L419" s="8" t="s">
        <v>1466</v>
      </c>
      <c r="M419" s="1" t="s">
        <v>430</v>
      </c>
    </row>
    <row r="420" spans="1:13" ht="13.2">
      <c r="A420" s="1" t="s">
        <v>721</v>
      </c>
      <c r="B420" s="1"/>
      <c r="C420" s="1"/>
      <c r="D420" s="1"/>
      <c r="E420" s="1" t="s">
        <v>1045</v>
      </c>
      <c r="F420" s="1" t="s">
        <v>1046</v>
      </c>
      <c r="G420" s="1" t="s">
        <v>1472</v>
      </c>
      <c r="H420" s="1" t="s">
        <v>1046</v>
      </c>
      <c r="I420" s="1" t="s">
        <v>1046</v>
      </c>
      <c r="J420" s="1"/>
      <c r="K420" s="1"/>
      <c r="L420" s="8" t="s">
        <v>1466</v>
      </c>
      <c r="M420" s="1" t="s">
        <v>430</v>
      </c>
    </row>
    <row r="421" spans="1:13" ht="13.2">
      <c r="A421" s="1" t="s">
        <v>938</v>
      </c>
      <c r="B421" s="1"/>
      <c r="C421" s="1"/>
      <c r="D421" s="1"/>
      <c r="E421" s="1" t="s">
        <v>1045</v>
      </c>
      <c r="F421" s="1" t="s">
        <v>1046</v>
      </c>
      <c r="G421" s="1" t="s">
        <v>1473</v>
      </c>
      <c r="H421" s="1" t="s">
        <v>1046</v>
      </c>
      <c r="I421" s="1" t="s">
        <v>1046</v>
      </c>
      <c r="J421" s="1" t="s">
        <v>1474</v>
      </c>
      <c r="K421" s="1"/>
      <c r="L421" s="8" t="s">
        <v>1466</v>
      </c>
      <c r="M421" s="1" t="s">
        <v>430</v>
      </c>
    </row>
    <row r="422" spans="1:13" ht="13.2">
      <c r="A422" s="1" t="s">
        <v>764</v>
      </c>
      <c r="B422" s="1"/>
      <c r="C422" s="1"/>
      <c r="D422" s="1"/>
      <c r="E422" s="1" t="s">
        <v>1045</v>
      </c>
      <c r="F422" s="1" t="s">
        <v>1046</v>
      </c>
      <c r="G422" s="1" t="s">
        <v>1475</v>
      </c>
      <c r="H422" s="1" t="s">
        <v>1046</v>
      </c>
      <c r="I422" s="1" t="s">
        <v>1046</v>
      </c>
      <c r="J422" s="1" t="s">
        <v>1476</v>
      </c>
      <c r="K422" s="1"/>
      <c r="L422" s="8" t="s">
        <v>1466</v>
      </c>
      <c r="M422" s="1" t="s">
        <v>430</v>
      </c>
    </row>
    <row r="423" spans="1:13" ht="13.2">
      <c r="A423" s="1" t="s">
        <v>44</v>
      </c>
      <c r="B423" s="1"/>
      <c r="C423" s="1"/>
      <c r="D423" s="1"/>
      <c r="E423" s="1" t="s">
        <v>1045</v>
      </c>
      <c r="F423" s="1" t="s">
        <v>1046</v>
      </c>
      <c r="G423" s="1" t="s">
        <v>1426</v>
      </c>
      <c r="H423" s="1" t="s">
        <v>1046</v>
      </c>
      <c r="I423" s="1" t="s">
        <v>1046</v>
      </c>
      <c r="J423" s="1" t="s">
        <v>1427</v>
      </c>
      <c r="K423" s="1"/>
      <c r="L423" s="8" t="s">
        <v>1428</v>
      </c>
      <c r="M423" s="1" t="s">
        <v>431</v>
      </c>
    </row>
    <row r="424" spans="1:13" ht="13.2">
      <c r="A424" s="1" t="s">
        <v>469</v>
      </c>
      <c r="B424" s="1"/>
      <c r="C424" s="1"/>
      <c r="D424" s="1"/>
      <c r="E424" s="1" t="s">
        <v>102</v>
      </c>
      <c r="F424" s="1" t="s">
        <v>1429</v>
      </c>
      <c r="G424" s="1" t="s">
        <v>1046</v>
      </c>
      <c r="H424" s="1"/>
      <c r="I424" s="1"/>
      <c r="J424" s="1" t="s">
        <v>1430</v>
      </c>
      <c r="K424" s="1"/>
      <c r="L424" s="8" t="s">
        <v>1428</v>
      </c>
      <c r="M424" s="1" t="s">
        <v>431</v>
      </c>
    </row>
    <row r="425" spans="1:13" ht="13.2">
      <c r="A425" s="1" t="s">
        <v>480</v>
      </c>
      <c r="B425" s="1"/>
      <c r="C425" s="1"/>
      <c r="D425" s="1"/>
      <c r="E425" s="1" t="s">
        <v>102</v>
      </c>
      <c r="F425" s="1"/>
      <c r="G425" s="1" t="s">
        <v>1046</v>
      </c>
      <c r="H425" s="1"/>
      <c r="I425" s="1"/>
      <c r="J425" s="1" t="s">
        <v>1431</v>
      </c>
      <c r="K425" s="1"/>
      <c r="L425" s="8" t="s">
        <v>1428</v>
      </c>
      <c r="M425" s="1" t="s">
        <v>431</v>
      </c>
    </row>
    <row r="426" spans="1:13" ht="13.2">
      <c r="A426" s="1" t="s">
        <v>702</v>
      </c>
      <c r="B426" s="1"/>
      <c r="C426" s="1"/>
      <c r="D426" s="1"/>
      <c r="E426" s="1" t="s">
        <v>102</v>
      </c>
      <c r="F426" s="1" t="s">
        <v>1432</v>
      </c>
      <c r="G426" s="1" t="s">
        <v>1046</v>
      </c>
      <c r="H426" s="1"/>
      <c r="I426" s="1"/>
      <c r="J426" s="1" t="s">
        <v>1433</v>
      </c>
      <c r="K426" s="1"/>
      <c r="L426" s="8" t="s">
        <v>1428</v>
      </c>
      <c r="M426" s="1" t="s">
        <v>431</v>
      </c>
    </row>
    <row r="427" spans="1:13" ht="13.2">
      <c r="A427" s="1" t="s">
        <v>703</v>
      </c>
      <c r="B427" s="1"/>
      <c r="C427" s="1"/>
      <c r="D427" s="1"/>
      <c r="E427" s="1" t="s">
        <v>102</v>
      </c>
      <c r="F427" s="1"/>
      <c r="G427" s="1" t="s">
        <v>1046</v>
      </c>
      <c r="H427" s="1"/>
      <c r="I427" s="1"/>
      <c r="J427" s="1" t="s">
        <v>1434</v>
      </c>
      <c r="K427" s="1"/>
      <c r="L427" s="8" t="s">
        <v>1428</v>
      </c>
      <c r="M427" s="1" t="s">
        <v>431</v>
      </c>
    </row>
    <row r="428" spans="1:13" ht="13.2">
      <c r="A428" s="1" t="s">
        <v>714</v>
      </c>
      <c r="B428" s="1"/>
      <c r="C428" s="1"/>
      <c r="D428" s="1"/>
      <c r="E428" s="1" t="s">
        <v>102</v>
      </c>
      <c r="F428" s="1"/>
      <c r="G428" s="1" t="s">
        <v>1046</v>
      </c>
      <c r="H428" s="1"/>
      <c r="I428" s="1"/>
      <c r="J428" s="1" t="s">
        <v>1435</v>
      </c>
      <c r="K428" s="1"/>
      <c r="L428" s="8" t="s">
        <v>1428</v>
      </c>
      <c r="M428" s="1" t="s">
        <v>431</v>
      </c>
    </row>
    <row r="429" spans="1:13" ht="13.2">
      <c r="A429" s="1" t="s">
        <v>704</v>
      </c>
      <c r="B429" s="1"/>
      <c r="C429" s="1"/>
      <c r="D429" s="1"/>
      <c r="E429" s="1" t="s">
        <v>102</v>
      </c>
      <c r="F429" s="1"/>
      <c r="G429" s="1" t="s">
        <v>1046</v>
      </c>
      <c r="H429" s="1"/>
      <c r="I429" s="1"/>
      <c r="J429" s="1" t="s">
        <v>1436</v>
      </c>
      <c r="K429" s="1"/>
      <c r="L429" s="8" t="s">
        <v>1428</v>
      </c>
      <c r="M429" s="1" t="s">
        <v>431</v>
      </c>
    </row>
    <row r="430" spans="1:13" ht="13.2">
      <c r="A430" s="1" t="s">
        <v>556</v>
      </c>
      <c r="B430" s="1"/>
      <c r="C430" s="1"/>
      <c r="D430" s="1"/>
      <c r="E430" s="1" t="s">
        <v>102</v>
      </c>
      <c r="F430" s="1" t="s">
        <v>1136</v>
      </c>
      <c r="G430" s="1" t="s">
        <v>1046</v>
      </c>
      <c r="H430" s="1"/>
      <c r="I430" s="1"/>
      <c r="J430" s="1" t="s">
        <v>1437</v>
      </c>
      <c r="K430" s="1"/>
      <c r="L430" s="8" t="s">
        <v>1428</v>
      </c>
      <c r="M430" s="1" t="s">
        <v>431</v>
      </c>
    </row>
    <row r="431" spans="1:13" ht="13.2">
      <c r="A431" s="1" t="s">
        <v>557</v>
      </c>
      <c r="B431" s="1"/>
      <c r="C431" s="1"/>
      <c r="D431" s="1"/>
      <c r="E431" s="1" t="s">
        <v>102</v>
      </c>
      <c r="F431" s="1"/>
      <c r="G431" s="1" t="s">
        <v>1046</v>
      </c>
      <c r="H431" s="1"/>
      <c r="I431" s="1"/>
      <c r="J431" s="1" t="s">
        <v>1438</v>
      </c>
      <c r="K431" s="1"/>
      <c r="L431" s="8" t="s">
        <v>1428</v>
      </c>
      <c r="M431" s="1" t="s">
        <v>431</v>
      </c>
    </row>
    <row r="432" spans="1:13" ht="13.2">
      <c r="A432" s="9" t="s">
        <v>765</v>
      </c>
      <c r="B432" s="1"/>
      <c r="C432" s="1"/>
      <c r="D432" s="1"/>
      <c r="E432" s="1" t="s">
        <v>1045</v>
      </c>
      <c r="F432" s="1" t="s">
        <v>1046</v>
      </c>
      <c r="G432" s="1" t="s">
        <v>1047</v>
      </c>
      <c r="H432" s="1" t="s">
        <v>1046</v>
      </c>
      <c r="I432" s="1" t="s">
        <v>1046</v>
      </c>
      <c r="J432" s="1" t="s">
        <v>2036</v>
      </c>
      <c r="K432" s="1" t="s">
        <v>1049</v>
      </c>
      <c r="L432" s="1" t="s">
        <v>1050</v>
      </c>
      <c r="M432" s="1" t="s">
        <v>2028</v>
      </c>
    </row>
    <row r="433" spans="1:13" ht="13.2">
      <c r="A433" s="1" t="s">
        <v>522</v>
      </c>
      <c r="B433" s="1"/>
      <c r="C433" s="1"/>
      <c r="D433" s="1"/>
      <c r="E433" s="1" t="s">
        <v>102</v>
      </c>
      <c r="F433" s="1"/>
      <c r="G433" s="1" t="s">
        <v>1046</v>
      </c>
      <c r="H433" s="1"/>
      <c r="I433" s="1"/>
      <c r="J433" s="1" t="s">
        <v>1052</v>
      </c>
      <c r="K433" s="1" t="s">
        <v>1049</v>
      </c>
      <c r="L433" s="1" t="s">
        <v>1050</v>
      </c>
      <c r="M433" s="1" t="s">
        <v>2028</v>
      </c>
    </row>
    <row r="434" spans="1:13" ht="13.2">
      <c r="A434" s="1" t="s">
        <v>469</v>
      </c>
      <c r="B434" s="1"/>
      <c r="C434" s="1"/>
      <c r="D434" s="1"/>
      <c r="E434" s="1" t="s">
        <v>102</v>
      </c>
      <c r="F434" s="1"/>
      <c r="G434" s="1" t="s">
        <v>1046</v>
      </c>
      <c r="H434" s="1"/>
      <c r="I434" s="1"/>
      <c r="J434" s="1"/>
      <c r="K434" s="1" t="s">
        <v>1049</v>
      </c>
      <c r="L434" s="1" t="s">
        <v>1050</v>
      </c>
      <c r="M434" s="1" t="s">
        <v>2028</v>
      </c>
    </row>
    <row r="435" spans="1:13" ht="13.2">
      <c r="A435" s="1" t="s">
        <v>559</v>
      </c>
      <c r="B435" s="1" t="s">
        <v>1055</v>
      </c>
      <c r="C435" s="1"/>
      <c r="D435" s="1"/>
      <c r="E435" s="1" t="s">
        <v>102</v>
      </c>
      <c r="F435" s="1"/>
      <c r="G435" s="1" t="s">
        <v>1046</v>
      </c>
      <c r="H435" s="1"/>
      <c r="I435" s="1"/>
      <c r="J435" s="1" t="s">
        <v>1056</v>
      </c>
      <c r="K435" s="1" t="s">
        <v>1049</v>
      </c>
      <c r="L435" s="1" t="s">
        <v>1050</v>
      </c>
      <c r="M435" s="1" t="s">
        <v>2028</v>
      </c>
    </row>
    <row r="436" spans="1:13" ht="13.2">
      <c r="A436" s="1" t="s">
        <v>565</v>
      </c>
      <c r="B436" s="1" t="s">
        <v>1055</v>
      </c>
      <c r="C436" s="1"/>
      <c r="D436" s="1"/>
      <c r="E436" s="1" t="s">
        <v>102</v>
      </c>
      <c r="F436" s="1"/>
      <c r="G436" s="1" t="s">
        <v>1046</v>
      </c>
      <c r="H436" s="1"/>
      <c r="I436" s="1"/>
      <c r="J436" s="1" t="s">
        <v>1056</v>
      </c>
      <c r="K436" s="1" t="s">
        <v>1049</v>
      </c>
      <c r="L436" s="1" t="s">
        <v>1050</v>
      </c>
      <c r="M436" s="1" t="s">
        <v>2028</v>
      </c>
    </row>
    <row r="437" spans="1:13" ht="13.2">
      <c r="A437" s="1" t="s">
        <v>569</v>
      </c>
      <c r="B437" s="1" t="s">
        <v>1055</v>
      </c>
      <c r="C437" s="1"/>
      <c r="D437" s="1"/>
      <c r="E437" s="1" t="s">
        <v>102</v>
      </c>
      <c r="F437" s="1"/>
      <c r="G437" s="1" t="s">
        <v>1046</v>
      </c>
      <c r="H437" s="1"/>
      <c r="I437" s="1"/>
      <c r="J437" s="1" t="s">
        <v>1056</v>
      </c>
      <c r="K437" s="1" t="s">
        <v>1049</v>
      </c>
      <c r="L437" s="1" t="s">
        <v>1050</v>
      </c>
      <c r="M437" s="1" t="s">
        <v>2028</v>
      </c>
    </row>
    <row r="438" spans="1:13" ht="13.2">
      <c r="A438" s="1" t="s">
        <v>738</v>
      </c>
      <c r="B438" s="1"/>
      <c r="C438" s="1"/>
      <c r="D438" s="1"/>
      <c r="E438" s="1" t="s">
        <v>1045</v>
      </c>
      <c r="F438" s="1" t="s">
        <v>1046</v>
      </c>
      <c r="G438" s="1" t="s">
        <v>1060</v>
      </c>
      <c r="H438" s="1" t="s">
        <v>1046</v>
      </c>
      <c r="I438" s="1" t="s">
        <v>1046</v>
      </c>
      <c r="J438" s="1"/>
      <c r="K438" s="1" t="s">
        <v>1061</v>
      </c>
      <c r="L438" s="1" t="s">
        <v>1062</v>
      </c>
      <c r="M438" s="1" t="s">
        <v>2028</v>
      </c>
    </row>
    <row r="439" spans="1:13" ht="13.2">
      <c r="A439" s="1" t="s">
        <v>779</v>
      </c>
      <c r="B439" s="1"/>
      <c r="C439" s="1"/>
      <c r="D439" s="1"/>
      <c r="E439" s="1" t="s">
        <v>1045</v>
      </c>
      <c r="F439" s="1" t="s">
        <v>1046</v>
      </c>
      <c r="G439" s="1" t="s">
        <v>1064</v>
      </c>
      <c r="H439" s="1" t="s">
        <v>1046</v>
      </c>
      <c r="I439" s="1" t="s">
        <v>1046</v>
      </c>
      <c r="J439" s="1"/>
      <c r="K439" s="1" t="s">
        <v>1061</v>
      </c>
      <c r="L439" s="1" t="s">
        <v>1062</v>
      </c>
      <c r="M439" s="1" t="s">
        <v>2028</v>
      </c>
    </row>
    <row r="440" spans="1:13" ht="13.2">
      <c r="A440" s="1" t="s">
        <v>950</v>
      </c>
      <c r="B440" s="1"/>
      <c r="C440" s="1"/>
      <c r="D440" s="1"/>
      <c r="E440" s="1" t="s">
        <v>1045</v>
      </c>
      <c r="F440" s="1" t="s">
        <v>1046</v>
      </c>
      <c r="G440" s="1" t="s">
        <v>1066</v>
      </c>
      <c r="H440" s="1" t="s">
        <v>1046</v>
      </c>
      <c r="I440" s="1" t="s">
        <v>1046</v>
      </c>
      <c r="J440" s="1"/>
      <c r="K440" s="1" t="s">
        <v>1061</v>
      </c>
      <c r="L440" s="1" t="s">
        <v>1062</v>
      </c>
      <c r="M440" s="1" t="s">
        <v>2028</v>
      </c>
    </row>
    <row r="441" spans="1:13" ht="13.2">
      <c r="A441" s="1" t="s">
        <v>729</v>
      </c>
      <c r="B441" s="1"/>
      <c r="C441" s="1"/>
      <c r="D441" s="1"/>
      <c r="E441" s="1" t="s">
        <v>1045</v>
      </c>
      <c r="F441" s="1" t="s">
        <v>1046</v>
      </c>
      <c r="G441" s="1" t="s">
        <v>1068</v>
      </c>
      <c r="H441" s="1" t="s">
        <v>1046</v>
      </c>
      <c r="I441" s="1" t="s">
        <v>1046</v>
      </c>
      <c r="J441" s="1"/>
      <c r="K441" s="1" t="s">
        <v>1061</v>
      </c>
      <c r="L441" s="1" t="s">
        <v>1062</v>
      </c>
      <c r="M441" s="1" t="s">
        <v>2028</v>
      </c>
    </row>
    <row r="442" spans="1:13" ht="13.2">
      <c r="A442" s="1" t="s">
        <v>664</v>
      </c>
      <c r="B442" s="1"/>
      <c r="C442" s="1"/>
      <c r="D442" s="1"/>
      <c r="E442" s="1" t="s">
        <v>1045</v>
      </c>
      <c r="F442" s="1" t="s">
        <v>1046</v>
      </c>
      <c r="G442" s="1" t="s">
        <v>1070</v>
      </c>
      <c r="H442" s="1" t="s">
        <v>1046</v>
      </c>
      <c r="I442" s="1" t="s">
        <v>1046</v>
      </c>
      <c r="J442" s="1" t="s">
        <v>1071</v>
      </c>
      <c r="K442" s="1" t="s">
        <v>1061</v>
      </c>
      <c r="L442" s="1" t="s">
        <v>1062</v>
      </c>
      <c r="M442" s="1" t="s">
        <v>2028</v>
      </c>
    </row>
    <row r="443" spans="1:13" ht="13.2">
      <c r="A443" s="1" t="s">
        <v>873</v>
      </c>
      <c r="B443" s="1"/>
      <c r="C443" s="1"/>
      <c r="D443" s="1"/>
      <c r="E443" s="1" t="s">
        <v>1045</v>
      </c>
      <c r="F443" s="1" t="s">
        <v>1046</v>
      </c>
      <c r="G443" s="1" t="s">
        <v>1073</v>
      </c>
      <c r="H443" s="1" t="s">
        <v>1046</v>
      </c>
      <c r="I443" s="1" t="s">
        <v>1046</v>
      </c>
      <c r="J443" s="1"/>
      <c r="K443" s="1" t="s">
        <v>1061</v>
      </c>
      <c r="L443" s="1" t="s">
        <v>1062</v>
      </c>
      <c r="M443" s="1" t="s">
        <v>2028</v>
      </c>
    </row>
    <row r="444" spans="1:13" ht="13.2">
      <c r="A444" s="1" t="s">
        <v>630</v>
      </c>
      <c r="B444" s="1"/>
      <c r="C444" s="1"/>
      <c r="D444" s="1"/>
      <c r="E444" s="1" t="s">
        <v>102</v>
      </c>
      <c r="F444" s="1" t="s">
        <v>1075</v>
      </c>
      <c r="G444" s="1" t="s">
        <v>1046</v>
      </c>
      <c r="H444" s="1"/>
      <c r="I444" s="1"/>
      <c r="J444" s="1"/>
      <c r="K444" s="1" t="s">
        <v>1061</v>
      </c>
      <c r="L444" s="1" t="s">
        <v>1062</v>
      </c>
      <c r="M444" s="1" t="s">
        <v>2028</v>
      </c>
    </row>
    <row r="445" spans="1:13" ht="13.2">
      <c r="A445" s="1" t="s">
        <v>469</v>
      </c>
      <c r="B445" s="1"/>
      <c r="C445" s="1"/>
      <c r="D445" s="1"/>
      <c r="E445" s="1" t="s">
        <v>102</v>
      </c>
      <c r="F445" s="1"/>
      <c r="G445" s="1" t="s">
        <v>1046</v>
      </c>
      <c r="H445" s="1"/>
      <c r="I445" s="1"/>
      <c r="J445" s="1"/>
      <c r="K445" s="1" t="s">
        <v>1061</v>
      </c>
      <c r="L445" s="1" t="s">
        <v>1062</v>
      </c>
      <c r="M445" s="1" t="s">
        <v>2028</v>
      </c>
    </row>
    <row r="446" spans="1:13" ht="13.2">
      <c r="A446" s="1" t="s">
        <v>905</v>
      </c>
      <c r="B446" s="1"/>
      <c r="C446" s="1"/>
      <c r="D446" s="1"/>
      <c r="E446" s="1" t="s">
        <v>102</v>
      </c>
      <c r="F446" s="1"/>
      <c r="G446" s="1" t="s">
        <v>1046</v>
      </c>
      <c r="H446" s="1"/>
      <c r="I446" s="1"/>
      <c r="J446" s="1" t="s">
        <v>1078</v>
      </c>
      <c r="K446" s="1" t="s">
        <v>1061</v>
      </c>
      <c r="L446" s="1" t="s">
        <v>1062</v>
      </c>
      <c r="M446" s="1" t="s">
        <v>2028</v>
      </c>
    </row>
    <row r="447" spans="1:13" ht="13.2">
      <c r="A447" s="1" t="s">
        <v>711</v>
      </c>
      <c r="B447" s="1"/>
      <c r="C447" s="1"/>
      <c r="D447" s="1"/>
      <c r="E447" s="1" t="s">
        <v>102</v>
      </c>
      <c r="F447" s="1" t="s">
        <v>1080</v>
      </c>
      <c r="G447" s="1" t="s">
        <v>1046</v>
      </c>
      <c r="H447" s="1"/>
      <c r="I447" s="1"/>
      <c r="J447" s="1" t="s">
        <v>1081</v>
      </c>
      <c r="K447" s="1" t="s">
        <v>1061</v>
      </c>
      <c r="L447" s="1" t="s">
        <v>1062</v>
      </c>
      <c r="M447" s="1" t="s">
        <v>2028</v>
      </c>
    </row>
    <row r="448" spans="1:13" ht="13.2">
      <c r="A448" s="1" t="s">
        <v>766</v>
      </c>
      <c r="B448" s="1"/>
      <c r="C448" s="1"/>
      <c r="D448" s="1"/>
      <c r="E448" s="1" t="s">
        <v>1045</v>
      </c>
      <c r="F448" s="1" t="s">
        <v>1046</v>
      </c>
      <c r="G448" s="1" t="s">
        <v>1083</v>
      </c>
      <c r="H448" s="1" t="s">
        <v>1046</v>
      </c>
      <c r="I448" s="1" t="s">
        <v>1046</v>
      </c>
      <c r="J448" s="1"/>
      <c r="K448" s="1" t="s">
        <v>1061</v>
      </c>
      <c r="L448" s="1" t="s">
        <v>1084</v>
      </c>
      <c r="M448" s="1" t="s">
        <v>2028</v>
      </c>
    </row>
    <row r="449" spans="1:13" ht="13.2">
      <c r="A449" s="1" t="s">
        <v>497</v>
      </c>
      <c r="B449" s="1" t="s">
        <v>1086</v>
      </c>
      <c r="C449" s="1"/>
      <c r="D449" s="1"/>
      <c r="E449" s="1" t="s">
        <v>102</v>
      </c>
      <c r="F449" s="1"/>
      <c r="G449" s="1" t="s">
        <v>1046</v>
      </c>
      <c r="H449" s="1"/>
      <c r="I449" s="1"/>
      <c r="J449" s="1"/>
      <c r="K449" s="1" t="s">
        <v>1061</v>
      </c>
      <c r="L449" s="1" t="s">
        <v>1084</v>
      </c>
      <c r="M449" s="1" t="s">
        <v>2028</v>
      </c>
    </row>
    <row r="450" spans="1:13" ht="13.2">
      <c r="A450" s="1" t="s">
        <v>560</v>
      </c>
      <c r="B450" s="1" t="s">
        <v>1086</v>
      </c>
      <c r="C450" s="1"/>
      <c r="D450" s="1"/>
      <c r="E450" s="1" t="s">
        <v>102</v>
      </c>
      <c r="F450" s="1"/>
      <c r="G450" s="1" t="s">
        <v>1046</v>
      </c>
      <c r="H450" s="1"/>
      <c r="I450" s="1"/>
      <c r="J450" s="1"/>
      <c r="K450" s="1" t="s">
        <v>1061</v>
      </c>
      <c r="L450" s="1" t="s">
        <v>1084</v>
      </c>
      <c r="M450" s="1" t="s">
        <v>2028</v>
      </c>
    </row>
    <row r="451" spans="1:13" ht="13.2">
      <c r="A451" s="1" t="s">
        <v>573</v>
      </c>
      <c r="B451" s="1" t="s">
        <v>1086</v>
      </c>
      <c r="C451" s="1"/>
      <c r="D451" s="1"/>
      <c r="E451" s="1" t="s">
        <v>102</v>
      </c>
      <c r="F451" s="1"/>
      <c r="G451" s="1" t="s">
        <v>1046</v>
      </c>
      <c r="H451" s="1"/>
      <c r="I451" s="1"/>
      <c r="J451" s="1"/>
      <c r="K451" s="1" t="s">
        <v>1061</v>
      </c>
      <c r="L451" s="1" t="s">
        <v>1084</v>
      </c>
      <c r="M451" s="1" t="s">
        <v>2028</v>
      </c>
    </row>
    <row r="452" spans="1:13" ht="13.2">
      <c r="A452" s="1" t="s">
        <v>575</v>
      </c>
      <c r="B452" s="1" t="s">
        <v>1086</v>
      </c>
      <c r="C452" s="1"/>
      <c r="D452" s="1"/>
      <c r="E452" s="1" t="s">
        <v>102</v>
      </c>
      <c r="F452" s="1"/>
      <c r="G452" s="1" t="s">
        <v>1046</v>
      </c>
      <c r="H452" s="1"/>
      <c r="I452" s="1"/>
      <c r="J452" s="1"/>
      <c r="K452" s="1" t="s">
        <v>1061</v>
      </c>
      <c r="L452" s="1" t="s">
        <v>1084</v>
      </c>
      <c r="M452" s="1" t="s">
        <v>2028</v>
      </c>
    </row>
    <row r="453" spans="1:13" ht="13.2">
      <c r="A453" s="1" t="s">
        <v>581</v>
      </c>
      <c r="B453" s="1" t="s">
        <v>1086</v>
      </c>
      <c r="C453" s="1"/>
      <c r="D453" s="1"/>
      <c r="E453" s="1" t="s">
        <v>102</v>
      </c>
      <c r="F453" s="1"/>
      <c r="G453" s="1" t="s">
        <v>1046</v>
      </c>
      <c r="H453" s="1"/>
      <c r="I453" s="1"/>
      <c r="J453" s="1"/>
      <c r="K453" s="1" t="s">
        <v>1061</v>
      </c>
      <c r="L453" s="1" t="s">
        <v>1084</v>
      </c>
      <c r="M453" s="1" t="s">
        <v>2028</v>
      </c>
    </row>
    <row r="454" spans="1:13" ht="13.2">
      <c r="A454" s="1" t="s">
        <v>566</v>
      </c>
      <c r="B454" s="1" t="s">
        <v>1086</v>
      </c>
      <c r="C454" s="1"/>
      <c r="D454" s="1"/>
      <c r="E454" s="1" t="s">
        <v>102</v>
      </c>
      <c r="F454" s="1"/>
      <c r="G454" s="1" t="s">
        <v>1046</v>
      </c>
      <c r="H454" s="1"/>
      <c r="I454" s="1"/>
      <c r="J454" s="1"/>
      <c r="K454" s="1" t="s">
        <v>1061</v>
      </c>
      <c r="L454" s="1" t="s">
        <v>1084</v>
      </c>
      <c r="M454" s="1" t="s">
        <v>2028</v>
      </c>
    </row>
    <row r="455" spans="1:13" ht="13.2">
      <c r="A455" s="1" t="s">
        <v>584</v>
      </c>
      <c r="B455" s="1" t="s">
        <v>1086</v>
      </c>
      <c r="C455" s="1"/>
      <c r="D455" s="1"/>
      <c r="E455" s="1" t="s">
        <v>102</v>
      </c>
      <c r="F455" s="1"/>
      <c r="G455" s="1" t="s">
        <v>1046</v>
      </c>
      <c r="H455" s="1"/>
      <c r="I455" s="1"/>
      <c r="J455" s="1"/>
      <c r="K455" s="1" t="s">
        <v>1061</v>
      </c>
      <c r="L455" s="1" t="s">
        <v>1084</v>
      </c>
      <c r="M455" s="1" t="s">
        <v>2028</v>
      </c>
    </row>
    <row r="456" spans="1:13" ht="13.2">
      <c r="A456" s="1" t="s">
        <v>561</v>
      </c>
      <c r="B456" s="1" t="s">
        <v>1094</v>
      </c>
      <c r="C456" s="1"/>
      <c r="D456" s="1"/>
      <c r="E456" s="1" t="s">
        <v>102</v>
      </c>
      <c r="F456" s="1"/>
      <c r="G456" s="1" t="s">
        <v>1046</v>
      </c>
      <c r="H456" s="1"/>
      <c r="I456" s="1"/>
      <c r="J456" s="1"/>
      <c r="K456" s="1" t="s">
        <v>1095</v>
      </c>
      <c r="L456" s="1" t="s">
        <v>1096</v>
      </c>
      <c r="M456" s="1" t="s">
        <v>2028</v>
      </c>
    </row>
    <row r="457" spans="1:13" ht="13.2">
      <c r="A457" s="1" t="s">
        <v>587</v>
      </c>
      <c r="B457" s="1" t="s">
        <v>1094</v>
      </c>
      <c r="C457" s="1"/>
      <c r="D457" s="1"/>
      <c r="E457" s="1" t="s">
        <v>102</v>
      </c>
      <c r="F457" s="1"/>
      <c r="G457" s="1" t="s">
        <v>1046</v>
      </c>
      <c r="H457" s="1"/>
      <c r="I457" s="1"/>
      <c r="J457" s="1"/>
      <c r="K457" s="1" t="s">
        <v>1095</v>
      </c>
      <c r="L457" s="1" t="s">
        <v>1096</v>
      </c>
      <c r="M457" s="1" t="s">
        <v>2028</v>
      </c>
    </row>
    <row r="458" spans="1:13" ht="13.2">
      <c r="A458" s="1" t="s">
        <v>570</v>
      </c>
      <c r="B458" s="1" t="s">
        <v>1094</v>
      </c>
      <c r="C458" s="1"/>
      <c r="D458" s="1"/>
      <c r="E458" s="1" t="s">
        <v>102</v>
      </c>
      <c r="F458" s="1"/>
      <c r="G458" s="1" t="s">
        <v>1046</v>
      </c>
      <c r="H458" s="1"/>
      <c r="I458" s="1"/>
      <c r="J458" s="1"/>
      <c r="K458" s="1" t="s">
        <v>1095</v>
      </c>
      <c r="L458" s="1" t="s">
        <v>1096</v>
      </c>
      <c r="M458" s="1" t="s">
        <v>2028</v>
      </c>
    </row>
    <row r="459" spans="1:13" ht="13.2">
      <c r="A459" s="1" t="s">
        <v>588</v>
      </c>
      <c r="B459" s="1" t="s">
        <v>1094</v>
      </c>
      <c r="C459" s="1"/>
      <c r="D459" s="1"/>
      <c r="E459" s="1" t="s">
        <v>102</v>
      </c>
      <c r="F459" s="1"/>
      <c r="G459" s="1" t="s">
        <v>1046</v>
      </c>
      <c r="H459" s="1"/>
      <c r="I459" s="1"/>
      <c r="J459" s="1"/>
      <c r="K459" s="1" t="s">
        <v>1095</v>
      </c>
      <c r="L459" s="1" t="s">
        <v>1096</v>
      </c>
      <c r="M459" s="1" t="s">
        <v>2028</v>
      </c>
    </row>
    <row r="460" spans="1:13" ht="13.2">
      <c r="A460" s="1" t="s">
        <v>589</v>
      </c>
      <c r="B460" s="1" t="s">
        <v>1094</v>
      </c>
      <c r="C460" s="1"/>
      <c r="D460" s="1"/>
      <c r="E460" s="1" t="s">
        <v>102</v>
      </c>
      <c r="F460" s="1"/>
      <c r="G460" s="1" t="s">
        <v>1046</v>
      </c>
      <c r="H460" s="1"/>
      <c r="I460" s="1"/>
      <c r="J460" s="1"/>
      <c r="K460" s="1" t="s">
        <v>1095</v>
      </c>
      <c r="L460" s="1" t="s">
        <v>1096</v>
      </c>
      <c r="M460" s="1" t="s">
        <v>2028</v>
      </c>
    </row>
    <row r="461" spans="1:13" ht="13.2">
      <c r="A461" s="1" t="s">
        <v>591</v>
      </c>
      <c r="B461" s="1" t="s">
        <v>1094</v>
      </c>
      <c r="C461" s="1"/>
      <c r="D461" s="1"/>
      <c r="E461" s="1" t="s">
        <v>102</v>
      </c>
      <c r="F461" s="1"/>
      <c r="G461" s="1" t="s">
        <v>1046</v>
      </c>
      <c r="H461" s="1"/>
      <c r="I461" s="1"/>
      <c r="J461" s="1"/>
      <c r="K461" s="1" t="s">
        <v>1095</v>
      </c>
      <c r="L461" s="1" t="s">
        <v>1096</v>
      </c>
      <c r="M461" s="1" t="s">
        <v>2028</v>
      </c>
    </row>
    <row r="462" spans="1:13" ht="13.2">
      <c r="A462" s="1" t="s">
        <v>593</v>
      </c>
      <c r="B462" s="1" t="s">
        <v>1094</v>
      </c>
      <c r="C462" s="1"/>
      <c r="D462" s="1"/>
      <c r="E462" s="1" t="s">
        <v>102</v>
      </c>
      <c r="F462" s="1"/>
      <c r="G462" s="1" t="s">
        <v>1046</v>
      </c>
      <c r="H462" s="1"/>
      <c r="I462" s="1"/>
      <c r="J462" s="1"/>
      <c r="K462" s="1" t="s">
        <v>1095</v>
      </c>
      <c r="L462" s="1" t="s">
        <v>1096</v>
      </c>
      <c r="M462" s="1" t="s">
        <v>2028</v>
      </c>
    </row>
    <row r="463" spans="1:13" ht="13.2">
      <c r="A463" s="1" t="s">
        <v>594</v>
      </c>
      <c r="B463" s="1" t="s">
        <v>1094</v>
      </c>
      <c r="C463" s="1"/>
      <c r="D463" s="1"/>
      <c r="E463" s="1" t="s">
        <v>102</v>
      </c>
      <c r="F463" s="1"/>
      <c r="G463" s="1" t="s">
        <v>1046</v>
      </c>
      <c r="H463" s="1"/>
      <c r="I463" s="1"/>
      <c r="J463" s="1"/>
      <c r="K463" s="1" t="s">
        <v>1095</v>
      </c>
      <c r="L463" s="1" t="s">
        <v>1096</v>
      </c>
      <c r="M463" s="1" t="s">
        <v>2028</v>
      </c>
    </row>
    <row r="464" spans="1:13" ht="13.2">
      <c r="A464" s="1" t="s">
        <v>595</v>
      </c>
      <c r="B464" s="1" t="s">
        <v>1094</v>
      </c>
      <c r="C464" s="1"/>
      <c r="D464" s="1"/>
      <c r="E464" s="1" t="s">
        <v>102</v>
      </c>
      <c r="F464" s="1"/>
      <c r="G464" s="1" t="s">
        <v>1046</v>
      </c>
      <c r="H464" s="1"/>
      <c r="I464" s="1"/>
      <c r="J464" s="1"/>
      <c r="K464" s="1" t="s">
        <v>1095</v>
      </c>
      <c r="L464" s="1" t="s">
        <v>1096</v>
      </c>
      <c r="M464" s="1" t="s">
        <v>2028</v>
      </c>
    </row>
    <row r="465" spans="1:13" ht="13.2">
      <c r="A465" s="1" t="s">
        <v>576</v>
      </c>
      <c r="B465" s="1" t="s">
        <v>1094</v>
      </c>
      <c r="C465" s="1"/>
      <c r="D465" s="1"/>
      <c r="E465" s="1" t="s">
        <v>102</v>
      </c>
      <c r="F465" s="1"/>
      <c r="G465" s="1" t="s">
        <v>1046</v>
      </c>
      <c r="H465" s="1"/>
      <c r="I465" s="1"/>
      <c r="J465" s="1"/>
      <c r="K465" s="1" t="s">
        <v>1095</v>
      </c>
      <c r="L465" s="1" t="s">
        <v>1096</v>
      </c>
      <c r="M465" s="1" t="s">
        <v>2028</v>
      </c>
    </row>
    <row r="466" spans="1:13" ht="13.2">
      <c r="A466" s="1" t="s">
        <v>596</v>
      </c>
      <c r="B466" s="1" t="s">
        <v>1094</v>
      </c>
      <c r="C466" s="1"/>
      <c r="D466" s="1"/>
      <c r="E466" s="1" t="s">
        <v>102</v>
      </c>
      <c r="F466" s="1"/>
      <c r="G466" s="1" t="s">
        <v>1046</v>
      </c>
      <c r="H466" s="1"/>
      <c r="I466" s="1"/>
      <c r="J466" s="1"/>
      <c r="K466" s="1" t="s">
        <v>1095</v>
      </c>
      <c r="L466" s="1" t="s">
        <v>1096</v>
      </c>
      <c r="M466" s="1" t="s">
        <v>2028</v>
      </c>
    </row>
    <row r="467" spans="1:13" ht="13.2">
      <c r="A467" s="1" t="s">
        <v>597</v>
      </c>
      <c r="B467" s="1" t="s">
        <v>1094</v>
      </c>
      <c r="C467" s="1"/>
      <c r="D467" s="1"/>
      <c r="E467" s="1" t="s">
        <v>102</v>
      </c>
      <c r="F467" s="1"/>
      <c r="G467" s="1" t="s">
        <v>1046</v>
      </c>
      <c r="H467" s="1"/>
      <c r="I467" s="1"/>
      <c r="J467" s="1"/>
      <c r="K467" s="1" t="s">
        <v>1095</v>
      </c>
      <c r="L467" s="1" t="s">
        <v>1096</v>
      </c>
      <c r="M467" s="1" t="s">
        <v>2028</v>
      </c>
    </row>
    <row r="468" spans="1:13" ht="13.2">
      <c r="A468" s="1" t="s">
        <v>598</v>
      </c>
      <c r="B468" s="1" t="s">
        <v>1094</v>
      </c>
      <c r="C468" s="1"/>
      <c r="D468" s="1"/>
      <c r="E468" s="1" t="s">
        <v>102</v>
      </c>
      <c r="F468" s="1"/>
      <c r="G468" s="1" t="s">
        <v>1046</v>
      </c>
      <c r="H468" s="1"/>
      <c r="I468" s="1"/>
      <c r="J468" s="1"/>
      <c r="K468" s="1" t="s">
        <v>1095</v>
      </c>
      <c r="L468" s="1" t="s">
        <v>1096</v>
      </c>
      <c r="M468" s="1" t="s">
        <v>2028</v>
      </c>
    </row>
    <row r="469" spans="1:13" ht="13.2">
      <c r="A469" s="1" t="s">
        <v>600</v>
      </c>
      <c r="B469" s="1" t="s">
        <v>1094</v>
      </c>
      <c r="C469" s="1"/>
      <c r="D469" s="1"/>
      <c r="E469" s="1" t="s">
        <v>102</v>
      </c>
      <c r="F469" s="1"/>
      <c r="G469" s="1" t="s">
        <v>1046</v>
      </c>
      <c r="H469" s="1"/>
      <c r="I469" s="1"/>
      <c r="J469" s="1"/>
      <c r="K469" s="1" t="s">
        <v>1095</v>
      </c>
      <c r="L469" s="1" t="s">
        <v>1096</v>
      </c>
      <c r="M469" s="1" t="s">
        <v>2028</v>
      </c>
    </row>
    <row r="470" spans="1:13" ht="13.2">
      <c r="A470" s="1" t="s">
        <v>602</v>
      </c>
      <c r="B470" s="1" t="s">
        <v>1094</v>
      </c>
      <c r="C470" s="1"/>
      <c r="D470" s="1"/>
      <c r="E470" s="1" t="s">
        <v>102</v>
      </c>
      <c r="F470" s="1"/>
      <c r="G470" s="1" t="s">
        <v>1046</v>
      </c>
      <c r="H470" s="1"/>
      <c r="I470" s="1"/>
      <c r="J470" s="1"/>
      <c r="K470" s="1" t="s">
        <v>1095</v>
      </c>
      <c r="L470" s="1" t="s">
        <v>1096</v>
      </c>
      <c r="M470" s="1" t="s">
        <v>2028</v>
      </c>
    </row>
    <row r="471" spans="1:13" ht="13.2">
      <c r="A471" s="1" t="s">
        <v>604</v>
      </c>
      <c r="B471" s="1" t="s">
        <v>1094</v>
      </c>
      <c r="C471" s="1"/>
      <c r="D471" s="1"/>
      <c r="E471" s="1" t="s">
        <v>102</v>
      </c>
      <c r="F471" s="1"/>
      <c r="G471" s="1" t="s">
        <v>1046</v>
      </c>
      <c r="H471" s="1"/>
      <c r="I471" s="1"/>
      <c r="J471" s="1"/>
      <c r="K471" s="1" t="s">
        <v>1095</v>
      </c>
      <c r="L471" s="1" t="s">
        <v>1096</v>
      </c>
      <c r="M471" s="1" t="s">
        <v>2028</v>
      </c>
    </row>
    <row r="472" spans="1:13" ht="13.2">
      <c r="A472" s="1" t="s">
        <v>605</v>
      </c>
      <c r="B472" s="1" t="s">
        <v>1094</v>
      </c>
      <c r="C472" s="1"/>
      <c r="D472" s="1"/>
      <c r="E472" s="1" t="s">
        <v>102</v>
      </c>
      <c r="F472" s="1"/>
      <c r="G472" s="1" t="s">
        <v>1046</v>
      </c>
      <c r="H472" s="1"/>
      <c r="I472" s="1"/>
      <c r="J472" s="1"/>
      <c r="K472" s="1" t="s">
        <v>1095</v>
      </c>
      <c r="L472" s="1" t="s">
        <v>1096</v>
      </c>
      <c r="M472" s="1" t="s">
        <v>2028</v>
      </c>
    </row>
    <row r="473" spans="1:13" ht="13.2">
      <c r="A473" s="1" t="s">
        <v>606</v>
      </c>
      <c r="B473" s="1" t="s">
        <v>1094</v>
      </c>
      <c r="C473" s="1"/>
      <c r="D473" s="1"/>
      <c r="E473" s="1" t="s">
        <v>102</v>
      </c>
      <c r="F473" s="1"/>
      <c r="G473" s="1" t="s">
        <v>1046</v>
      </c>
      <c r="H473" s="1"/>
      <c r="I473" s="1"/>
      <c r="J473" s="1"/>
      <c r="K473" s="1" t="s">
        <v>1095</v>
      </c>
      <c r="L473" s="1" t="s">
        <v>1096</v>
      </c>
      <c r="M473" s="1" t="s">
        <v>2028</v>
      </c>
    </row>
    <row r="474" spans="1:13" ht="13.2">
      <c r="A474" s="1" t="s">
        <v>607</v>
      </c>
      <c r="B474" s="1" t="s">
        <v>1094</v>
      </c>
      <c r="C474" s="1"/>
      <c r="D474" s="1"/>
      <c r="E474" s="1" t="s">
        <v>102</v>
      </c>
      <c r="F474" s="1"/>
      <c r="G474" s="1" t="s">
        <v>1046</v>
      </c>
      <c r="H474" s="1"/>
      <c r="I474" s="1"/>
      <c r="J474" s="1"/>
      <c r="K474" s="1" t="s">
        <v>1095</v>
      </c>
      <c r="L474" s="1" t="s">
        <v>1096</v>
      </c>
      <c r="M474" s="1" t="s">
        <v>2028</v>
      </c>
    </row>
    <row r="475" spans="1:13" ht="13.2">
      <c r="A475" s="1" t="s">
        <v>608</v>
      </c>
      <c r="B475" s="1" t="s">
        <v>1094</v>
      </c>
      <c r="C475" s="1"/>
      <c r="D475" s="1"/>
      <c r="E475" s="1" t="s">
        <v>102</v>
      </c>
      <c r="F475" s="1"/>
      <c r="G475" s="1" t="s">
        <v>1046</v>
      </c>
      <c r="H475" s="1"/>
      <c r="I475" s="1"/>
      <c r="J475" s="1"/>
      <c r="K475" s="1" t="s">
        <v>1095</v>
      </c>
      <c r="L475" s="1" t="s">
        <v>1096</v>
      </c>
      <c r="M475" s="1" t="s">
        <v>2028</v>
      </c>
    </row>
    <row r="476" spans="1:13" ht="13.2">
      <c r="A476" s="1" t="s">
        <v>735</v>
      </c>
      <c r="B476" s="1"/>
      <c r="C476" s="1"/>
      <c r="D476" s="1"/>
      <c r="E476" s="1" t="s">
        <v>1045</v>
      </c>
      <c r="F476" s="1" t="s">
        <v>1046</v>
      </c>
      <c r="G476" s="1" t="s">
        <v>1117</v>
      </c>
      <c r="H476" s="1" t="s">
        <v>1046</v>
      </c>
      <c r="I476" s="1" t="s">
        <v>1046</v>
      </c>
      <c r="J476" s="1"/>
      <c r="K476" s="1" t="s">
        <v>1061</v>
      </c>
      <c r="L476" s="1" t="s">
        <v>1118</v>
      </c>
      <c r="M476" s="1" t="s">
        <v>2028</v>
      </c>
    </row>
    <row r="477" spans="1:13" ht="13.2">
      <c r="A477" s="1" t="s">
        <v>469</v>
      </c>
      <c r="B477" s="1"/>
      <c r="C477" s="1"/>
      <c r="D477" s="1"/>
      <c r="E477" s="1" t="s">
        <v>102</v>
      </c>
      <c r="F477" s="1"/>
      <c r="G477" s="1" t="s">
        <v>1046</v>
      </c>
      <c r="H477" s="1"/>
      <c r="I477" s="1"/>
      <c r="J477" s="1"/>
      <c r="K477" s="1" t="s">
        <v>1061</v>
      </c>
      <c r="L477" s="1" t="s">
        <v>1120</v>
      </c>
      <c r="M477" s="1" t="s">
        <v>2028</v>
      </c>
    </row>
    <row r="478" spans="1:13" ht="13.2">
      <c r="A478" s="1" t="s">
        <v>767</v>
      </c>
      <c r="B478" s="1"/>
      <c r="C478" s="1"/>
      <c r="D478" s="1"/>
      <c r="E478" s="1" t="s">
        <v>1045</v>
      </c>
      <c r="F478" s="1" t="s">
        <v>1046</v>
      </c>
      <c r="G478" s="1" t="s">
        <v>1122</v>
      </c>
      <c r="H478" s="1" t="s">
        <v>1046</v>
      </c>
      <c r="I478" s="1" t="s">
        <v>1046</v>
      </c>
      <c r="J478" s="1"/>
      <c r="K478" s="1" t="s">
        <v>1061</v>
      </c>
      <c r="L478" s="1" t="s">
        <v>1120</v>
      </c>
      <c r="M478" s="1" t="s">
        <v>2028</v>
      </c>
    </row>
    <row r="479" spans="1:13" ht="13.2">
      <c r="A479" s="1" t="s">
        <v>780</v>
      </c>
      <c r="B479" s="1"/>
      <c r="C479" s="1"/>
      <c r="D479" s="1"/>
      <c r="E479" s="1" t="s">
        <v>1045</v>
      </c>
      <c r="F479" s="1" t="s">
        <v>1046</v>
      </c>
      <c r="G479" s="1" t="s">
        <v>1124</v>
      </c>
      <c r="H479" s="1" t="s">
        <v>1046</v>
      </c>
      <c r="I479" s="1" t="s">
        <v>1046</v>
      </c>
      <c r="J479" s="1"/>
      <c r="K479" s="1" t="s">
        <v>1061</v>
      </c>
      <c r="L479" s="1" t="s">
        <v>1120</v>
      </c>
      <c r="M479" s="1" t="s">
        <v>2028</v>
      </c>
    </row>
    <row r="480" spans="1:13" ht="13.2">
      <c r="A480" s="1" t="s">
        <v>833</v>
      </c>
      <c r="B480" s="1"/>
      <c r="C480" s="1"/>
      <c r="D480" s="1"/>
      <c r="E480" s="1" t="s">
        <v>1045</v>
      </c>
      <c r="F480" s="1" t="s">
        <v>1046</v>
      </c>
      <c r="G480" s="1" t="s">
        <v>1126</v>
      </c>
      <c r="H480" s="1" t="s">
        <v>1046</v>
      </c>
      <c r="I480" s="1" t="s">
        <v>1046</v>
      </c>
      <c r="J480" s="1"/>
      <c r="K480" s="1" t="s">
        <v>1061</v>
      </c>
      <c r="L480" s="1" t="s">
        <v>1120</v>
      </c>
      <c r="M480" s="1" t="s">
        <v>2028</v>
      </c>
    </row>
    <row r="481" spans="1:13" ht="13.2">
      <c r="A481" s="1" t="s">
        <v>522</v>
      </c>
      <c r="B481" s="1" t="s">
        <v>1128</v>
      </c>
      <c r="C481" s="1"/>
      <c r="D481" s="1"/>
      <c r="E481" s="1" t="s">
        <v>102</v>
      </c>
      <c r="F481" s="1"/>
      <c r="G481" s="1" t="s">
        <v>1046</v>
      </c>
      <c r="H481" s="1"/>
      <c r="I481" s="1"/>
      <c r="J481" s="1"/>
      <c r="K481" s="1" t="s">
        <v>1061</v>
      </c>
      <c r="L481" s="1" t="s">
        <v>1120</v>
      </c>
      <c r="M481" s="1" t="s">
        <v>2028</v>
      </c>
    </row>
    <row r="482" spans="1:13" ht="13.2">
      <c r="A482" s="1" t="s">
        <v>516</v>
      </c>
      <c r="B482" s="1" t="s">
        <v>1128</v>
      </c>
      <c r="C482" s="1"/>
      <c r="D482" s="1"/>
      <c r="E482" s="1" t="s">
        <v>102</v>
      </c>
      <c r="F482" s="1"/>
      <c r="G482" s="1" t="s">
        <v>1046</v>
      </c>
      <c r="H482" s="1"/>
      <c r="I482" s="1"/>
      <c r="J482" s="1"/>
      <c r="K482" s="1" t="s">
        <v>1061</v>
      </c>
      <c r="L482" s="1" t="s">
        <v>1120</v>
      </c>
      <c r="M482" s="1" t="s">
        <v>2028</v>
      </c>
    </row>
    <row r="483" spans="1:13" ht="13.2">
      <c r="A483" s="1" t="s">
        <v>736</v>
      </c>
      <c r="B483" s="1"/>
      <c r="C483" s="1"/>
      <c r="D483" s="1"/>
      <c r="E483" s="1" t="s">
        <v>1045</v>
      </c>
      <c r="F483" s="1" t="s">
        <v>1046</v>
      </c>
      <c r="G483" s="1" t="s">
        <v>1131</v>
      </c>
      <c r="H483" s="1" t="s">
        <v>1046</v>
      </c>
      <c r="I483" s="1" t="s">
        <v>1046</v>
      </c>
      <c r="J483" s="1"/>
      <c r="K483" s="1" t="s">
        <v>1095</v>
      </c>
      <c r="L483" s="1" t="s">
        <v>1132</v>
      </c>
      <c r="M483" s="1" t="s">
        <v>2028</v>
      </c>
    </row>
    <row r="484" spans="1:13" ht="13.2">
      <c r="A484" s="1" t="s">
        <v>765</v>
      </c>
      <c r="B484" s="1"/>
      <c r="C484" s="1"/>
      <c r="D484" s="1"/>
      <c r="E484" s="1" t="s">
        <v>1045</v>
      </c>
      <c r="F484" s="1" t="s">
        <v>1046</v>
      </c>
      <c r="G484" s="1" t="s">
        <v>1134</v>
      </c>
      <c r="H484" s="1" t="s">
        <v>1046</v>
      </c>
      <c r="I484" s="1" t="s">
        <v>1046</v>
      </c>
      <c r="J484" s="1"/>
      <c r="K484" s="1" t="s">
        <v>1095</v>
      </c>
      <c r="L484" s="1" t="s">
        <v>1132</v>
      </c>
      <c r="M484" s="1" t="s">
        <v>2028</v>
      </c>
    </row>
    <row r="485" spans="1:13" ht="13.2">
      <c r="A485" s="1" t="s">
        <v>470</v>
      </c>
      <c r="B485" s="1" t="s">
        <v>461</v>
      </c>
      <c r="C485" s="1"/>
      <c r="D485" s="1"/>
      <c r="E485" s="1" t="s">
        <v>102</v>
      </c>
      <c r="F485" s="1" t="s">
        <v>1136</v>
      </c>
      <c r="G485" s="1" t="s">
        <v>1046</v>
      </c>
      <c r="H485" s="1"/>
      <c r="I485" s="1"/>
      <c r="J485" s="1"/>
      <c r="K485" s="1" t="s">
        <v>1095</v>
      </c>
      <c r="L485" s="1" t="s">
        <v>1132</v>
      </c>
      <c r="M485" s="1" t="s">
        <v>2028</v>
      </c>
    </row>
    <row r="486" spans="1:13" ht="13.2">
      <c r="A486" s="1" t="s">
        <v>511</v>
      </c>
      <c r="B486" s="1" t="s">
        <v>1138</v>
      </c>
      <c r="C486" s="1"/>
      <c r="D486" s="1"/>
      <c r="E486" s="1" t="s">
        <v>102</v>
      </c>
      <c r="F486" s="1" t="s">
        <v>1139</v>
      </c>
      <c r="G486" s="1" t="s">
        <v>1046</v>
      </c>
      <c r="H486" s="1"/>
      <c r="I486" s="1"/>
      <c r="J486" s="1"/>
      <c r="K486" s="1" t="s">
        <v>1095</v>
      </c>
      <c r="L486" s="1" t="s">
        <v>1132</v>
      </c>
      <c r="M486" s="1" t="s">
        <v>2028</v>
      </c>
    </row>
    <row r="487" spans="1:13" ht="13.2">
      <c r="A487" s="1" t="s">
        <v>522</v>
      </c>
      <c r="B487" s="1" t="s">
        <v>1138</v>
      </c>
      <c r="C487" s="1"/>
      <c r="D487" s="1"/>
      <c r="E487" s="1" t="s">
        <v>102</v>
      </c>
      <c r="F487" s="1"/>
      <c r="G487" s="1" t="s">
        <v>1046</v>
      </c>
      <c r="H487" s="1"/>
      <c r="I487" s="1"/>
      <c r="J487" s="1"/>
      <c r="K487" s="1" t="s">
        <v>1095</v>
      </c>
      <c r="L487" s="1" t="s">
        <v>1132</v>
      </c>
      <c r="M487" s="1" t="s">
        <v>2028</v>
      </c>
    </row>
    <row r="488" spans="1:13" ht="13.2">
      <c r="A488" s="1" t="s">
        <v>975</v>
      </c>
      <c r="B488" s="1" t="s">
        <v>1142</v>
      </c>
      <c r="C488" s="1"/>
      <c r="D488" s="1"/>
      <c r="E488" s="1" t="s">
        <v>102</v>
      </c>
      <c r="F488" s="1" t="s">
        <v>1143</v>
      </c>
      <c r="G488" s="1" t="s">
        <v>1046</v>
      </c>
      <c r="H488" s="1"/>
      <c r="I488" s="1"/>
      <c r="J488" s="1"/>
      <c r="K488" s="1" t="s">
        <v>1095</v>
      </c>
      <c r="L488" s="1" t="s">
        <v>1132</v>
      </c>
      <c r="M488" s="1" t="s">
        <v>2028</v>
      </c>
    </row>
    <row r="489" spans="1:13" ht="13.2">
      <c r="A489" s="1" t="s">
        <v>931</v>
      </c>
      <c r="B489" s="1"/>
      <c r="C489" s="1"/>
      <c r="D489" s="1"/>
      <c r="E489" s="1" t="s">
        <v>1045</v>
      </c>
      <c r="F489" s="1" t="s">
        <v>1046</v>
      </c>
      <c r="G489" s="1" t="s">
        <v>1145</v>
      </c>
      <c r="H489" s="1" t="s">
        <v>1046</v>
      </c>
      <c r="I489" s="1" t="s">
        <v>1046</v>
      </c>
      <c r="J489" s="1"/>
      <c r="K489" s="1" t="s">
        <v>1095</v>
      </c>
      <c r="L489" s="1" t="s">
        <v>1132</v>
      </c>
      <c r="M489" s="1" t="s">
        <v>2028</v>
      </c>
    </row>
    <row r="490" spans="1:13" ht="13.2">
      <c r="A490" s="1" t="s">
        <v>834</v>
      </c>
      <c r="B490" s="1"/>
      <c r="C490" s="1"/>
      <c r="D490" s="1"/>
      <c r="E490" s="1" t="s">
        <v>1045</v>
      </c>
      <c r="F490" s="1" t="s">
        <v>1046</v>
      </c>
      <c r="G490" s="1" t="s">
        <v>1147</v>
      </c>
      <c r="H490" s="1" t="s">
        <v>1046</v>
      </c>
      <c r="I490" s="1" t="s">
        <v>1046</v>
      </c>
      <c r="J490" s="1" t="s">
        <v>1148</v>
      </c>
      <c r="K490" s="1" t="s">
        <v>1061</v>
      </c>
      <c r="L490" s="1" t="s">
        <v>1149</v>
      </c>
      <c r="M490" s="1" t="s">
        <v>2028</v>
      </c>
    </row>
    <row r="491" spans="1:13" ht="13.2">
      <c r="A491" s="1" t="s">
        <v>781</v>
      </c>
      <c r="B491" s="1"/>
      <c r="C491" s="1"/>
      <c r="D491" s="1"/>
      <c r="E491" s="1" t="s">
        <v>1045</v>
      </c>
      <c r="F491" s="1" t="s">
        <v>1046</v>
      </c>
      <c r="G491" s="1" t="s">
        <v>1151</v>
      </c>
      <c r="H491" s="1" t="s">
        <v>1046</v>
      </c>
      <c r="I491" s="1" t="s">
        <v>1046</v>
      </c>
      <c r="J491" s="1" t="s">
        <v>1152</v>
      </c>
      <c r="K491" s="1" t="s">
        <v>1061</v>
      </c>
      <c r="L491" s="1" t="s">
        <v>1149</v>
      </c>
      <c r="M491" s="1" t="s">
        <v>2028</v>
      </c>
    </row>
    <row r="492" spans="1:13" ht="13.2">
      <c r="A492" s="1" t="s">
        <v>768</v>
      </c>
      <c r="B492" s="1"/>
      <c r="C492" s="1"/>
      <c r="D492" s="1"/>
      <c r="E492" s="1" t="s">
        <v>1045</v>
      </c>
      <c r="F492" s="1" t="s">
        <v>1046</v>
      </c>
      <c r="G492" s="1" t="s">
        <v>1154</v>
      </c>
      <c r="H492" s="1" t="s">
        <v>1046</v>
      </c>
      <c r="I492" s="1" t="s">
        <v>1046</v>
      </c>
      <c r="J492" s="1" t="s">
        <v>1155</v>
      </c>
      <c r="K492" s="1" t="s">
        <v>1061</v>
      </c>
      <c r="L492" s="1" t="s">
        <v>1149</v>
      </c>
      <c r="M492" s="1" t="s">
        <v>2028</v>
      </c>
    </row>
    <row r="493" spans="1:13" ht="13.2">
      <c r="A493" s="1" t="s">
        <v>498</v>
      </c>
      <c r="B493" s="1"/>
      <c r="C493" s="1"/>
      <c r="D493" s="1"/>
      <c r="E493" s="1" t="s">
        <v>102</v>
      </c>
      <c r="F493" s="1"/>
      <c r="G493" s="1" t="s">
        <v>1046</v>
      </c>
      <c r="H493" s="1"/>
      <c r="I493" s="1"/>
      <c r="J493" s="1" t="s">
        <v>1157</v>
      </c>
      <c r="K493" s="1" t="s">
        <v>1061</v>
      </c>
      <c r="L493" s="1" t="s">
        <v>1149</v>
      </c>
      <c r="M493" s="1" t="s">
        <v>2028</v>
      </c>
    </row>
    <row r="494" spans="1:13" ht="13.2">
      <c r="A494" s="1" t="s">
        <v>469</v>
      </c>
      <c r="B494" s="1"/>
      <c r="C494" s="1"/>
      <c r="D494" s="1"/>
      <c r="E494" s="1" t="s">
        <v>102</v>
      </c>
      <c r="F494" s="1"/>
      <c r="G494" s="1" t="s">
        <v>1046</v>
      </c>
      <c r="H494" s="1"/>
      <c r="I494" s="1"/>
      <c r="J494" s="1" t="s">
        <v>1159</v>
      </c>
      <c r="K494" s="1" t="s">
        <v>1061</v>
      </c>
      <c r="L494" s="1" t="s">
        <v>1149</v>
      </c>
      <c r="M494" s="1" t="s">
        <v>2028</v>
      </c>
    </row>
    <row r="495" spans="1:13" ht="13.2">
      <c r="A495" s="1" t="s">
        <v>518</v>
      </c>
      <c r="B495" s="1"/>
      <c r="C495" s="1"/>
      <c r="D495" s="1"/>
      <c r="E495" s="1" t="s">
        <v>102</v>
      </c>
      <c r="F495" s="1"/>
      <c r="G495" s="1" t="s">
        <v>1046</v>
      </c>
      <c r="H495" s="1"/>
      <c r="I495" s="1"/>
      <c r="J495" s="1" t="s">
        <v>1161</v>
      </c>
      <c r="K495" s="1" t="s">
        <v>1061</v>
      </c>
      <c r="L495" s="1" t="s">
        <v>1149</v>
      </c>
      <c r="M495" s="1" t="s">
        <v>2028</v>
      </c>
    </row>
    <row r="496" spans="1:13" ht="13.2">
      <c r="A496" s="1" t="s">
        <v>512</v>
      </c>
      <c r="B496" s="1"/>
      <c r="C496" s="1"/>
      <c r="D496" s="1"/>
      <c r="E496" s="1" t="s">
        <v>102</v>
      </c>
      <c r="F496" s="1"/>
      <c r="G496" s="1" t="s">
        <v>1046</v>
      </c>
      <c r="H496" s="1"/>
      <c r="I496" s="1"/>
      <c r="J496" s="1" t="s">
        <v>1163</v>
      </c>
      <c r="K496" s="1" t="s">
        <v>1061</v>
      </c>
      <c r="L496" s="1" t="s">
        <v>1149</v>
      </c>
      <c r="M496" s="1" t="s">
        <v>2028</v>
      </c>
    </row>
    <row r="497" spans="1:13" ht="13.2">
      <c r="A497" s="1" t="s">
        <v>765</v>
      </c>
      <c r="B497" s="1"/>
      <c r="C497" s="1"/>
      <c r="D497" s="1"/>
      <c r="E497" s="1" t="s">
        <v>1045</v>
      </c>
      <c r="F497" s="1" t="s">
        <v>1046</v>
      </c>
      <c r="G497" s="1" t="s">
        <v>1165</v>
      </c>
      <c r="H497" s="1" t="s">
        <v>1046</v>
      </c>
      <c r="I497" s="1" t="s">
        <v>1046</v>
      </c>
      <c r="J497" s="1"/>
      <c r="K497" s="1" t="s">
        <v>1061</v>
      </c>
      <c r="L497" s="1" t="s">
        <v>1166</v>
      </c>
      <c r="M497" s="1" t="s">
        <v>2028</v>
      </c>
    </row>
    <row r="498" spans="1:13" ht="13.2">
      <c r="A498" s="1" t="s">
        <v>835</v>
      </c>
      <c r="B498" s="1"/>
      <c r="C498" s="1"/>
      <c r="D498" s="1"/>
      <c r="E498" s="1" t="s">
        <v>1045</v>
      </c>
      <c r="F498" s="1" t="s">
        <v>1046</v>
      </c>
      <c r="G498" s="1" t="s">
        <v>1168</v>
      </c>
      <c r="H498" s="1" t="s">
        <v>1046</v>
      </c>
      <c r="I498" s="1" t="s">
        <v>1046</v>
      </c>
      <c r="J498" s="1"/>
      <c r="K498" s="1" t="s">
        <v>1061</v>
      </c>
      <c r="L498" s="1" t="s">
        <v>1166</v>
      </c>
      <c r="M498" s="1" t="s">
        <v>2028</v>
      </c>
    </row>
    <row r="499" spans="1:13" ht="13.2">
      <c r="A499" s="1" t="s">
        <v>737</v>
      </c>
      <c r="B499" s="1"/>
      <c r="C499" s="1"/>
      <c r="D499" s="1"/>
      <c r="E499" s="1" t="s">
        <v>1045</v>
      </c>
      <c r="F499" s="1" t="s">
        <v>1046</v>
      </c>
      <c r="G499" s="1" t="s">
        <v>1170</v>
      </c>
      <c r="H499" s="1" t="s">
        <v>1046</v>
      </c>
      <c r="I499" s="1" t="s">
        <v>1046</v>
      </c>
      <c r="J499" s="1"/>
      <c r="K499" s="1" t="s">
        <v>1061</v>
      </c>
      <c r="L499" s="1" t="s">
        <v>1166</v>
      </c>
      <c r="M499" s="1" t="s">
        <v>2028</v>
      </c>
    </row>
    <row r="500" spans="1:13" ht="13.2">
      <c r="A500" s="1" t="s">
        <v>469</v>
      </c>
      <c r="B500" s="1" t="s">
        <v>1172</v>
      </c>
      <c r="C500" s="1"/>
      <c r="D500" s="1"/>
      <c r="E500" s="1" t="s">
        <v>102</v>
      </c>
      <c r="F500" s="1"/>
      <c r="G500" s="1" t="s">
        <v>1046</v>
      </c>
      <c r="H500" s="1"/>
      <c r="I500" s="1"/>
      <c r="J500" s="1"/>
      <c r="K500" s="1" t="s">
        <v>1061</v>
      </c>
      <c r="L500" s="1" t="s">
        <v>1166</v>
      </c>
      <c r="M500" s="1" t="s">
        <v>2028</v>
      </c>
    </row>
    <row r="501" spans="1:13" ht="13.2">
      <c r="A501" s="1" t="s">
        <v>497</v>
      </c>
      <c r="B501" s="1" t="s">
        <v>1172</v>
      </c>
      <c r="C501" s="1"/>
      <c r="D501" s="1"/>
      <c r="E501" s="1" t="s">
        <v>102</v>
      </c>
      <c r="F501" s="1"/>
      <c r="G501" s="1" t="s">
        <v>1046</v>
      </c>
      <c r="H501" s="1"/>
      <c r="I501" s="1"/>
      <c r="J501" s="1"/>
      <c r="K501" s="1" t="s">
        <v>1061</v>
      </c>
      <c r="L501" s="1" t="s">
        <v>1166</v>
      </c>
      <c r="M501" s="1" t="s">
        <v>2028</v>
      </c>
    </row>
    <row r="502" spans="1:13" ht="13.2">
      <c r="A502" s="1" t="s">
        <v>560</v>
      </c>
      <c r="B502" s="1" t="s">
        <v>1175</v>
      </c>
      <c r="C502" s="1"/>
      <c r="D502" s="1"/>
      <c r="E502" s="1" t="s">
        <v>102</v>
      </c>
      <c r="F502" s="1"/>
      <c r="G502" s="1" t="s">
        <v>1046</v>
      </c>
      <c r="H502" s="1"/>
      <c r="I502" s="1"/>
      <c r="J502" s="1"/>
      <c r="K502" s="1" t="s">
        <v>1061</v>
      </c>
      <c r="L502" s="1" t="s">
        <v>1166</v>
      </c>
      <c r="M502" s="1" t="s">
        <v>2028</v>
      </c>
    </row>
    <row r="503" spans="1:13" ht="13.2">
      <c r="A503" s="1" t="s">
        <v>573</v>
      </c>
      <c r="B503" s="1" t="s">
        <v>1175</v>
      </c>
      <c r="C503" s="1"/>
      <c r="D503" s="1"/>
      <c r="E503" s="1" t="s">
        <v>102</v>
      </c>
      <c r="F503" s="1"/>
      <c r="G503" s="1" t="s">
        <v>1046</v>
      </c>
      <c r="H503" s="1"/>
      <c r="I503" s="1"/>
      <c r="J503" s="1"/>
      <c r="K503" s="1" t="s">
        <v>1061</v>
      </c>
      <c r="L503" s="1" t="s">
        <v>1166</v>
      </c>
      <c r="M503" s="1" t="s">
        <v>2028</v>
      </c>
    </row>
    <row r="504" spans="1:13" ht="13.2">
      <c r="A504" s="1" t="s">
        <v>577</v>
      </c>
      <c r="B504" s="1" t="s">
        <v>1175</v>
      </c>
      <c r="C504" s="1"/>
      <c r="D504" s="1"/>
      <c r="E504" s="1" t="s">
        <v>102</v>
      </c>
      <c r="F504" s="1"/>
      <c r="G504" s="1" t="s">
        <v>1046</v>
      </c>
      <c r="H504" s="1"/>
      <c r="I504" s="1"/>
      <c r="J504" s="1"/>
      <c r="K504" s="1" t="s">
        <v>1061</v>
      </c>
      <c r="L504" s="1" t="s">
        <v>1166</v>
      </c>
      <c r="M504" s="1" t="s">
        <v>2028</v>
      </c>
    </row>
    <row r="505" spans="1:13" ht="13.2">
      <c r="A505" s="1" t="s">
        <v>584</v>
      </c>
      <c r="B505" s="1" t="s">
        <v>1175</v>
      </c>
      <c r="C505" s="1"/>
      <c r="D505" s="1"/>
      <c r="E505" s="1" t="s">
        <v>102</v>
      </c>
      <c r="F505" s="1"/>
      <c r="G505" s="1" t="s">
        <v>1046</v>
      </c>
      <c r="H505" s="1"/>
      <c r="I505" s="1"/>
      <c r="J505" s="1"/>
      <c r="K505" s="1" t="s">
        <v>1061</v>
      </c>
      <c r="L505" s="1" t="s">
        <v>1166</v>
      </c>
      <c r="M505" s="1" t="s">
        <v>2028</v>
      </c>
    </row>
    <row r="506" spans="1:13" ht="13.2">
      <c r="A506" s="1" t="s">
        <v>582</v>
      </c>
      <c r="B506" s="1" t="s">
        <v>1175</v>
      </c>
      <c r="C506" s="1"/>
      <c r="D506" s="1"/>
      <c r="E506" s="1" t="s">
        <v>102</v>
      </c>
      <c r="F506" s="1"/>
      <c r="G506" s="1" t="s">
        <v>1046</v>
      </c>
      <c r="H506" s="1"/>
      <c r="I506" s="1"/>
      <c r="J506" s="1"/>
      <c r="K506" s="1" t="s">
        <v>1061</v>
      </c>
      <c r="L506" s="1" t="s">
        <v>1166</v>
      </c>
      <c r="M506" s="1" t="s">
        <v>2028</v>
      </c>
    </row>
    <row r="507" spans="1:13" ht="13.2">
      <c r="A507" s="1" t="s">
        <v>566</v>
      </c>
      <c r="B507" s="1" t="s">
        <v>1175</v>
      </c>
      <c r="C507" s="1"/>
      <c r="D507" s="1"/>
      <c r="E507" s="1" t="s">
        <v>102</v>
      </c>
      <c r="F507" s="1"/>
      <c r="G507" s="1" t="s">
        <v>1046</v>
      </c>
      <c r="H507" s="1"/>
      <c r="I507" s="1"/>
      <c r="J507" s="1"/>
      <c r="K507" s="1" t="s">
        <v>1061</v>
      </c>
      <c r="L507" s="1" t="s">
        <v>1166</v>
      </c>
      <c r="M507" s="1" t="s">
        <v>2028</v>
      </c>
    </row>
    <row r="508" spans="1:13" ht="13.2">
      <c r="A508" s="1" t="s">
        <v>523</v>
      </c>
      <c r="B508" s="1" t="s">
        <v>1182</v>
      </c>
      <c r="C508" s="1"/>
      <c r="D508" s="1"/>
      <c r="E508" s="1" t="s">
        <v>102</v>
      </c>
      <c r="F508" s="1"/>
      <c r="G508" s="1" t="s">
        <v>1046</v>
      </c>
      <c r="H508" s="1"/>
      <c r="I508" s="1"/>
      <c r="J508" s="1"/>
      <c r="K508" s="1" t="s">
        <v>1061</v>
      </c>
      <c r="L508" s="1" t="s">
        <v>1166</v>
      </c>
      <c r="M508" s="1" t="s">
        <v>2028</v>
      </c>
    </row>
    <row r="509" spans="1:13" ht="13.2">
      <c r="A509" s="1" t="s">
        <v>511</v>
      </c>
      <c r="B509" s="1" t="s">
        <v>1182</v>
      </c>
      <c r="C509" s="1"/>
      <c r="D509" s="1"/>
      <c r="E509" s="1" t="s">
        <v>102</v>
      </c>
      <c r="F509" s="1"/>
      <c r="G509" s="1" t="s">
        <v>1046</v>
      </c>
      <c r="H509" s="1"/>
      <c r="I509" s="1"/>
      <c r="J509" s="1"/>
      <c r="K509" s="1" t="s">
        <v>1061</v>
      </c>
      <c r="L509" s="1" t="s">
        <v>1166</v>
      </c>
      <c r="M509" s="1" t="s">
        <v>2028</v>
      </c>
    </row>
    <row r="510" spans="1:13" ht="13.2">
      <c r="A510" s="1" t="s">
        <v>499</v>
      </c>
      <c r="B510" s="1"/>
      <c r="C510" s="1"/>
      <c r="D510" s="1"/>
      <c r="E510" s="1" t="s">
        <v>102</v>
      </c>
      <c r="F510" s="1"/>
      <c r="G510" s="1" t="s">
        <v>1046</v>
      </c>
      <c r="H510" s="1"/>
      <c r="I510" s="1"/>
      <c r="J510" s="1"/>
      <c r="K510" s="1" t="s">
        <v>1095</v>
      </c>
      <c r="L510" s="1" t="s">
        <v>1185</v>
      </c>
      <c r="M510" s="1" t="s">
        <v>2028</v>
      </c>
    </row>
    <row r="511" spans="1:13" ht="13.2">
      <c r="A511" s="1" t="s">
        <v>562</v>
      </c>
      <c r="B511" s="1"/>
      <c r="C511" s="1"/>
      <c r="D511" s="1"/>
      <c r="E511" s="1" t="s">
        <v>102</v>
      </c>
      <c r="F511" s="1"/>
      <c r="G511" s="1" t="s">
        <v>1046</v>
      </c>
      <c r="H511" s="1"/>
      <c r="I511" s="1"/>
      <c r="J511" s="1"/>
      <c r="K511" s="1" t="s">
        <v>1095</v>
      </c>
      <c r="L511" s="1" t="s">
        <v>1185</v>
      </c>
      <c r="M511" s="1" t="s">
        <v>2028</v>
      </c>
    </row>
    <row r="512" spans="1:13" ht="13.2">
      <c r="A512" s="1" t="s">
        <v>486</v>
      </c>
      <c r="B512" s="1"/>
      <c r="C512" s="1"/>
      <c r="D512" s="1"/>
      <c r="E512" s="1" t="s">
        <v>102</v>
      </c>
      <c r="F512" s="1"/>
      <c r="G512" s="1" t="s">
        <v>1046</v>
      </c>
      <c r="H512" s="1"/>
      <c r="I512" s="1"/>
      <c r="J512" s="1"/>
      <c r="K512" s="1" t="s">
        <v>1095</v>
      </c>
      <c r="L512" s="1" t="s">
        <v>1185</v>
      </c>
      <c r="M512" s="1" t="s">
        <v>2028</v>
      </c>
    </row>
    <row r="513" spans="1:13" ht="13.2">
      <c r="A513" s="1" t="s">
        <v>616</v>
      </c>
      <c r="B513" s="1"/>
      <c r="C513" s="1"/>
      <c r="D513" s="1"/>
      <c r="E513" s="1" t="s">
        <v>102</v>
      </c>
      <c r="F513" s="1"/>
      <c r="G513" s="1" t="s">
        <v>1046</v>
      </c>
      <c r="H513" s="1"/>
      <c r="I513" s="1"/>
      <c r="J513" s="1"/>
      <c r="K513" s="1" t="s">
        <v>1095</v>
      </c>
      <c r="L513" s="1" t="s">
        <v>1185</v>
      </c>
      <c r="M513" s="1" t="s">
        <v>2028</v>
      </c>
    </row>
    <row r="514" spans="1:13" ht="13.2">
      <c r="A514" s="1" t="s">
        <v>550</v>
      </c>
      <c r="B514" s="1"/>
      <c r="C514" s="1"/>
      <c r="D514" s="1"/>
      <c r="E514" s="1" t="s">
        <v>102</v>
      </c>
      <c r="F514" s="1"/>
      <c r="G514" s="1" t="s">
        <v>1046</v>
      </c>
      <c r="H514" s="1"/>
      <c r="I514" s="1"/>
      <c r="J514" s="1"/>
      <c r="K514" s="1" t="s">
        <v>1095</v>
      </c>
      <c r="L514" s="1" t="s">
        <v>1185</v>
      </c>
      <c r="M514" s="1" t="s">
        <v>2028</v>
      </c>
    </row>
    <row r="515" spans="1:13" ht="13.2">
      <c r="A515" s="1" t="s">
        <v>599</v>
      </c>
      <c r="B515" s="1"/>
      <c r="C515" s="1"/>
      <c r="D515" s="1"/>
      <c r="E515" s="1" t="s">
        <v>102</v>
      </c>
      <c r="F515" s="1"/>
      <c r="G515" s="1" t="s">
        <v>1046</v>
      </c>
      <c r="H515" s="1"/>
      <c r="I515" s="1"/>
      <c r="J515" s="1"/>
      <c r="K515" s="1" t="s">
        <v>1095</v>
      </c>
      <c r="L515" s="1" t="s">
        <v>1185</v>
      </c>
      <c r="M515" s="1" t="s">
        <v>2028</v>
      </c>
    </row>
    <row r="516" spans="1:13" ht="13.2">
      <c r="A516" s="1" t="s">
        <v>601</v>
      </c>
      <c r="B516" s="1"/>
      <c r="C516" s="1"/>
      <c r="D516" s="1"/>
      <c r="E516" s="1" t="s">
        <v>102</v>
      </c>
      <c r="F516" s="1"/>
      <c r="G516" s="1" t="s">
        <v>1046</v>
      </c>
      <c r="H516" s="1"/>
      <c r="I516" s="1"/>
      <c r="J516" s="1"/>
      <c r="K516" s="1" t="s">
        <v>1095</v>
      </c>
      <c r="L516" s="1" t="s">
        <v>1185</v>
      </c>
      <c r="M516" s="1" t="s">
        <v>2028</v>
      </c>
    </row>
    <row r="517" spans="1:13" ht="13.2">
      <c r="A517" s="1" t="s">
        <v>571</v>
      </c>
      <c r="B517" s="1"/>
      <c r="C517" s="1"/>
      <c r="D517" s="1"/>
      <c r="E517" s="1" t="s">
        <v>102</v>
      </c>
      <c r="F517" s="1"/>
      <c r="G517" s="1" t="s">
        <v>1046</v>
      </c>
      <c r="H517" s="1"/>
      <c r="I517" s="1"/>
      <c r="J517" s="1"/>
      <c r="K517" s="1" t="s">
        <v>1095</v>
      </c>
      <c r="L517" s="1" t="s">
        <v>1185</v>
      </c>
      <c r="M517" s="1" t="s">
        <v>2028</v>
      </c>
    </row>
    <row r="518" spans="1:13" ht="13.2">
      <c r="A518" s="1" t="s">
        <v>572</v>
      </c>
      <c r="B518" s="1"/>
      <c r="C518" s="1"/>
      <c r="D518" s="1"/>
      <c r="E518" s="1" t="s">
        <v>102</v>
      </c>
      <c r="F518" s="1"/>
      <c r="G518" s="1" t="s">
        <v>1046</v>
      </c>
      <c r="H518" s="1"/>
      <c r="I518" s="1"/>
      <c r="J518" s="1"/>
      <c r="K518" s="1" t="s">
        <v>1095</v>
      </c>
      <c r="L518" s="1" t="s">
        <v>1185</v>
      </c>
      <c r="M518" s="1" t="s">
        <v>2028</v>
      </c>
    </row>
    <row r="519" spans="1:13" ht="13.2">
      <c r="A519" s="1" t="s">
        <v>567</v>
      </c>
      <c r="B519" s="1"/>
      <c r="C519" s="1"/>
      <c r="D519" s="1"/>
      <c r="E519" s="1" t="s">
        <v>102</v>
      </c>
      <c r="F519" s="1"/>
      <c r="G519" s="1" t="s">
        <v>1046</v>
      </c>
      <c r="H519" s="1"/>
      <c r="I519" s="1"/>
      <c r="J519" s="1"/>
      <c r="K519" s="1" t="s">
        <v>1095</v>
      </c>
      <c r="L519" s="1" t="s">
        <v>1185</v>
      </c>
      <c r="M519" s="1" t="s">
        <v>2028</v>
      </c>
    </row>
    <row r="520" spans="1:13" ht="13.2">
      <c r="A520" s="1" t="s">
        <v>558</v>
      </c>
      <c r="B520" s="1"/>
      <c r="C520" s="1"/>
      <c r="D520" s="1"/>
      <c r="E520" s="1" t="s">
        <v>102</v>
      </c>
      <c r="F520" s="1"/>
      <c r="G520" s="1" t="s">
        <v>1046</v>
      </c>
      <c r="H520" s="1"/>
      <c r="I520" s="1"/>
      <c r="J520" s="1"/>
      <c r="K520" s="1" t="s">
        <v>1095</v>
      </c>
      <c r="L520" s="1" t="s">
        <v>1185</v>
      </c>
      <c r="M520" s="1" t="s">
        <v>2028</v>
      </c>
    </row>
    <row r="521" spans="1:13" ht="13.2">
      <c r="A521" s="1" t="s">
        <v>610</v>
      </c>
      <c r="B521" s="1"/>
      <c r="C521" s="1"/>
      <c r="D521" s="1"/>
      <c r="E521" s="1" t="s">
        <v>102</v>
      </c>
      <c r="F521" s="1"/>
      <c r="G521" s="1" t="s">
        <v>1046</v>
      </c>
      <c r="H521" s="1"/>
      <c r="I521" s="1"/>
      <c r="J521" s="1"/>
      <c r="K521" s="1" t="s">
        <v>1095</v>
      </c>
      <c r="L521" s="1" t="s">
        <v>1185</v>
      </c>
      <c r="M521" s="1" t="s">
        <v>2028</v>
      </c>
    </row>
    <row r="522" spans="1:13" ht="13.2">
      <c r="A522" s="1" t="s">
        <v>609</v>
      </c>
      <c r="B522" s="1"/>
      <c r="C522" s="1"/>
      <c r="D522" s="1"/>
      <c r="E522" s="1" t="s">
        <v>102</v>
      </c>
      <c r="F522" s="1"/>
      <c r="G522" s="1" t="s">
        <v>1046</v>
      </c>
      <c r="H522" s="1"/>
      <c r="I522" s="1"/>
      <c r="J522" s="1"/>
      <c r="K522" s="1" t="s">
        <v>1095</v>
      </c>
      <c r="L522" s="1" t="s">
        <v>1185</v>
      </c>
      <c r="M522" s="1" t="s">
        <v>2028</v>
      </c>
    </row>
    <row r="523" spans="1:13" ht="13.2">
      <c r="A523" s="1" t="s">
        <v>578</v>
      </c>
      <c r="B523" s="1"/>
      <c r="C523" s="1"/>
      <c r="D523" s="1"/>
      <c r="E523" s="1" t="s">
        <v>102</v>
      </c>
      <c r="F523" s="1"/>
      <c r="G523" s="1" t="s">
        <v>1046</v>
      </c>
      <c r="H523" s="1"/>
      <c r="I523" s="1"/>
      <c r="J523" s="1"/>
      <c r="K523" s="1" t="s">
        <v>1095</v>
      </c>
      <c r="L523" s="1" t="s">
        <v>1185</v>
      </c>
      <c r="M523" s="1" t="s">
        <v>2028</v>
      </c>
    </row>
    <row r="524" spans="1:13" ht="13.2">
      <c r="A524" s="1" t="s">
        <v>590</v>
      </c>
      <c r="B524" s="1"/>
      <c r="C524" s="1"/>
      <c r="D524" s="1"/>
      <c r="E524" s="1" t="s">
        <v>102</v>
      </c>
      <c r="F524" s="1"/>
      <c r="G524" s="1" t="s">
        <v>1046</v>
      </c>
      <c r="H524" s="1"/>
      <c r="I524" s="1"/>
      <c r="J524" s="1"/>
      <c r="K524" s="1" t="s">
        <v>1095</v>
      </c>
      <c r="L524" s="1" t="s">
        <v>1185</v>
      </c>
      <c r="M524" s="1" t="s">
        <v>2028</v>
      </c>
    </row>
    <row r="525" spans="1:13" ht="13.2">
      <c r="A525" s="1" t="s">
        <v>592</v>
      </c>
      <c r="B525" s="1"/>
      <c r="C525" s="1"/>
      <c r="D525" s="1"/>
      <c r="E525" s="1" t="s">
        <v>102</v>
      </c>
      <c r="F525" s="1"/>
      <c r="G525" s="1" t="s">
        <v>1046</v>
      </c>
      <c r="H525" s="1"/>
      <c r="I525" s="1"/>
      <c r="J525" s="1"/>
      <c r="K525" s="1" t="s">
        <v>1095</v>
      </c>
      <c r="L525" s="1" t="s">
        <v>1185</v>
      </c>
      <c r="M525" s="1" t="s">
        <v>2028</v>
      </c>
    </row>
    <row r="526" spans="1:13" ht="13.2">
      <c r="A526" s="1" t="s">
        <v>964</v>
      </c>
      <c r="B526" s="1"/>
      <c r="C526" s="1"/>
      <c r="D526" s="1"/>
      <c r="E526" s="1" t="s">
        <v>1045</v>
      </c>
      <c r="F526" s="1" t="s">
        <v>1046</v>
      </c>
      <c r="G526" s="1" t="s">
        <v>1202</v>
      </c>
      <c r="H526" s="1" t="s">
        <v>1046</v>
      </c>
      <c r="I526" s="1" t="s">
        <v>1046</v>
      </c>
      <c r="J526" s="1" t="s">
        <v>1203</v>
      </c>
      <c r="K526" s="1" t="s">
        <v>1095</v>
      </c>
      <c r="L526" s="1" t="s">
        <v>1185</v>
      </c>
      <c r="M526" s="1" t="s">
        <v>2028</v>
      </c>
    </row>
    <row r="527" spans="1:13" ht="13.2">
      <c r="A527" s="1" t="s">
        <v>738</v>
      </c>
      <c r="B527" s="1"/>
      <c r="C527" s="1"/>
      <c r="D527" s="1"/>
      <c r="E527" s="1" t="s">
        <v>1045</v>
      </c>
      <c r="F527" s="1" t="s">
        <v>1046</v>
      </c>
      <c r="G527" s="1" t="s">
        <v>1205</v>
      </c>
      <c r="H527" s="1" t="s">
        <v>1046</v>
      </c>
      <c r="I527" s="1" t="s">
        <v>1046</v>
      </c>
      <c r="J527" s="1"/>
      <c r="K527" s="1" t="s">
        <v>1061</v>
      </c>
      <c r="L527" s="1" t="s">
        <v>1206</v>
      </c>
      <c r="M527" s="1" t="s">
        <v>2028</v>
      </c>
    </row>
    <row r="528" spans="1:13" ht="13.2">
      <c r="A528" s="1" t="s">
        <v>813</v>
      </c>
      <c r="B528" s="1" t="s">
        <v>765</v>
      </c>
      <c r="C528" s="1"/>
      <c r="D528" s="1"/>
      <c r="E528" s="1" t="s">
        <v>1045</v>
      </c>
      <c r="F528" s="1" t="s">
        <v>1046</v>
      </c>
      <c r="G528" s="1" t="s">
        <v>1208</v>
      </c>
      <c r="H528" s="1" t="s">
        <v>1046</v>
      </c>
      <c r="I528" s="1" t="s">
        <v>1046</v>
      </c>
      <c r="J528" s="1"/>
      <c r="K528" s="1" t="s">
        <v>1061</v>
      </c>
      <c r="L528" s="1" t="s">
        <v>1206</v>
      </c>
      <c r="M528" s="1" t="s">
        <v>2028</v>
      </c>
    </row>
    <row r="529" spans="1:13" ht="13.2">
      <c r="A529" s="1" t="s">
        <v>817</v>
      </c>
      <c r="B529" s="1" t="s">
        <v>765</v>
      </c>
      <c r="C529" s="1"/>
      <c r="D529" s="1"/>
      <c r="E529" s="1" t="s">
        <v>1045</v>
      </c>
      <c r="F529" s="1" t="s">
        <v>1046</v>
      </c>
      <c r="G529" s="1" t="s">
        <v>1208</v>
      </c>
      <c r="H529" s="1" t="s">
        <v>1046</v>
      </c>
      <c r="I529" s="1" t="s">
        <v>1046</v>
      </c>
      <c r="J529" s="1"/>
      <c r="K529" s="1" t="s">
        <v>1061</v>
      </c>
      <c r="L529" s="1" t="s">
        <v>1206</v>
      </c>
      <c r="M529" s="1" t="s">
        <v>2028</v>
      </c>
    </row>
    <row r="530" spans="1:13" ht="13.2">
      <c r="A530" s="1" t="s">
        <v>787</v>
      </c>
      <c r="B530" s="1" t="s">
        <v>765</v>
      </c>
      <c r="C530" s="1"/>
      <c r="D530" s="1"/>
      <c r="E530" s="1" t="s">
        <v>1045</v>
      </c>
      <c r="F530" s="1" t="s">
        <v>1046</v>
      </c>
      <c r="G530" s="1" t="s">
        <v>1208</v>
      </c>
      <c r="H530" s="1" t="s">
        <v>1046</v>
      </c>
      <c r="I530" s="1" t="s">
        <v>1046</v>
      </c>
      <c r="J530" s="1"/>
      <c r="K530" s="1" t="s">
        <v>1061</v>
      </c>
      <c r="L530" s="1" t="s">
        <v>1206</v>
      </c>
      <c r="M530" s="1" t="s">
        <v>2028</v>
      </c>
    </row>
    <row r="531" spans="1:13" ht="13.2">
      <c r="A531" s="1" t="s">
        <v>790</v>
      </c>
      <c r="B531" s="1" t="s">
        <v>765</v>
      </c>
      <c r="C531" s="1"/>
      <c r="D531" s="1"/>
      <c r="E531" s="1" t="s">
        <v>1045</v>
      </c>
      <c r="F531" s="1" t="s">
        <v>1046</v>
      </c>
      <c r="G531" s="1" t="s">
        <v>1208</v>
      </c>
      <c r="H531" s="1" t="s">
        <v>1046</v>
      </c>
      <c r="I531" s="1" t="s">
        <v>1046</v>
      </c>
      <c r="J531" s="1"/>
      <c r="K531" s="1" t="s">
        <v>1061</v>
      </c>
      <c r="L531" s="1" t="s">
        <v>1206</v>
      </c>
      <c r="M531" s="1" t="s">
        <v>2028</v>
      </c>
    </row>
    <row r="532" spans="1:13" ht="13.2">
      <c r="A532" s="1" t="s">
        <v>808</v>
      </c>
      <c r="B532" s="1" t="s">
        <v>765</v>
      </c>
      <c r="C532" s="1"/>
      <c r="D532" s="1"/>
      <c r="E532" s="1" t="s">
        <v>1045</v>
      </c>
      <c r="F532" s="1" t="s">
        <v>1046</v>
      </c>
      <c r="G532" s="1" t="s">
        <v>1208</v>
      </c>
      <c r="H532" s="1" t="s">
        <v>1046</v>
      </c>
      <c r="I532" s="1" t="s">
        <v>1046</v>
      </c>
      <c r="J532" s="1"/>
      <c r="K532" s="1" t="s">
        <v>1061</v>
      </c>
      <c r="L532" s="1" t="s">
        <v>1206</v>
      </c>
      <c r="M532" s="1" t="s">
        <v>2028</v>
      </c>
    </row>
    <row r="533" spans="1:13" ht="13.2">
      <c r="A533" s="1" t="s">
        <v>800</v>
      </c>
      <c r="B533" s="1" t="s">
        <v>765</v>
      </c>
      <c r="C533" s="1"/>
      <c r="D533" s="1"/>
      <c r="E533" s="1" t="s">
        <v>1045</v>
      </c>
      <c r="F533" s="1" t="s">
        <v>1046</v>
      </c>
      <c r="G533" s="1" t="s">
        <v>1208</v>
      </c>
      <c r="H533" s="1" t="s">
        <v>1046</v>
      </c>
      <c r="I533" s="1" t="s">
        <v>1046</v>
      </c>
      <c r="J533" s="1"/>
      <c r="K533" s="1" t="s">
        <v>1061</v>
      </c>
      <c r="L533" s="1" t="s">
        <v>1206</v>
      </c>
      <c r="M533" s="1" t="s">
        <v>2028</v>
      </c>
    </row>
    <row r="534" spans="1:13" ht="13.2">
      <c r="A534" s="1" t="s">
        <v>849</v>
      </c>
      <c r="B534" s="1" t="s">
        <v>835</v>
      </c>
      <c r="C534" s="1"/>
      <c r="D534" s="1"/>
      <c r="E534" s="1" t="s">
        <v>1045</v>
      </c>
      <c r="F534" s="1" t="s">
        <v>1046</v>
      </c>
      <c r="G534" s="1" t="s">
        <v>1208</v>
      </c>
      <c r="H534" s="1" t="s">
        <v>1046</v>
      </c>
      <c r="I534" s="1" t="s">
        <v>1046</v>
      </c>
      <c r="J534" s="1"/>
      <c r="K534" s="1" t="s">
        <v>1061</v>
      </c>
      <c r="L534" s="1" t="s">
        <v>1206</v>
      </c>
      <c r="M534" s="1" t="s">
        <v>2028</v>
      </c>
    </row>
    <row r="535" spans="1:13" ht="13.2">
      <c r="A535" s="1" t="s">
        <v>853</v>
      </c>
      <c r="B535" s="1" t="s">
        <v>835</v>
      </c>
      <c r="C535" s="1"/>
      <c r="D535" s="1"/>
      <c r="E535" s="1" t="s">
        <v>1045</v>
      </c>
      <c r="F535" s="1" t="s">
        <v>1046</v>
      </c>
      <c r="G535" s="1" t="s">
        <v>1208</v>
      </c>
      <c r="H535" s="1" t="s">
        <v>1046</v>
      </c>
      <c r="I535" s="1" t="s">
        <v>1046</v>
      </c>
      <c r="J535" s="1"/>
      <c r="K535" s="1" t="s">
        <v>1061</v>
      </c>
      <c r="L535" s="1" t="s">
        <v>1206</v>
      </c>
      <c r="M535" s="1" t="s">
        <v>2028</v>
      </c>
    </row>
    <row r="536" spans="1:13" ht="13.2">
      <c r="A536" s="1" t="s">
        <v>838</v>
      </c>
      <c r="B536" s="1" t="s">
        <v>835</v>
      </c>
      <c r="C536" s="1"/>
      <c r="D536" s="1"/>
      <c r="E536" s="1" t="s">
        <v>1045</v>
      </c>
      <c r="F536" s="1" t="s">
        <v>1046</v>
      </c>
      <c r="G536" s="1" t="s">
        <v>1208</v>
      </c>
      <c r="H536" s="1" t="s">
        <v>1046</v>
      </c>
      <c r="I536" s="1" t="s">
        <v>1046</v>
      </c>
      <c r="J536" s="1"/>
      <c r="K536" s="1" t="s">
        <v>1061</v>
      </c>
      <c r="L536" s="1" t="s">
        <v>1206</v>
      </c>
      <c r="M536" s="1" t="s">
        <v>2028</v>
      </c>
    </row>
    <row r="537" spans="1:13" ht="13.2">
      <c r="A537" s="1" t="s">
        <v>839</v>
      </c>
      <c r="B537" s="1" t="s">
        <v>835</v>
      </c>
      <c r="C537" s="1"/>
      <c r="D537" s="1"/>
      <c r="E537" s="1" t="s">
        <v>1045</v>
      </c>
      <c r="F537" s="1" t="s">
        <v>1046</v>
      </c>
      <c r="G537" s="1" t="s">
        <v>1208</v>
      </c>
      <c r="H537" s="1" t="s">
        <v>1046</v>
      </c>
      <c r="I537" s="1" t="s">
        <v>1046</v>
      </c>
      <c r="J537" s="1"/>
      <c r="K537" s="1" t="s">
        <v>1061</v>
      </c>
      <c r="L537" s="1" t="s">
        <v>1206</v>
      </c>
      <c r="M537" s="1" t="s">
        <v>2028</v>
      </c>
    </row>
    <row r="538" spans="1:13" ht="13.2">
      <c r="A538" s="1" t="s">
        <v>840</v>
      </c>
      <c r="B538" s="1" t="s">
        <v>835</v>
      </c>
      <c r="C538" s="1"/>
      <c r="D538" s="1"/>
      <c r="E538" s="1" t="s">
        <v>1045</v>
      </c>
      <c r="F538" s="1" t="s">
        <v>1046</v>
      </c>
      <c r="G538" s="1" t="s">
        <v>1208</v>
      </c>
      <c r="H538" s="1" t="s">
        <v>1046</v>
      </c>
      <c r="I538" s="1" t="s">
        <v>1046</v>
      </c>
      <c r="J538" s="1"/>
      <c r="K538" s="1" t="s">
        <v>1061</v>
      </c>
      <c r="L538" s="1" t="s">
        <v>1206</v>
      </c>
      <c r="M538" s="1" t="s">
        <v>2028</v>
      </c>
    </row>
    <row r="539" spans="1:13" ht="13.2">
      <c r="A539" s="1" t="s">
        <v>841</v>
      </c>
      <c r="B539" s="1" t="s">
        <v>835</v>
      </c>
      <c r="C539" s="1"/>
      <c r="D539" s="1"/>
      <c r="E539" s="1" t="s">
        <v>1045</v>
      </c>
      <c r="F539" s="1" t="s">
        <v>1046</v>
      </c>
      <c r="G539" s="1" t="s">
        <v>1208</v>
      </c>
      <c r="H539" s="1" t="s">
        <v>1046</v>
      </c>
      <c r="I539" s="1" t="s">
        <v>1046</v>
      </c>
      <c r="J539" s="1"/>
      <c r="K539" s="1" t="s">
        <v>1061</v>
      </c>
      <c r="L539" s="1" t="s">
        <v>1206</v>
      </c>
      <c r="M539" s="1" t="s">
        <v>2028</v>
      </c>
    </row>
    <row r="540" spans="1:13" ht="13.2">
      <c r="A540" s="1" t="s">
        <v>740</v>
      </c>
      <c r="B540" s="1" t="s">
        <v>737</v>
      </c>
      <c r="C540" s="1"/>
      <c r="D540" s="1"/>
      <c r="E540" s="1" t="s">
        <v>1045</v>
      </c>
      <c r="F540" s="1" t="s">
        <v>1046</v>
      </c>
      <c r="G540" s="1" t="s">
        <v>1208</v>
      </c>
      <c r="H540" s="1" t="s">
        <v>1046</v>
      </c>
      <c r="I540" s="1" t="s">
        <v>1046</v>
      </c>
      <c r="J540" s="1"/>
      <c r="K540" s="1" t="s">
        <v>1061</v>
      </c>
      <c r="L540" s="1" t="s">
        <v>1206</v>
      </c>
      <c r="M540" s="1" t="s">
        <v>2028</v>
      </c>
    </row>
    <row r="541" spans="1:13" ht="13.2">
      <c r="A541" s="1" t="s">
        <v>743</v>
      </c>
      <c r="B541" s="1" t="s">
        <v>737</v>
      </c>
      <c r="C541" s="1"/>
      <c r="D541" s="1"/>
      <c r="E541" s="1" t="s">
        <v>1045</v>
      </c>
      <c r="F541" s="1" t="s">
        <v>1046</v>
      </c>
      <c r="G541" s="1" t="s">
        <v>1208</v>
      </c>
      <c r="H541" s="1" t="s">
        <v>1046</v>
      </c>
      <c r="I541" s="1" t="s">
        <v>1046</v>
      </c>
      <c r="J541" s="1"/>
      <c r="K541" s="1" t="s">
        <v>1061</v>
      </c>
      <c r="L541" s="1" t="s">
        <v>1206</v>
      </c>
      <c r="M541" s="1" t="s">
        <v>2028</v>
      </c>
    </row>
    <row r="542" spans="1:13" ht="13.2">
      <c r="A542" s="1" t="s">
        <v>747</v>
      </c>
      <c r="B542" s="1" t="s">
        <v>737</v>
      </c>
      <c r="C542" s="1"/>
      <c r="D542" s="1"/>
      <c r="E542" s="1" t="s">
        <v>1045</v>
      </c>
      <c r="F542" s="1" t="s">
        <v>1046</v>
      </c>
      <c r="G542" s="1" t="s">
        <v>1208</v>
      </c>
      <c r="H542" s="1" t="s">
        <v>1046</v>
      </c>
      <c r="I542" s="1" t="s">
        <v>1046</v>
      </c>
      <c r="J542" s="1"/>
      <c r="K542" s="1" t="s">
        <v>1061</v>
      </c>
      <c r="L542" s="1" t="s">
        <v>1206</v>
      </c>
      <c r="M542" s="1" t="s">
        <v>2028</v>
      </c>
    </row>
    <row r="543" spans="1:13" ht="13.2">
      <c r="A543" s="1" t="s">
        <v>749</v>
      </c>
      <c r="B543" s="1" t="s">
        <v>737</v>
      </c>
      <c r="C543" s="1"/>
      <c r="D543" s="1"/>
      <c r="E543" s="1" t="s">
        <v>1045</v>
      </c>
      <c r="F543" s="1" t="s">
        <v>1046</v>
      </c>
      <c r="G543" s="1" t="s">
        <v>1208</v>
      </c>
      <c r="H543" s="1" t="s">
        <v>1046</v>
      </c>
      <c r="I543" s="1" t="s">
        <v>1046</v>
      </c>
      <c r="J543" s="1"/>
      <c r="K543" s="1" t="s">
        <v>1061</v>
      </c>
      <c r="L543" s="1" t="s">
        <v>1206</v>
      </c>
      <c r="M543" s="1" t="s">
        <v>2028</v>
      </c>
    </row>
    <row r="544" spans="1:13" ht="13.2">
      <c r="A544" s="1" t="s">
        <v>470</v>
      </c>
      <c r="B544" s="1" t="s">
        <v>1172</v>
      </c>
      <c r="C544" s="1"/>
      <c r="D544" s="1"/>
      <c r="E544" s="1" t="s">
        <v>102</v>
      </c>
      <c r="F544" s="1"/>
      <c r="G544" s="1" t="s">
        <v>1046</v>
      </c>
      <c r="H544" s="1"/>
      <c r="I544" s="1"/>
      <c r="J544" s="1"/>
      <c r="K544" s="1" t="s">
        <v>1061</v>
      </c>
      <c r="L544" s="1" t="s">
        <v>1206</v>
      </c>
      <c r="M544" s="1" t="s">
        <v>2028</v>
      </c>
    </row>
    <row r="545" spans="1:13" ht="13.2">
      <c r="A545" s="1" t="s">
        <v>497</v>
      </c>
      <c r="B545" s="1" t="s">
        <v>1172</v>
      </c>
      <c r="C545" s="1"/>
      <c r="D545" s="1"/>
      <c r="E545" s="1" t="s">
        <v>102</v>
      </c>
      <c r="F545" s="1"/>
      <c r="G545" s="1" t="s">
        <v>1046</v>
      </c>
      <c r="H545" s="1"/>
      <c r="I545" s="1"/>
      <c r="J545" s="1"/>
      <c r="K545" s="1" t="s">
        <v>1061</v>
      </c>
      <c r="L545" s="1" t="s">
        <v>1206</v>
      </c>
      <c r="M545" s="1" t="s">
        <v>2028</v>
      </c>
    </row>
    <row r="546" spans="1:13" ht="13.2">
      <c r="A546" s="1" t="s">
        <v>560</v>
      </c>
      <c r="B546" s="1" t="s">
        <v>1175</v>
      </c>
      <c r="C546" s="1"/>
      <c r="D546" s="1"/>
      <c r="E546" s="1" t="s">
        <v>102</v>
      </c>
      <c r="F546" s="1"/>
      <c r="G546" s="1" t="s">
        <v>1046</v>
      </c>
      <c r="H546" s="1"/>
      <c r="I546" s="1"/>
      <c r="J546" s="1"/>
      <c r="K546" s="1" t="s">
        <v>1061</v>
      </c>
      <c r="L546" s="1" t="s">
        <v>1206</v>
      </c>
      <c r="M546" s="1" t="s">
        <v>2028</v>
      </c>
    </row>
    <row r="547" spans="1:13" ht="13.2">
      <c r="A547" s="1" t="s">
        <v>573</v>
      </c>
      <c r="B547" s="1" t="s">
        <v>1175</v>
      </c>
      <c r="C547" s="1"/>
      <c r="D547" s="1"/>
      <c r="E547" s="1" t="s">
        <v>102</v>
      </c>
      <c r="F547" s="1"/>
      <c r="G547" s="1" t="s">
        <v>1046</v>
      </c>
      <c r="H547" s="1"/>
      <c r="I547" s="1"/>
      <c r="J547" s="1"/>
      <c r="K547" s="1" t="s">
        <v>1061</v>
      </c>
      <c r="L547" s="1" t="s">
        <v>1206</v>
      </c>
      <c r="M547" s="1" t="s">
        <v>2028</v>
      </c>
    </row>
    <row r="548" spans="1:13" ht="13.2">
      <c r="A548" s="1" t="s">
        <v>580</v>
      </c>
      <c r="B548" s="1" t="s">
        <v>1175</v>
      </c>
      <c r="C548" s="1"/>
      <c r="D548" s="1"/>
      <c r="E548" s="1" t="s">
        <v>102</v>
      </c>
      <c r="F548" s="1"/>
      <c r="G548" s="1" t="s">
        <v>1046</v>
      </c>
      <c r="H548" s="1"/>
      <c r="I548" s="1"/>
      <c r="J548" s="1"/>
      <c r="K548" s="1" t="s">
        <v>1061</v>
      </c>
      <c r="L548" s="1" t="s">
        <v>1206</v>
      </c>
      <c r="M548" s="1" t="s">
        <v>2028</v>
      </c>
    </row>
    <row r="549" spans="1:13" ht="13.2">
      <c r="A549" s="1" t="s">
        <v>585</v>
      </c>
      <c r="B549" s="1" t="s">
        <v>1175</v>
      </c>
      <c r="C549" s="1"/>
      <c r="D549" s="1"/>
      <c r="E549" s="1" t="s">
        <v>102</v>
      </c>
      <c r="F549" s="1"/>
      <c r="G549" s="1" t="s">
        <v>1046</v>
      </c>
      <c r="H549" s="1"/>
      <c r="I549" s="1"/>
      <c r="J549" s="1"/>
      <c r="K549" s="1" t="s">
        <v>1061</v>
      </c>
      <c r="L549" s="1" t="s">
        <v>1206</v>
      </c>
      <c r="M549" s="1" t="s">
        <v>2028</v>
      </c>
    </row>
    <row r="550" spans="1:13" ht="13.2">
      <c r="A550" s="1" t="s">
        <v>582</v>
      </c>
      <c r="B550" s="1" t="s">
        <v>1175</v>
      </c>
      <c r="C550" s="1"/>
      <c r="D550" s="1"/>
      <c r="E550" s="1" t="s">
        <v>102</v>
      </c>
      <c r="F550" s="1"/>
      <c r="G550" s="1" t="s">
        <v>1046</v>
      </c>
      <c r="H550" s="1"/>
      <c r="I550" s="1"/>
      <c r="J550" s="1"/>
      <c r="K550" s="1" t="s">
        <v>1061</v>
      </c>
      <c r="L550" s="1" t="s">
        <v>1206</v>
      </c>
      <c r="M550" s="1" t="s">
        <v>2028</v>
      </c>
    </row>
    <row r="551" spans="1:13" ht="13.2">
      <c r="A551" s="1" t="s">
        <v>566</v>
      </c>
      <c r="B551" s="1" t="s">
        <v>1175</v>
      </c>
      <c r="C551" s="1"/>
      <c r="D551" s="1"/>
      <c r="E551" s="1" t="s">
        <v>102</v>
      </c>
      <c r="F551" s="1"/>
      <c r="G551" s="1" t="s">
        <v>1046</v>
      </c>
      <c r="H551" s="1"/>
      <c r="I551" s="1"/>
      <c r="J551" s="1"/>
      <c r="K551" s="1" t="s">
        <v>1061</v>
      </c>
      <c r="L551" s="1" t="s">
        <v>1206</v>
      </c>
      <c r="M551" s="1" t="s">
        <v>2028</v>
      </c>
    </row>
    <row r="552" spans="1:13" ht="13.2">
      <c r="A552" s="1" t="s">
        <v>518</v>
      </c>
      <c r="B552" s="1" t="s">
        <v>1233</v>
      </c>
      <c r="C552" s="1"/>
      <c r="D552" s="1"/>
      <c r="E552" s="1" t="s">
        <v>102</v>
      </c>
      <c r="F552" s="1"/>
      <c r="G552" s="1" t="s">
        <v>1046</v>
      </c>
      <c r="H552" s="1"/>
      <c r="I552" s="1"/>
      <c r="J552" s="1"/>
      <c r="K552" s="1" t="s">
        <v>1061</v>
      </c>
      <c r="L552" s="1" t="s">
        <v>1206</v>
      </c>
      <c r="M552" s="1" t="s">
        <v>2028</v>
      </c>
    </row>
    <row r="553" spans="1:13" ht="13.2">
      <c r="A553" s="1" t="s">
        <v>511</v>
      </c>
      <c r="B553" s="1" t="s">
        <v>1233</v>
      </c>
      <c r="C553" s="1"/>
      <c r="D553" s="1"/>
      <c r="E553" s="1" t="s">
        <v>102</v>
      </c>
      <c r="F553" s="1"/>
      <c r="G553" s="1" t="s">
        <v>1046</v>
      </c>
      <c r="H553" s="1"/>
      <c r="I553" s="1"/>
      <c r="J553" s="1"/>
      <c r="K553" s="1" t="s">
        <v>1061</v>
      </c>
      <c r="L553" s="1" t="s">
        <v>1206</v>
      </c>
      <c r="M553" s="1" t="s">
        <v>2028</v>
      </c>
    </row>
    <row r="554" spans="1:13" ht="13.2">
      <c r="A554" s="1" t="s">
        <v>497</v>
      </c>
      <c r="B554" s="1"/>
      <c r="C554" s="1"/>
      <c r="D554" s="1"/>
      <c r="E554" s="1" t="s">
        <v>102</v>
      </c>
      <c r="F554" s="1"/>
      <c r="G554" s="1" t="s">
        <v>1046</v>
      </c>
      <c r="H554" s="1"/>
      <c r="I554" s="1"/>
      <c r="J554" s="1"/>
      <c r="K554" s="1" t="s">
        <v>1061</v>
      </c>
      <c r="L554" s="1" t="s">
        <v>1236</v>
      </c>
      <c r="M554" s="1" t="s">
        <v>2028</v>
      </c>
    </row>
    <row r="555" spans="1:13" ht="13.2">
      <c r="A555" s="1" t="s">
        <v>471</v>
      </c>
      <c r="B555" s="1"/>
      <c r="C555" s="1"/>
      <c r="D555" s="1"/>
      <c r="E555" s="1" t="s">
        <v>102</v>
      </c>
      <c r="F555" s="1"/>
      <c r="G555" s="1" t="s">
        <v>1046</v>
      </c>
      <c r="H555" s="1"/>
      <c r="I555" s="1"/>
      <c r="J555" s="1"/>
      <c r="K555" s="1" t="s">
        <v>1061</v>
      </c>
      <c r="L555" s="1" t="s">
        <v>1236</v>
      </c>
      <c r="M555" s="1" t="s">
        <v>2028</v>
      </c>
    </row>
    <row r="556" spans="1:13" ht="13.2">
      <c r="A556" s="1" t="s">
        <v>765</v>
      </c>
      <c r="B556" s="1"/>
      <c r="C556" s="1"/>
      <c r="D556" s="1"/>
      <c r="E556" s="1" t="s">
        <v>1045</v>
      </c>
      <c r="F556" s="1" t="s">
        <v>1046</v>
      </c>
      <c r="G556" s="1" t="s">
        <v>1239</v>
      </c>
      <c r="H556" s="1" t="s">
        <v>1046</v>
      </c>
      <c r="I556" s="1" t="s">
        <v>1046</v>
      </c>
      <c r="J556" s="1"/>
      <c r="K556" s="1" t="s">
        <v>1061</v>
      </c>
      <c r="L556" s="1" t="s">
        <v>1236</v>
      </c>
      <c r="M556" s="1" t="s">
        <v>2028</v>
      </c>
    </row>
    <row r="557" spans="1:13" ht="13.2">
      <c r="A557" s="1" t="s">
        <v>868</v>
      </c>
      <c r="B557" s="1"/>
      <c r="C557" s="1"/>
      <c r="D557" s="1"/>
      <c r="E557" s="1" t="s">
        <v>1045</v>
      </c>
      <c r="F557" s="1" t="s">
        <v>1046</v>
      </c>
      <c r="G557" s="1" t="s">
        <v>1241</v>
      </c>
      <c r="H557" s="1" t="s">
        <v>1046</v>
      </c>
      <c r="I557" s="1" t="s">
        <v>1046</v>
      </c>
      <c r="J557" s="1"/>
      <c r="K557" s="1" t="s">
        <v>1061</v>
      </c>
      <c r="L557" s="1" t="s">
        <v>1236</v>
      </c>
      <c r="M557" s="1" t="s">
        <v>2028</v>
      </c>
    </row>
    <row r="558" spans="1:13" ht="13.2">
      <c r="A558" s="1" t="s">
        <v>965</v>
      </c>
      <c r="B558" s="1"/>
      <c r="C558" s="1"/>
      <c r="D558" s="1"/>
      <c r="E558" s="1" t="s">
        <v>1045</v>
      </c>
      <c r="F558" s="1" t="s">
        <v>1046</v>
      </c>
      <c r="G558" s="1" t="s">
        <v>1243</v>
      </c>
      <c r="H558" s="1" t="s">
        <v>1046</v>
      </c>
      <c r="I558" s="1" t="s">
        <v>1046</v>
      </c>
      <c r="J558" s="1"/>
      <c r="K558" s="1" t="s">
        <v>1061</v>
      </c>
      <c r="L558" s="1" t="s">
        <v>1244</v>
      </c>
      <c r="M558" s="1" t="s">
        <v>2028</v>
      </c>
    </row>
    <row r="559" spans="1:13" ht="13.2">
      <c r="A559" s="1" t="s">
        <v>765</v>
      </c>
      <c r="B559" s="1"/>
      <c r="C559" s="1"/>
      <c r="D559" s="1"/>
      <c r="E559" s="1" t="s">
        <v>1045</v>
      </c>
      <c r="F559" s="1" t="s">
        <v>1046</v>
      </c>
      <c r="G559" s="1" t="s">
        <v>1246</v>
      </c>
      <c r="H559" s="1" t="s">
        <v>1046</v>
      </c>
      <c r="I559" s="1" t="s">
        <v>1046</v>
      </c>
      <c r="J559" s="1"/>
      <c r="K559" s="1" t="s">
        <v>1061</v>
      </c>
      <c r="L559" s="1" t="s">
        <v>1244</v>
      </c>
      <c r="M559" s="1" t="s">
        <v>2028</v>
      </c>
    </row>
    <row r="560" spans="1:13" ht="13.2">
      <c r="A560" s="1" t="s">
        <v>976</v>
      </c>
      <c r="B560" s="1"/>
      <c r="C560" s="1"/>
      <c r="D560" s="1"/>
      <c r="E560" s="1" t="s">
        <v>102</v>
      </c>
      <c r="F560" s="1"/>
      <c r="G560" s="1" t="s">
        <v>1046</v>
      </c>
      <c r="H560" s="1"/>
      <c r="I560" s="1"/>
      <c r="J560" s="1"/>
      <c r="K560" s="1" t="s">
        <v>1061</v>
      </c>
      <c r="L560" s="1" t="s">
        <v>1244</v>
      </c>
      <c r="M560" s="1" t="s">
        <v>2028</v>
      </c>
    </row>
    <row r="561" spans="1:13" ht="13.2">
      <c r="A561" s="1" t="s">
        <v>497</v>
      </c>
      <c r="B561" s="1"/>
      <c r="C561" s="1"/>
      <c r="D561" s="1"/>
      <c r="E561" s="1" t="s">
        <v>102</v>
      </c>
      <c r="F561" s="1"/>
      <c r="G561" s="1" t="s">
        <v>1046</v>
      </c>
      <c r="H561" s="1"/>
      <c r="I561" s="1"/>
      <c r="J561" s="1"/>
      <c r="K561" s="1" t="s">
        <v>1061</v>
      </c>
      <c r="L561" s="1" t="s">
        <v>1244</v>
      </c>
      <c r="M561" s="1" t="s">
        <v>2028</v>
      </c>
    </row>
    <row r="562" spans="1:13" ht="13.2">
      <c r="A562" s="1" t="s">
        <v>523</v>
      </c>
      <c r="B562" s="1"/>
      <c r="C562" s="1"/>
      <c r="D562" s="1"/>
      <c r="E562" s="1" t="s">
        <v>102</v>
      </c>
      <c r="F562" s="1"/>
      <c r="G562" s="1" t="s">
        <v>1046</v>
      </c>
      <c r="H562" s="1"/>
      <c r="I562" s="1"/>
      <c r="J562" s="1"/>
      <c r="K562" s="1" t="s">
        <v>1061</v>
      </c>
      <c r="L562" s="1" t="s">
        <v>1244</v>
      </c>
      <c r="M562" s="1" t="s">
        <v>2028</v>
      </c>
    </row>
    <row r="563" spans="1:13" ht="13.2">
      <c r="A563" s="1" t="s">
        <v>516</v>
      </c>
      <c r="B563" s="1"/>
      <c r="C563" s="1"/>
      <c r="D563" s="1"/>
      <c r="E563" s="1" t="s">
        <v>102</v>
      </c>
      <c r="F563" s="1"/>
      <c r="G563" s="1" t="s">
        <v>1046</v>
      </c>
      <c r="H563" s="1"/>
      <c r="I563" s="1"/>
      <c r="J563" s="1"/>
      <c r="K563" s="1" t="s">
        <v>1061</v>
      </c>
      <c r="L563" s="1" t="s">
        <v>1244</v>
      </c>
      <c r="M563" s="1" t="s">
        <v>2028</v>
      </c>
    </row>
    <row r="564" spans="1:13" ht="13.2">
      <c r="A564" s="1" t="s">
        <v>500</v>
      </c>
      <c r="B564" s="1"/>
      <c r="C564" s="1"/>
      <c r="D564" s="1"/>
      <c r="E564" s="1" t="s">
        <v>102</v>
      </c>
      <c r="F564" s="1"/>
      <c r="G564" s="1" t="s">
        <v>1046</v>
      </c>
      <c r="H564" s="1"/>
      <c r="I564" s="1"/>
      <c r="J564" s="1"/>
      <c r="K564" s="1" t="s">
        <v>1061</v>
      </c>
      <c r="L564" s="1" t="s">
        <v>1252</v>
      </c>
      <c r="M564" s="1" t="s">
        <v>2028</v>
      </c>
    </row>
    <row r="565" spans="1:13" ht="13.2">
      <c r="A565" s="1" t="s">
        <v>531</v>
      </c>
      <c r="B565" s="1"/>
      <c r="C565" s="1"/>
      <c r="D565" s="1"/>
      <c r="E565" s="1" t="s">
        <v>102</v>
      </c>
      <c r="F565" s="1"/>
      <c r="G565" s="1" t="s">
        <v>1046</v>
      </c>
      <c r="H565" s="1"/>
      <c r="I565" s="1"/>
      <c r="J565" s="1"/>
      <c r="K565" s="1" t="s">
        <v>1061</v>
      </c>
      <c r="L565" s="1" t="s">
        <v>1252</v>
      </c>
      <c r="M565" s="1" t="s">
        <v>2028</v>
      </c>
    </row>
    <row r="566" spans="1:13" ht="13.2">
      <c r="A566" s="1" t="s">
        <v>535</v>
      </c>
      <c r="B566" s="1"/>
      <c r="C566" s="1"/>
      <c r="D566" s="1"/>
      <c r="E566" s="1" t="s">
        <v>102</v>
      </c>
      <c r="F566" s="1"/>
      <c r="G566" s="1" t="s">
        <v>1046</v>
      </c>
      <c r="H566" s="1"/>
      <c r="I566" s="1"/>
      <c r="J566" s="1"/>
      <c r="K566" s="1" t="s">
        <v>1061</v>
      </c>
      <c r="L566" s="1" t="s">
        <v>1252</v>
      </c>
      <c r="M566" s="1" t="s">
        <v>2028</v>
      </c>
    </row>
    <row r="567" spans="1:13" ht="13.2">
      <c r="A567" s="1" t="s">
        <v>511</v>
      </c>
      <c r="B567" s="1"/>
      <c r="C567" s="1"/>
      <c r="D567" s="1"/>
      <c r="E567" s="1" t="s">
        <v>102</v>
      </c>
      <c r="F567" s="1"/>
      <c r="G567" s="1" t="s">
        <v>1046</v>
      </c>
      <c r="H567" s="1"/>
      <c r="I567" s="1"/>
      <c r="J567" s="1"/>
      <c r="K567" s="1" t="s">
        <v>1061</v>
      </c>
      <c r="L567" s="1" t="s">
        <v>1252</v>
      </c>
      <c r="M567" s="1" t="s">
        <v>2028</v>
      </c>
    </row>
    <row r="568" spans="1:13" ht="13.2">
      <c r="A568" s="1" t="s">
        <v>522</v>
      </c>
      <c r="B568" s="1"/>
      <c r="C568" s="1"/>
      <c r="D568" s="1"/>
      <c r="E568" s="1" t="s">
        <v>102</v>
      </c>
      <c r="F568" s="1"/>
      <c r="G568" s="1" t="s">
        <v>1046</v>
      </c>
      <c r="H568" s="1"/>
      <c r="I568" s="1"/>
      <c r="J568" s="1"/>
      <c r="K568" s="1" t="s">
        <v>1061</v>
      </c>
      <c r="L568" s="1" t="s">
        <v>1252</v>
      </c>
      <c r="M568" s="1" t="s">
        <v>2028</v>
      </c>
    </row>
    <row r="569" spans="1:13" ht="13.2">
      <c r="A569" s="1" t="s">
        <v>472</v>
      </c>
      <c r="B569" s="1"/>
      <c r="C569" s="1"/>
      <c r="D569" s="1"/>
      <c r="E569" s="1" t="s">
        <v>102</v>
      </c>
      <c r="F569" s="1"/>
      <c r="G569" s="1" t="s">
        <v>1046</v>
      </c>
      <c r="H569" s="1"/>
      <c r="I569" s="1"/>
      <c r="J569" s="1"/>
      <c r="K569" s="1" t="s">
        <v>1061</v>
      </c>
      <c r="L569" s="1" t="s">
        <v>1252</v>
      </c>
      <c r="M569" s="1" t="s">
        <v>2028</v>
      </c>
    </row>
    <row r="570" spans="1:13" ht="13.2">
      <c r="A570" s="1" t="s">
        <v>765</v>
      </c>
      <c r="B570" s="1"/>
      <c r="C570" s="1"/>
      <c r="D570" s="1"/>
      <c r="E570" s="1" t="s">
        <v>1045</v>
      </c>
      <c r="F570" s="1" t="s">
        <v>1046</v>
      </c>
      <c r="G570" s="1" t="s">
        <v>1259</v>
      </c>
      <c r="H570" s="1" t="s">
        <v>1046</v>
      </c>
      <c r="I570" s="1" t="s">
        <v>1046</v>
      </c>
      <c r="J570" s="1"/>
      <c r="K570" s="1" t="s">
        <v>1061</v>
      </c>
      <c r="L570" s="1" t="s">
        <v>1252</v>
      </c>
      <c r="M570" s="1" t="s">
        <v>2028</v>
      </c>
    </row>
    <row r="571" spans="1:13" ht="13.2">
      <c r="A571" s="1" t="s">
        <v>1008</v>
      </c>
      <c r="B571" s="1"/>
      <c r="C571" s="1"/>
      <c r="D571" s="1"/>
      <c r="E571" s="1" t="s">
        <v>1045</v>
      </c>
      <c r="F571" s="1" t="s">
        <v>1046</v>
      </c>
      <c r="G571" s="1" t="s">
        <v>1261</v>
      </c>
      <c r="H571" s="1" t="s">
        <v>1046</v>
      </c>
      <c r="I571" s="1" t="s">
        <v>1046</v>
      </c>
      <c r="J571" s="1"/>
      <c r="K571" s="1" t="s">
        <v>1061</v>
      </c>
      <c r="L571" s="1" t="s">
        <v>1262</v>
      </c>
      <c r="M571" s="1" t="s">
        <v>2028</v>
      </c>
    </row>
    <row r="572" spans="1:13" ht="13.2">
      <c r="A572" s="1" t="s">
        <v>897</v>
      </c>
      <c r="B572" s="1"/>
      <c r="C572" s="1"/>
      <c r="D572" s="1"/>
      <c r="E572" s="1" t="s">
        <v>1045</v>
      </c>
      <c r="F572" s="1" t="s">
        <v>1046</v>
      </c>
      <c r="G572" s="1" t="s">
        <v>1264</v>
      </c>
      <c r="H572" s="1" t="s">
        <v>1046</v>
      </c>
      <c r="I572" s="1" t="s">
        <v>1046</v>
      </c>
      <c r="J572" s="1"/>
      <c r="K572" s="1" t="s">
        <v>1061</v>
      </c>
      <c r="L572" s="1" t="s">
        <v>1262</v>
      </c>
      <c r="M572" s="1" t="s">
        <v>2028</v>
      </c>
    </row>
    <row r="573" spans="1:13" ht="13.2">
      <c r="A573" s="1" t="s">
        <v>782</v>
      </c>
      <c r="B573" s="1"/>
      <c r="C573" s="1"/>
      <c r="D573" s="1"/>
      <c r="E573" s="1" t="s">
        <v>1045</v>
      </c>
      <c r="F573" s="1" t="s">
        <v>1046</v>
      </c>
      <c r="G573" s="1" t="s">
        <v>1266</v>
      </c>
      <c r="H573" s="1" t="s">
        <v>1046</v>
      </c>
      <c r="I573" s="1" t="s">
        <v>1046</v>
      </c>
      <c r="J573" s="1"/>
      <c r="K573" s="1" t="s">
        <v>1061</v>
      </c>
      <c r="L573" s="1" t="s">
        <v>1262</v>
      </c>
      <c r="M573" s="1" t="s">
        <v>2028</v>
      </c>
    </row>
    <row r="574" spans="1:13" ht="13.2">
      <c r="A574" s="1" t="s">
        <v>738</v>
      </c>
      <c r="B574" s="1"/>
      <c r="C574" s="1"/>
      <c r="D574" s="1"/>
      <c r="E574" s="1" t="s">
        <v>1045</v>
      </c>
      <c r="F574" s="1" t="s">
        <v>1046</v>
      </c>
      <c r="G574" s="1" t="s">
        <v>1268</v>
      </c>
      <c r="H574" s="1" t="s">
        <v>1046</v>
      </c>
      <c r="I574" s="1" t="s">
        <v>1046</v>
      </c>
      <c r="J574" s="1"/>
      <c r="K574" s="1" t="s">
        <v>1061</v>
      </c>
      <c r="L574" s="1" t="s">
        <v>1262</v>
      </c>
      <c r="M574" s="1" t="s">
        <v>2028</v>
      </c>
    </row>
    <row r="575" spans="1:13" ht="13.2">
      <c r="A575" s="1" t="s">
        <v>631</v>
      </c>
      <c r="B575" s="1"/>
      <c r="C575" s="1"/>
      <c r="D575" s="1"/>
      <c r="E575" s="1" t="s">
        <v>102</v>
      </c>
      <c r="F575" s="1" t="s">
        <v>1270</v>
      </c>
      <c r="G575" s="1" t="s">
        <v>1046</v>
      </c>
      <c r="H575" s="1">
        <v>3</v>
      </c>
      <c r="I575" s="1">
        <v>1</v>
      </c>
      <c r="J575" s="1"/>
      <c r="K575" s="1" t="s">
        <v>1061</v>
      </c>
      <c r="L575" s="1" t="s">
        <v>1262</v>
      </c>
      <c r="M575" s="1" t="s">
        <v>2028</v>
      </c>
    </row>
    <row r="576" spans="1:13" ht="13.2">
      <c r="A576" s="1" t="s">
        <v>932</v>
      </c>
      <c r="B576" s="1"/>
      <c r="C576" s="1"/>
      <c r="D576" s="1"/>
      <c r="E576" s="1" t="s">
        <v>1045</v>
      </c>
      <c r="F576" s="1" t="s">
        <v>1046</v>
      </c>
      <c r="G576" s="1" t="s">
        <v>1272</v>
      </c>
      <c r="H576" s="1" t="s">
        <v>1046</v>
      </c>
      <c r="I576" s="1" t="s">
        <v>1046</v>
      </c>
      <c r="J576" s="1"/>
      <c r="K576" s="1" t="s">
        <v>1061</v>
      </c>
      <c r="L576" s="1" t="s">
        <v>1262</v>
      </c>
      <c r="M576" s="1" t="s">
        <v>2028</v>
      </c>
    </row>
    <row r="577" spans="1:13" ht="13.2">
      <c r="A577" s="1" t="s">
        <v>469</v>
      </c>
      <c r="B577" s="1"/>
      <c r="C577" s="1"/>
      <c r="D577" s="1"/>
      <c r="E577" s="1" t="s">
        <v>102</v>
      </c>
      <c r="F577" s="1"/>
      <c r="G577" s="1" t="s">
        <v>1046</v>
      </c>
      <c r="H577" s="1"/>
      <c r="I577" s="1"/>
      <c r="J577" s="1"/>
      <c r="K577" s="1" t="s">
        <v>1061</v>
      </c>
      <c r="L577" s="1" t="s">
        <v>1262</v>
      </c>
      <c r="M577" s="1" t="s">
        <v>2028</v>
      </c>
    </row>
    <row r="578" spans="1:13" ht="13.2">
      <c r="A578" s="1" t="s">
        <v>873</v>
      </c>
      <c r="B578" s="1"/>
      <c r="C578" s="1"/>
      <c r="D578" s="1"/>
      <c r="E578" s="1" t="s">
        <v>102</v>
      </c>
      <c r="F578" s="1" t="s">
        <v>1275</v>
      </c>
      <c r="G578" s="1" t="s">
        <v>1046</v>
      </c>
      <c r="H578" s="1"/>
      <c r="I578" s="1"/>
      <c r="J578" s="1"/>
      <c r="K578" s="1" t="s">
        <v>1061</v>
      </c>
      <c r="L578" s="1" t="s">
        <v>1262</v>
      </c>
      <c r="M578" s="1" t="s">
        <v>2028</v>
      </c>
    </row>
    <row r="579" spans="1:13" ht="13.2">
      <c r="A579" s="1" t="s">
        <v>730</v>
      </c>
      <c r="B579" s="1"/>
      <c r="C579" s="1"/>
      <c r="D579" s="1"/>
      <c r="E579" s="1" t="s">
        <v>1045</v>
      </c>
      <c r="F579" s="1" t="s">
        <v>1046</v>
      </c>
      <c r="G579" s="1" t="s">
        <v>1277</v>
      </c>
      <c r="H579" s="1" t="s">
        <v>1046</v>
      </c>
      <c r="I579" s="1" t="s">
        <v>1046</v>
      </c>
      <c r="J579" s="1"/>
      <c r="K579" s="1" t="s">
        <v>1061</v>
      </c>
      <c r="L579" s="1" t="s">
        <v>1262</v>
      </c>
      <c r="M579" s="1" t="s">
        <v>2028</v>
      </c>
    </row>
    <row r="580" spans="1:13" ht="13.2">
      <c r="A580" s="1" t="s">
        <v>665</v>
      </c>
      <c r="B580" s="1" t="s">
        <v>1279</v>
      </c>
      <c r="C580" s="1"/>
      <c r="D580" s="1"/>
      <c r="E580" s="1" t="s">
        <v>1045</v>
      </c>
      <c r="F580" s="1" t="s">
        <v>1046</v>
      </c>
      <c r="G580" s="1" t="s">
        <v>1280</v>
      </c>
      <c r="H580" s="1" t="s">
        <v>1046</v>
      </c>
      <c r="I580" s="1" t="s">
        <v>1046</v>
      </c>
      <c r="J580" s="1"/>
      <c r="K580" s="1" t="s">
        <v>1061</v>
      </c>
      <c r="L580" s="1" t="s">
        <v>1262</v>
      </c>
      <c r="M580" s="1" t="s">
        <v>2028</v>
      </c>
    </row>
    <row r="581" spans="1:13" ht="13.2">
      <c r="A581" s="1" t="s">
        <v>469</v>
      </c>
      <c r="B581" s="1"/>
      <c r="C581" s="1"/>
      <c r="D581" s="1"/>
      <c r="E581" s="1" t="s">
        <v>102</v>
      </c>
      <c r="F581" s="1"/>
      <c r="G581" s="1" t="s">
        <v>1046</v>
      </c>
      <c r="H581" s="1"/>
      <c r="I581" s="1"/>
      <c r="J581" s="1"/>
      <c r="K581" s="1" t="s">
        <v>1061</v>
      </c>
      <c r="L581" s="1" t="s">
        <v>1282</v>
      </c>
      <c r="M581" s="1" t="s">
        <v>2028</v>
      </c>
    </row>
    <row r="582" spans="1:13" ht="13.2">
      <c r="A582" s="1" t="s">
        <v>767</v>
      </c>
      <c r="B582" s="1"/>
      <c r="C582" s="1"/>
      <c r="D582" s="1"/>
      <c r="E582" s="1" t="s">
        <v>1045</v>
      </c>
      <c r="F582" s="1" t="s">
        <v>1046</v>
      </c>
      <c r="G582" s="1" t="s">
        <v>1122</v>
      </c>
      <c r="H582" s="1" t="s">
        <v>1046</v>
      </c>
      <c r="I582" s="1" t="s">
        <v>1046</v>
      </c>
      <c r="J582" s="1"/>
      <c r="K582" s="1" t="s">
        <v>1061</v>
      </c>
      <c r="L582" s="1" t="s">
        <v>1282</v>
      </c>
      <c r="M582" s="1" t="s">
        <v>2028</v>
      </c>
    </row>
    <row r="583" spans="1:13" ht="13.2">
      <c r="A583" s="1" t="s">
        <v>780</v>
      </c>
      <c r="B583" s="1"/>
      <c r="C583" s="1"/>
      <c r="D583" s="1"/>
      <c r="E583" s="1" t="s">
        <v>1045</v>
      </c>
      <c r="F583" s="1" t="s">
        <v>1046</v>
      </c>
      <c r="G583" s="1" t="s">
        <v>1285</v>
      </c>
      <c r="H583" s="1" t="s">
        <v>1046</v>
      </c>
      <c r="I583" s="1" t="s">
        <v>1046</v>
      </c>
      <c r="J583" s="1" t="s">
        <v>1286</v>
      </c>
      <c r="K583" s="1" t="s">
        <v>1061</v>
      </c>
      <c r="L583" s="1" t="s">
        <v>1282</v>
      </c>
      <c r="M583" s="1" t="s">
        <v>2028</v>
      </c>
    </row>
    <row r="584" spans="1:13" ht="13.2">
      <c r="A584" s="1" t="s">
        <v>833</v>
      </c>
      <c r="B584" s="1"/>
      <c r="C584" s="1"/>
      <c r="D584" s="1"/>
      <c r="E584" s="1" t="s">
        <v>1045</v>
      </c>
      <c r="F584" s="1" t="s">
        <v>1046</v>
      </c>
      <c r="G584" s="1" t="s">
        <v>1288</v>
      </c>
      <c r="H584" s="1" t="s">
        <v>1046</v>
      </c>
      <c r="I584" s="1" t="s">
        <v>1046</v>
      </c>
      <c r="J584" s="1" t="s">
        <v>1289</v>
      </c>
      <c r="K584" s="1" t="s">
        <v>1061</v>
      </c>
      <c r="L584" s="1" t="s">
        <v>1282</v>
      </c>
      <c r="M584" s="1" t="s">
        <v>2028</v>
      </c>
    </row>
    <row r="585" spans="1:13" ht="13.2">
      <c r="A585" s="1" t="s">
        <v>875</v>
      </c>
      <c r="B585" s="1"/>
      <c r="C585" s="1"/>
      <c r="D585" s="1"/>
      <c r="E585" s="1" t="s">
        <v>1045</v>
      </c>
      <c r="F585" s="1" t="s">
        <v>1046</v>
      </c>
      <c r="G585" s="1" t="s">
        <v>1124</v>
      </c>
      <c r="H585" s="1" t="s">
        <v>1046</v>
      </c>
      <c r="I585" s="1" t="s">
        <v>1046</v>
      </c>
      <c r="J585" s="1" t="s">
        <v>1291</v>
      </c>
      <c r="K585" s="1" t="s">
        <v>1061</v>
      </c>
      <c r="L585" s="1" t="s">
        <v>1282</v>
      </c>
      <c r="M585" s="1" t="s">
        <v>2028</v>
      </c>
    </row>
    <row r="586" spans="1:13" ht="13.2">
      <c r="A586" s="1" t="s">
        <v>522</v>
      </c>
      <c r="B586" s="1" t="s">
        <v>1128</v>
      </c>
      <c r="C586" s="1"/>
      <c r="D586" s="1"/>
      <c r="E586" s="1" t="s">
        <v>102</v>
      </c>
      <c r="F586" s="1"/>
      <c r="G586" s="1" t="s">
        <v>1046</v>
      </c>
      <c r="H586" s="1"/>
      <c r="I586" s="1"/>
      <c r="J586" s="1" t="s">
        <v>1293</v>
      </c>
      <c r="K586" s="1" t="s">
        <v>1061</v>
      </c>
      <c r="L586" s="1" t="s">
        <v>1282</v>
      </c>
      <c r="M586" s="1" t="s">
        <v>2028</v>
      </c>
    </row>
    <row r="587" spans="1:13" ht="13.2">
      <c r="A587" s="1" t="s">
        <v>516</v>
      </c>
      <c r="B587" s="1" t="s">
        <v>1128</v>
      </c>
      <c r="C587" s="1"/>
      <c r="D587" s="1"/>
      <c r="E587" s="1" t="s">
        <v>102</v>
      </c>
      <c r="F587" s="1"/>
      <c r="G587" s="1" t="s">
        <v>1046</v>
      </c>
      <c r="H587" s="1"/>
      <c r="I587" s="1"/>
      <c r="J587" s="1" t="s">
        <v>1293</v>
      </c>
      <c r="K587" s="1" t="s">
        <v>1061</v>
      </c>
      <c r="L587" s="1" t="s">
        <v>1282</v>
      </c>
      <c r="M587" s="1" t="s">
        <v>2028</v>
      </c>
    </row>
    <row r="588" spans="1:13" ht="13.2">
      <c r="A588" s="1" t="s">
        <v>764</v>
      </c>
      <c r="B588" s="1"/>
      <c r="C588" s="1"/>
      <c r="D588" s="1"/>
      <c r="E588" s="1" t="s">
        <v>1045</v>
      </c>
      <c r="F588" s="1" t="s">
        <v>1046</v>
      </c>
      <c r="G588" s="1" t="s">
        <v>1296</v>
      </c>
      <c r="H588" s="1" t="s">
        <v>1046</v>
      </c>
      <c r="I588" s="1" t="s">
        <v>1046</v>
      </c>
      <c r="J588" s="1"/>
      <c r="K588" s="1" t="s">
        <v>1061</v>
      </c>
      <c r="L588" s="1" t="s">
        <v>1297</v>
      </c>
      <c r="M588" s="1" t="s">
        <v>2028</v>
      </c>
    </row>
    <row r="589" spans="1:13" ht="13.2">
      <c r="A589" s="1" t="s">
        <v>836</v>
      </c>
      <c r="B589" s="1"/>
      <c r="C589" s="1"/>
      <c r="D589" s="1"/>
      <c r="E589" s="1" t="s">
        <v>1045</v>
      </c>
      <c r="F589" s="1" t="s">
        <v>1046</v>
      </c>
      <c r="G589" s="1" t="s">
        <v>1299</v>
      </c>
      <c r="H589" s="1" t="s">
        <v>1046</v>
      </c>
      <c r="I589" s="1" t="s">
        <v>1046</v>
      </c>
      <c r="J589" s="1"/>
      <c r="K589" s="1" t="s">
        <v>1061</v>
      </c>
      <c r="L589" s="1" t="s">
        <v>1297</v>
      </c>
      <c r="M589" s="1" t="s">
        <v>2028</v>
      </c>
    </row>
    <row r="590" spans="1:13" ht="13.2">
      <c r="A590" s="1" t="s">
        <v>734</v>
      </c>
      <c r="B590" s="1"/>
      <c r="C590" s="1"/>
      <c r="D590" s="1"/>
      <c r="E590" s="1" t="s">
        <v>1045</v>
      </c>
      <c r="F590" s="1" t="s">
        <v>1046</v>
      </c>
      <c r="G590" s="1" t="s">
        <v>1301</v>
      </c>
      <c r="H590" s="1" t="s">
        <v>1046</v>
      </c>
      <c r="I590" s="1" t="s">
        <v>1046</v>
      </c>
      <c r="J590" s="1"/>
      <c r="K590" s="1" t="s">
        <v>1061</v>
      </c>
      <c r="L590" s="1" t="s">
        <v>1297</v>
      </c>
      <c r="M590" s="1" t="s">
        <v>2028</v>
      </c>
    </row>
    <row r="591" spans="1:13" ht="13.2">
      <c r="A591" s="1" t="s">
        <v>933</v>
      </c>
      <c r="B591" s="1"/>
      <c r="C591" s="1"/>
      <c r="D591" s="1"/>
      <c r="E591" s="1" t="s">
        <v>1045</v>
      </c>
      <c r="F591" s="1" t="s">
        <v>1046</v>
      </c>
      <c r="G591" s="1" t="s">
        <v>1303</v>
      </c>
      <c r="H591" s="1" t="s">
        <v>1046</v>
      </c>
      <c r="I591" s="1" t="s">
        <v>1046</v>
      </c>
      <c r="J591" s="1"/>
      <c r="K591" s="1" t="s">
        <v>1061</v>
      </c>
      <c r="L591" s="1" t="s">
        <v>1297</v>
      </c>
      <c r="M591" s="1" t="s">
        <v>2028</v>
      </c>
    </row>
    <row r="592" spans="1:13" ht="13.2">
      <c r="A592" s="1" t="s">
        <v>473</v>
      </c>
      <c r="B592" s="1"/>
      <c r="C592" s="1"/>
      <c r="D592" s="1"/>
      <c r="E592" s="1" t="s">
        <v>102</v>
      </c>
      <c r="F592" s="1"/>
      <c r="G592" s="1" t="s">
        <v>1046</v>
      </c>
      <c r="H592" s="1"/>
      <c r="I592" s="1"/>
      <c r="J592" s="1"/>
      <c r="K592" s="1" t="s">
        <v>1061</v>
      </c>
      <c r="L592" s="1" t="s">
        <v>1297</v>
      </c>
      <c r="M592" s="1" t="s">
        <v>2028</v>
      </c>
    </row>
    <row r="593" spans="1:13" ht="13.2">
      <c r="A593" s="1" t="s">
        <v>492</v>
      </c>
      <c r="B593" s="1"/>
      <c r="C593" s="1"/>
      <c r="D593" s="1"/>
      <c r="E593" s="1" t="s">
        <v>102</v>
      </c>
      <c r="F593" s="1"/>
      <c r="G593" s="1" t="s">
        <v>1046</v>
      </c>
      <c r="H593" s="1"/>
      <c r="I593" s="1"/>
      <c r="J593" s="1"/>
      <c r="K593" s="1" t="s">
        <v>1061</v>
      </c>
      <c r="L593" s="1" t="s">
        <v>1297</v>
      </c>
      <c r="M593" s="1" t="s">
        <v>2028</v>
      </c>
    </row>
    <row r="594" spans="1:13" ht="13.2">
      <c r="A594" s="1" t="s">
        <v>563</v>
      </c>
      <c r="B594" s="1"/>
      <c r="C594" s="1"/>
      <c r="D594" s="1"/>
      <c r="E594" s="1" t="s">
        <v>102</v>
      </c>
      <c r="F594" s="1"/>
      <c r="G594" s="1" t="s">
        <v>1046</v>
      </c>
      <c r="H594" s="1"/>
      <c r="I594" s="1"/>
      <c r="J594" s="1"/>
      <c r="K594" s="1" t="s">
        <v>1061</v>
      </c>
      <c r="L594" s="1" t="s">
        <v>1297</v>
      </c>
      <c r="M594" s="1" t="s">
        <v>2028</v>
      </c>
    </row>
    <row r="595" spans="1:13" ht="13.2">
      <c r="A595" s="1" t="s">
        <v>574</v>
      </c>
      <c r="B595" s="1"/>
      <c r="C595" s="1"/>
      <c r="D595" s="1"/>
      <c r="E595" s="1" t="s">
        <v>102</v>
      </c>
      <c r="F595" s="1"/>
      <c r="G595" s="1" t="s">
        <v>1046</v>
      </c>
      <c r="H595" s="1"/>
      <c r="I595" s="1"/>
      <c r="J595" s="1"/>
      <c r="K595" s="1" t="s">
        <v>1061</v>
      </c>
      <c r="L595" s="1" t="s">
        <v>1297</v>
      </c>
      <c r="M595" s="1" t="s">
        <v>2028</v>
      </c>
    </row>
    <row r="596" spans="1:13" ht="13.2">
      <c r="A596" s="1" t="s">
        <v>579</v>
      </c>
      <c r="B596" s="1"/>
      <c r="C596" s="1"/>
      <c r="D596" s="1"/>
      <c r="E596" s="1" t="s">
        <v>102</v>
      </c>
      <c r="F596" s="1"/>
      <c r="G596" s="1" t="s">
        <v>1046</v>
      </c>
      <c r="H596" s="1"/>
      <c r="I596" s="1"/>
      <c r="J596" s="1"/>
      <c r="K596" s="1" t="s">
        <v>1061</v>
      </c>
      <c r="L596" s="1" t="s">
        <v>1297</v>
      </c>
      <c r="M596" s="1" t="s">
        <v>2028</v>
      </c>
    </row>
    <row r="597" spans="1:13" ht="13.2">
      <c r="A597" s="1" t="s">
        <v>586</v>
      </c>
      <c r="B597" s="1"/>
      <c r="C597" s="1"/>
      <c r="D597" s="1"/>
      <c r="E597" s="1" t="s">
        <v>102</v>
      </c>
      <c r="F597" s="1"/>
      <c r="G597" s="1" t="s">
        <v>1046</v>
      </c>
      <c r="H597" s="1"/>
      <c r="I597" s="1"/>
      <c r="J597" s="1"/>
      <c r="K597" s="1" t="s">
        <v>1061</v>
      </c>
      <c r="L597" s="1" t="s">
        <v>1297</v>
      </c>
      <c r="M597" s="1" t="s">
        <v>2028</v>
      </c>
    </row>
    <row r="598" spans="1:13" ht="13.2">
      <c r="A598" s="1" t="s">
        <v>583</v>
      </c>
      <c r="B598" s="1"/>
      <c r="C598" s="1"/>
      <c r="D598" s="1"/>
      <c r="E598" s="1" t="s">
        <v>102</v>
      </c>
      <c r="F598" s="1"/>
      <c r="G598" s="1" t="s">
        <v>1046</v>
      </c>
      <c r="H598" s="1"/>
      <c r="I598" s="1"/>
      <c r="J598" s="1"/>
      <c r="K598" s="1" t="s">
        <v>1061</v>
      </c>
      <c r="L598" s="1" t="s">
        <v>1297</v>
      </c>
      <c r="M598" s="1" t="s">
        <v>2028</v>
      </c>
    </row>
    <row r="599" spans="1:13" ht="13.2">
      <c r="A599" s="1" t="s">
        <v>568</v>
      </c>
      <c r="B599" s="1"/>
      <c r="C599" s="1"/>
      <c r="D599" s="1"/>
      <c r="E599" s="1" t="s">
        <v>102</v>
      </c>
      <c r="F599" s="1"/>
      <c r="G599" s="1" t="s">
        <v>1046</v>
      </c>
      <c r="H599" s="1"/>
      <c r="I599" s="1"/>
      <c r="J599" s="1"/>
      <c r="K599" s="1" t="s">
        <v>1061</v>
      </c>
      <c r="L599" s="1" t="s">
        <v>1297</v>
      </c>
      <c r="M599" s="1" t="s">
        <v>2028</v>
      </c>
    </row>
    <row r="600" spans="1:13" ht="13.2">
      <c r="A600" s="1" t="s">
        <v>507</v>
      </c>
      <c r="B600" s="1"/>
      <c r="C600" s="1"/>
      <c r="D600" s="1"/>
      <c r="E600" s="1" t="s">
        <v>102</v>
      </c>
      <c r="F600" s="1"/>
      <c r="G600" s="1" t="s">
        <v>1046</v>
      </c>
      <c r="H600" s="1"/>
      <c r="I600" s="1"/>
      <c r="J600" s="1"/>
      <c r="K600" s="1" t="s">
        <v>1061</v>
      </c>
      <c r="L600" s="1" t="s">
        <v>1297</v>
      </c>
      <c r="M600" s="1" t="s">
        <v>2028</v>
      </c>
    </row>
    <row r="601" spans="1:13" ht="13.2">
      <c r="A601" s="1" t="s">
        <v>518</v>
      </c>
      <c r="B601" s="1"/>
      <c r="C601" s="1"/>
      <c r="D601" s="1"/>
      <c r="E601" s="1" t="s">
        <v>102</v>
      </c>
      <c r="F601" s="1"/>
      <c r="G601" s="1" t="s">
        <v>1046</v>
      </c>
      <c r="H601" s="1"/>
      <c r="I601" s="1"/>
      <c r="J601" s="1"/>
      <c r="K601" s="1" t="s">
        <v>1061</v>
      </c>
      <c r="L601" s="1" t="s">
        <v>1297</v>
      </c>
      <c r="M601" s="1" t="s">
        <v>2028</v>
      </c>
    </row>
    <row r="602" spans="1:13" ht="13.2">
      <c r="A602" s="1" t="s">
        <v>769</v>
      </c>
      <c r="B602" s="1" t="s">
        <v>764</v>
      </c>
      <c r="C602" s="1"/>
      <c r="D602" s="1"/>
      <c r="E602" s="1" t="s">
        <v>1045</v>
      </c>
      <c r="F602" s="1" t="s">
        <v>1046</v>
      </c>
      <c r="G602" s="1" t="s">
        <v>1083</v>
      </c>
      <c r="H602" s="1" t="s">
        <v>1046</v>
      </c>
      <c r="I602" s="1" t="s">
        <v>1046</v>
      </c>
      <c r="J602" s="1"/>
      <c r="K602" s="1" t="s">
        <v>1061</v>
      </c>
      <c r="L602" s="1" t="s">
        <v>1315</v>
      </c>
      <c r="M602" s="1" t="s">
        <v>2028</v>
      </c>
    </row>
    <row r="603" spans="1:13" ht="13.2">
      <c r="A603" s="1" t="s">
        <v>497</v>
      </c>
      <c r="B603" s="1"/>
      <c r="C603" s="1"/>
      <c r="D603" s="1"/>
      <c r="E603" s="1" t="s">
        <v>102</v>
      </c>
      <c r="F603" s="1"/>
      <c r="G603" s="1" t="s">
        <v>1046</v>
      </c>
      <c r="H603" s="1"/>
      <c r="I603" s="1"/>
      <c r="J603" s="1"/>
      <c r="K603" s="1" t="s">
        <v>1061</v>
      </c>
      <c r="L603" s="1" t="s">
        <v>1315</v>
      </c>
      <c r="M603" s="1" t="s">
        <v>2028</v>
      </c>
    </row>
    <row r="604" spans="1:13" ht="13.2">
      <c r="A604" s="1" t="s">
        <v>560</v>
      </c>
      <c r="B604" s="1"/>
      <c r="C604" s="1"/>
      <c r="D604" s="1"/>
      <c r="E604" s="1" t="s">
        <v>102</v>
      </c>
      <c r="F604" s="1"/>
      <c r="G604" s="1" t="s">
        <v>1046</v>
      </c>
      <c r="H604" s="1"/>
      <c r="I604" s="1"/>
      <c r="J604" s="1"/>
      <c r="K604" s="1" t="s">
        <v>1061</v>
      </c>
      <c r="L604" s="1" t="s">
        <v>1315</v>
      </c>
      <c r="M604" s="1" t="s">
        <v>2028</v>
      </c>
    </row>
    <row r="605" spans="1:13" ht="13.2">
      <c r="A605" s="1" t="s">
        <v>573</v>
      </c>
      <c r="B605" s="1"/>
      <c r="C605" s="1"/>
      <c r="D605" s="1"/>
      <c r="E605" s="1" t="s">
        <v>102</v>
      </c>
      <c r="F605" s="1"/>
      <c r="G605" s="1" t="s">
        <v>1046</v>
      </c>
      <c r="H605" s="1"/>
      <c r="I605" s="1"/>
      <c r="J605" s="1"/>
      <c r="K605" s="1" t="s">
        <v>1061</v>
      </c>
      <c r="L605" s="1" t="s">
        <v>1315</v>
      </c>
      <c r="M605" s="1" t="s">
        <v>2028</v>
      </c>
    </row>
    <row r="606" spans="1:13" ht="13.2">
      <c r="A606" s="1" t="s">
        <v>575</v>
      </c>
      <c r="B606" s="1"/>
      <c r="C606" s="1"/>
      <c r="D606" s="1"/>
      <c r="E606" s="1" t="s">
        <v>102</v>
      </c>
      <c r="F606" s="1"/>
      <c r="G606" s="1" t="s">
        <v>1046</v>
      </c>
      <c r="H606" s="1"/>
      <c r="I606" s="1"/>
      <c r="J606" s="1"/>
      <c r="K606" s="1" t="s">
        <v>1061</v>
      </c>
      <c r="L606" s="1" t="s">
        <v>1315</v>
      </c>
      <c r="M606" s="1" t="s">
        <v>2028</v>
      </c>
    </row>
    <row r="607" spans="1:13" ht="13.2">
      <c r="A607" s="1" t="s">
        <v>581</v>
      </c>
      <c r="B607" s="1"/>
      <c r="C607" s="1"/>
      <c r="D607" s="1"/>
      <c r="E607" s="1" t="s">
        <v>102</v>
      </c>
      <c r="F607" s="1"/>
      <c r="G607" s="1" t="s">
        <v>1046</v>
      </c>
      <c r="H607" s="1"/>
      <c r="I607" s="1"/>
      <c r="J607" s="1"/>
      <c r="K607" s="1" t="s">
        <v>1061</v>
      </c>
      <c r="L607" s="1" t="s">
        <v>1315</v>
      </c>
      <c r="M607" s="1" t="s">
        <v>2028</v>
      </c>
    </row>
    <row r="608" spans="1:13" ht="13.2">
      <c r="A608" s="1" t="s">
        <v>566</v>
      </c>
      <c r="B608" s="1"/>
      <c r="C608" s="1"/>
      <c r="D608" s="1"/>
      <c r="E608" s="1" t="s">
        <v>102</v>
      </c>
      <c r="F608" s="1"/>
      <c r="G608" s="1" t="s">
        <v>1046</v>
      </c>
      <c r="H608" s="1"/>
      <c r="I608" s="1"/>
      <c r="J608" s="1"/>
      <c r="K608" s="1" t="s">
        <v>1061</v>
      </c>
      <c r="L608" s="1" t="s">
        <v>1315</v>
      </c>
      <c r="M608" s="1" t="s">
        <v>2028</v>
      </c>
    </row>
    <row r="609" spans="1:13" ht="13.2">
      <c r="A609" s="1" t="s">
        <v>584</v>
      </c>
      <c r="B609" s="1"/>
      <c r="C609" s="1"/>
      <c r="D609" s="1"/>
      <c r="E609" s="1" t="s">
        <v>102</v>
      </c>
      <c r="F609" s="1"/>
      <c r="G609" s="1" t="s">
        <v>1046</v>
      </c>
      <c r="H609" s="1"/>
      <c r="I609" s="1"/>
      <c r="J609" s="1"/>
      <c r="K609" s="1" t="s">
        <v>1061</v>
      </c>
      <c r="L609" s="1" t="s">
        <v>1315</v>
      </c>
      <c r="M609" s="1" t="s">
        <v>2028</v>
      </c>
    </row>
    <row r="610" spans="1:13" ht="13.2">
      <c r="A610" s="1" t="s">
        <v>764</v>
      </c>
      <c r="B610" s="1"/>
      <c r="C610" s="1"/>
      <c r="D610" s="1"/>
      <c r="E610" s="1" t="s">
        <v>1045</v>
      </c>
      <c r="F610" s="1" t="s">
        <v>1046</v>
      </c>
      <c r="G610" s="1" t="s">
        <v>1296</v>
      </c>
      <c r="H610" s="1" t="s">
        <v>1046</v>
      </c>
      <c r="I610" s="1" t="s">
        <v>1046</v>
      </c>
      <c r="J610" s="1"/>
      <c r="K610" s="1" t="s">
        <v>1061</v>
      </c>
      <c r="L610" s="1" t="s">
        <v>1324</v>
      </c>
      <c r="M610" s="1" t="s">
        <v>2028</v>
      </c>
    </row>
    <row r="611" spans="1:13" ht="13.2">
      <c r="A611" s="1" t="s">
        <v>836</v>
      </c>
      <c r="B611" s="1"/>
      <c r="C611" s="1"/>
      <c r="D611" s="1"/>
      <c r="E611" s="1" t="s">
        <v>1045</v>
      </c>
      <c r="F611" s="1" t="s">
        <v>1046</v>
      </c>
      <c r="G611" s="1" t="s">
        <v>1299</v>
      </c>
      <c r="H611" s="1" t="s">
        <v>1046</v>
      </c>
      <c r="I611" s="1" t="s">
        <v>1046</v>
      </c>
      <c r="J611" s="1"/>
      <c r="K611" s="1" t="s">
        <v>1061</v>
      </c>
      <c r="L611" s="1" t="s">
        <v>1324</v>
      </c>
      <c r="M611" s="1" t="s">
        <v>2028</v>
      </c>
    </row>
    <row r="612" spans="1:13" ht="13.2">
      <c r="A612" s="1" t="s">
        <v>734</v>
      </c>
      <c r="B612" s="1"/>
      <c r="C612" s="1"/>
      <c r="D612" s="1"/>
      <c r="E612" s="1" t="s">
        <v>1045</v>
      </c>
      <c r="F612" s="1" t="s">
        <v>1046</v>
      </c>
      <c r="G612" s="1" t="s">
        <v>1301</v>
      </c>
      <c r="H612" s="1" t="s">
        <v>1046</v>
      </c>
      <c r="I612" s="1" t="s">
        <v>1046</v>
      </c>
      <c r="J612" s="1"/>
      <c r="K612" s="1" t="s">
        <v>1061</v>
      </c>
      <c r="L612" s="1" t="s">
        <v>1324</v>
      </c>
      <c r="M612" s="1" t="s">
        <v>2028</v>
      </c>
    </row>
    <row r="613" spans="1:13" ht="13.2">
      <c r="A613" s="1" t="s">
        <v>933</v>
      </c>
      <c r="B613" s="1"/>
      <c r="C613" s="1"/>
      <c r="D613" s="1"/>
      <c r="E613" s="1" t="s">
        <v>1045</v>
      </c>
      <c r="F613" s="1" t="s">
        <v>1046</v>
      </c>
      <c r="G613" s="1" t="s">
        <v>1303</v>
      </c>
      <c r="H613" s="1" t="s">
        <v>1046</v>
      </c>
      <c r="I613" s="1" t="s">
        <v>1046</v>
      </c>
      <c r="J613" s="1"/>
      <c r="K613" s="1" t="s">
        <v>1061</v>
      </c>
      <c r="L613" s="1" t="s">
        <v>1324</v>
      </c>
      <c r="M613" s="1" t="s">
        <v>2028</v>
      </c>
    </row>
    <row r="614" spans="1:13" ht="13.2">
      <c r="A614" s="1" t="s">
        <v>473</v>
      </c>
      <c r="B614" s="1"/>
      <c r="C614" s="1"/>
      <c r="D614" s="1"/>
      <c r="E614" s="1" t="s">
        <v>102</v>
      </c>
      <c r="F614" s="1"/>
      <c r="G614" s="1" t="s">
        <v>1046</v>
      </c>
      <c r="H614" s="1"/>
      <c r="I614" s="1"/>
      <c r="J614" s="1"/>
      <c r="K614" s="1" t="s">
        <v>1061</v>
      </c>
      <c r="L614" s="1" t="s">
        <v>1324</v>
      </c>
      <c r="M614" s="1" t="s">
        <v>2028</v>
      </c>
    </row>
    <row r="615" spans="1:13" ht="13.2">
      <c r="A615" s="1" t="s">
        <v>492</v>
      </c>
      <c r="B615" s="1"/>
      <c r="C615" s="1"/>
      <c r="D615" s="1"/>
      <c r="E615" s="1" t="s">
        <v>102</v>
      </c>
      <c r="F615" s="1"/>
      <c r="G615" s="1" t="s">
        <v>1046</v>
      </c>
      <c r="H615" s="1"/>
      <c r="I615" s="1"/>
      <c r="J615" s="1"/>
      <c r="K615" s="1" t="s">
        <v>1061</v>
      </c>
      <c r="L615" s="1" t="s">
        <v>1324</v>
      </c>
      <c r="M615" s="1" t="s">
        <v>2028</v>
      </c>
    </row>
    <row r="616" spans="1:13" ht="13.2">
      <c r="A616" s="1" t="s">
        <v>563</v>
      </c>
      <c r="B616" s="1"/>
      <c r="C616" s="1"/>
      <c r="D616" s="1"/>
      <c r="E616" s="1" t="s">
        <v>102</v>
      </c>
      <c r="F616" s="1"/>
      <c r="G616" s="1" t="s">
        <v>1046</v>
      </c>
      <c r="H616" s="1"/>
      <c r="I616" s="1"/>
      <c r="J616" s="1"/>
      <c r="K616" s="1" t="s">
        <v>1061</v>
      </c>
      <c r="L616" s="1" t="s">
        <v>1324</v>
      </c>
      <c r="M616" s="1" t="s">
        <v>2028</v>
      </c>
    </row>
    <row r="617" spans="1:13" ht="13.2">
      <c r="A617" s="1" t="s">
        <v>574</v>
      </c>
      <c r="B617" s="1"/>
      <c r="C617" s="1"/>
      <c r="D617" s="1"/>
      <c r="E617" s="1" t="s">
        <v>102</v>
      </c>
      <c r="F617" s="1"/>
      <c r="G617" s="1" t="s">
        <v>1046</v>
      </c>
      <c r="H617" s="1"/>
      <c r="I617" s="1"/>
      <c r="J617" s="1"/>
      <c r="K617" s="1" t="s">
        <v>1061</v>
      </c>
      <c r="L617" s="1" t="s">
        <v>1324</v>
      </c>
      <c r="M617" s="1" t="s">
        <v>2028</v>
      </c>
    </row>
    <row r="618" spans="1:13" ht="13.2">
      <c r="A618" s="1" t="s">
        <v>579</v>
      </c>
      <c r="B618" s="1"/>
      <c r="C618" s="1"/>
      <c r="D618" s="1"/>
      <c r="E618" s="1" t="s">
        <v>102</v>
      </c>
      <c r="F618" s="1"/>
      <c r="G618" s="1" t="s">
        <v>1046</v>
      </c>
      <c r="H618" s="1"/>
      <c r="I618" s="1"/>
      <c r="J618" s="1"/>
      <c r="K618" s="1" t="s">
        <v>1061</v>
      </c>
      <c r="L618" s="1" t="s">
        <v>1324</v>
      </c>
      <c r="M618" s="1" t="s">
        <v>2028</v>
      </c>
    </row>
    <row r="619" spans="1:13" ht="13.2">
      <c r="A619" s="1" t="s">
        <v>586</v>
      </c>
      <c r="B619" s="1"/>
      <c r="C619" s="1"/>
      <c r="D619" s="1"/>
      <c r="E619" s="1" t="s">
        <v>102</v>
      </c>
      <c r="F619" s="1"/>
      <c r="G619" s="1" t="s">
        <v>1046</v>
      </c>
      <c r="H619" s="1"/>
      <c r="I619" s="1"/>
      <c r="J619" s="1"/>
      <c r="K619" s="1" t="s">
        <v>1061</v>
      </c>
      <c r="L619" s="1" t="s">
        <v>1324</v>
      </c>
      <c r="M619" s="1" t="s">
        <v>2028</v>
      </c>
    </row>
    <row r="620" spans="1:13" ht="13.2">
      <c r="A620" s="1" t="s">
        <v>583</v>
      </c>
      <c r="B620" s="1"/>
      <c r="C620" s="1"/>
      <c r="D620" s="1"/>
      <c r="E620" s="1" t="s">
        <v>102</v>
      </c>
      <c r="F620" s="1"/>
      <c r="G620" s="1" t="s">
        <v>1046</v>
      </c>
      <c r="H620" s="1"/>
      <c r="I620" s="1"/>
      <c r="J620" s="1"/>
      <c r="K620" s="1" t="s">
        <v>1061</v>
      </c>
      <c r="L620" s="1" t="s">
        <v>1324</v>
      </c>
      <c r="M620" s="1" t="s">
        <v>2028</v>
      </c>
    </row>
    <row r="621" spans="1:13" ht="13.2">
      <c r="A621" s="1" t="s">
        <v>568</v>
      </c>
      <c r="B621" s="1"/>
      <c r="C621" s="1"/>
      <c r="D621" s="1"/>
      <c r="E621" s="1" t="s">
        <v>102</v>
      </c>
      <c r="F621" s="1"/>
      <c r="G621" s="1" t="s">
        <v>1046</v>
      </c>
      <c r="H621" s="1"/>
      <c r="I621" s="1"/>
      <c r="J621" s="1"/>
      <c r="K621" s="1" t="s">
        <v>1061</v>
      </c>
      <c r="L621" s="1" t="s">
        <v>1324</v>
      </c>
      <c r="M621" s="1" t="s">
        <v>2028</v>
      </c>
    </row>
    <row r="622" spans="1:13" ht="13.2">
      <c r="A622" s="1" t="s">
        <v>507</v>
      </c>
      <c r="B622" s="1"/>
      <c r="C622" s="1"/>
      <c r="D622" s="1"/>
      <c r="E622" s="1" t="s">
        <v>102</v>
      </c>
      <c r="F622" s="1"/>
      <c r="G622" s="1" t="s">
        <v>1046</v>
      </c>
      <c r="H622" s="1"/>
      <c r="I622" s="1"/>
      <c r="J622" s="1"/>
      <c r="K622" s="1" t="s">
        <v>1061</v>
      </c>
      <c r="L622" s="1" t="s">
        <v>1324</v>
      </c>
      <c r="M622" s="1" t="s">
        <v>2028</v>
      </c>
    </row>
    <row r="623" spans="1:13" ht="13.2">
      <c r="A623" s="1" t="s">
        <v>518</v>
      </c>
      <c r="B623" s="1"/>
      <c r="C623" s="1"/>
      <c r="D623" s="1"/>
      <c r="E623" s="1" t="s">
        <v>102</v>
      </c>
      <c r="F623" s="1"/>
      <c r="G623" s="1" t="s">
        <v>1046</v>
      </c>
      <c r="H623" s="1"/>
      <c r="I623" s="1"/>
      <c r="J623" s="1"/>
      <c r="K623" s="1" t="s">
        <v>1061</v>
      </c>
      <c r="L623" s="1" t="s">
        <v>1324</v>
      </c>
      <c r="M623" s="1" t="s">
        <v>2028</v>
      </c>
    </row>
    <row r="624" spans="1:13" ht="13.2">
      <c r="A624" s="1" t="s">
        <v>837</v>
      </c>
      <c r="B624" s="1"/>
      <c r="C624" s="1"/>
      <c r="D624" s="1"/>
      <c r="E624" s="1" t="s">
        <v>1045</v>
      </c>
      <c r="F624" s="1" t="s">
        <v>1046</v>
      </c>
      <c r="G624" s="1" t="s">
        <v>1339</v>
      </c>
      <c r="H624" s="1" t="s">
        <v>1046</v>
      </c>
      <c r="I624" s="1" t="s">
        <v>1046</v>
      </c>
      <c r="J624" s="1"/>
      <c r="K624" s="1" t="s">
        <v>1061</v>
      </c>
      <c r="L624" s="1" t="s">
        <v>1340</v>
      </c>
      <c r="M624" s="1" t="s">
        <v>2028</v>
      </c>
    </row>
    <row r="625" spans="1:13" ht="13.2">
      <c r="A625" s="1" t="s">
        <v>758</v>
      </c>
      <c r="B625" s="1"/>
      <c r="C625" s="1"/>
      <c r="D625" s="1"/>
      <c r="E625" s="1" t="s">
        <v>102</v>
      </c>
      <c r="F625" s="1"/>
      <c r="G625" s="1" t="s">
        <v>1046</v>
      </c>
      <c r="H625" s="1"/>
      <c r="I625" s="1"/>
      <c r="J625" s="1" t="s">
        <v>1342</v>
      </c>
      <c r="K625" s="1" t="s">
        <v>1061</v>
      </c>
      <c r="L625" s="1" t="s">
        <v>1340</v>
      </c>
      <c r="M625" s="1" t="s">
        <v>2028</v>
      </c>
    </row>
    <row r="626" spans="1:13" ht="13.2">
      <c r="A626" s="1" t="s">
        <v>770</v>
      </c>
      <c r="B626" s="1"/>
      <c r="C626" s="1"/>
      <c r="D626" s="1"/>
      <c r="E626" s="1" t="s">
        <v>1045</v>
      </c>
      <c r="F626" s="1" t="s">
        <v>1046</v>
      </c>
      <c r="G626" s="1" t="s">
        <v>1344</v>
      </c>
      <c r="H626" s="1" t="s">
        <v>1046</v>
      </c>
      <c r="I626" s="1" t="s">
        <v>1046</v>
      </c>
      <c r="J626" s="1"/>
      <c r="K626" s="1" t="s">
        <v>1061</v>
      </c>
      <c r="L626" s="1" t="s">
        <v>1345</v>
      </c>
      <c r="M626" s="1" t="s">
        <v>2028</v>
      </c>
    </row>
    <row r="627" spans="1:13" ht="13.2">
      <c r="A627" s="1" t="s">
        <v>497</v>
      </c>
      <c r="B627" s="1"/>
      <c r="C627" s="1"/>
      <c r="D627" s="1"/>
      <c r="E627" s="1" t="s">
        <v>102</v>
      </c>
      <c r="F627" s="1"/>
      <c r="G627" s="1" t="s">
        <v>1046</v>
      </c>
      <c r="H627" s="1"/>
      <c r="I627" s="1"/>
      <c r="J627" s="1"/>
      <c r="K627" s="1" t="s">
        <v>1061</v>
      </c>
      <c r="L627" s="1" t="s">
        <v>1345</v>
      </c>
      <c r="M627" s="1" t="s">
        <v>2028</v>
      </c>
    </row>
    <row r="628" spans="1:13" ht="13.2">
      <c r="A628" s="1" t="s">
        <v>560</v>
      </c>
      <c r="B628" s="1"/>
      <c r="C628" s="1"/>
      <c r="D628" s="1"/>
      <c r="E628" s="1" t="s">
        <v>102</v>
      </c>
      <c r="F628" s="1"/>
      <c r="G628" s="1" t="s">
        <v>1046</v>
      </c>
      <c r="H628" s="1"/>
      <c r="I628" s="1"/>
      <c r="J628" s="1"/>
      <c r="K628" s="1" t="s">
        <v>1061</v>
      </c>
      <c r="L628" s="1" t="s">
        <v>1345</v>
      </c>
      <c r="M628" s="1" t="s">
        <v>2028</v>
      </c>
    </row>
    <row r="629" spans="1:13" ht="13.2">
      <c r="A629" s="1" t="s">
        <v>573</v>
      </c>
      <c r="B629" s="1"/>
      <c r="C629" s="1"/>
      <c r="D629" s="1"/>
      <c r="E629" s="1" t="s">
        <v>102</v>
      </c>
      <c r="F629" s="1"/>
      <c r="G629" s="1" t="s">
        <v>1046</v>
      </c>
      <c r="H629" s="1"/>
      <c r="I629" s="1"/>
      <c r="J629" s="1"/>
      <c r="K629" s="1" t="s">
        <v>1061</v>
      </c>
      <c r="L629" s="1" t="s">
        <v>1345</v>
      </c>
      <c r="M629" s="1" t="s">
        <v>2028</v>
      </c>
    </row>
    <row r="630" spans="1:13" ht="13.2">
      <c r="A630" s="1" t="s">
        <v>575</v>
      </c>
      <c r="B630" s="1"/>
      <c r="C630" s="1"/>
      <c r="D630" s="1"/>
      <c r="E630" s="1" t="s">
        <v>102</v>
      </c>
      <c r="F630" s="1"/>
      <c r="G630" s="1" t="s">
        <v>1046</v>
      </c>
      <c r="H630" s="1"/>
      <c r="I630" s="1"/>
      <c r="J630" s="1"/>
      <c r="K630" s="1" t="s">
        <v>1061</v>
      </c>
      <c r="L630" s="1" t="s">
        <v>1345</v>
      </c>
      <c r="M630" s="1" t="s">
        <v>2028</v>
      </c>
    </row>
    <row r="631" spans="1:13" ht="13.2">
      <c r="A631" s="1" t="s">
        <v>581</v>
      </c>
      <c r="B631" s="1"/>
      <c r="C631" s="1"/>
      <c r="D631" s="1"/>
      <c r="E631" s="1" t="s">
        <v>102</v>
      </c>
      <c r="F631" s="1"/>
      <c r="G631" s="1" t="s">
        <v>1046</v>
      </c>
      <c r="H631" s="1"/>
      <c r="I631" s="1"/>
      <c r="J631" s="1"/>
      <c r="K631" s="1" t="s">
        <v>1061</v>
      </c>
      <c r="L631" s="1" t="s">
        <v>1345</v>
      </c>
      <c r="M631" s="1" t="s">
        <v>2028</v>
      </c>
    </row>
    <row r="632" spans="1:13" ht="13.2">
      <c r="A632" s="1" t="s">
        <v>566</v>
      </c>
      <c r="B632" s="1"/>
      <c r="C632" s="1"/>
      <c r="D632" s="1"/>
      <c r="E632" s="1" t="s">
        <v>102</v>
      </c>
      <c r="F632" s="1"/>
      <c r="G632" s="1" t="s">
        <v>1046</v>
      </c>
      <c r="H632" s="1"/>
      <c r="I632" s="1"/>
      <c r="J632" s="1"/>
      <c r="K632" s="1" t="s">
        <v>1061</v>
      </c>
      <c r="L632" s="1" t="s">
        <v>1345</v>
      </c>
      <c r="M632" s="1" t="s">
        <v>2028</v>
      </c>
    </row>
    <row r="633" spans="1:13" ht="13.2">
      <c r="A633" s="1" t="s">
        <v>584</v>
      </c>
      <c r="B633" s="1"/>
      <c r="C633" s="1"/>
      <c r="D633" s="1"/>
      <c r="E633" s="1" t="s">
        <v>102</v>
      </c>
      <c r="F633" s="1"/>
      <c r="G633" s="1" t="s">
        <v>1046</v>
      </c>
      <c r="H633" s="1"/>
      <c r="I633" s="1"/>
      <c r="J633" s="1"/>
      <c r="K633" s="1" t="s">
        <v>1061</v>
      </c>
      <c r="L633" s="1" t="s">
        <v>1345</v>
      </c>
      <c r="M633" s="1" t="s">
        <v>2028</v>
      </c>
    </row>
    <row r="634" spans="1:13" ht="13.2">
      <c r="A634" s="1" t="s">
        <v>497</v>
      </c>
      <c r="B634" s="1"/>
      <c r="C634" s="1"/>
      <c r="D634" s="1"/>
      <c r="E634" s="1" t="s">
        <v>102</v>
      </c>
      <c r="F634" s="1" t="s">
        <v>1354</v>
      </c>
      <c r="G634" s="1" t="s">
        <v>1046</v>
      </c>
      <c r="H634" s="1"/>
      <c r="I634" s="1"/>
      <c r="J634" s="1"/>
      <c r="K634" s="1" t="s">
        <v>1061</v>
      </c>
      <c r="L634" s="1" t="s">
        <v>1355</v>
      </c>
      <c r="M634" s="1" t="s">
        <v>2028</v>
      </c>
    </row>
    <row r="635" spans="1:13" ht="13.2">
      <c r="A635" s="1" t="s">
        <v>513</v>
      </c>
      <c r="B635" s="1"/>
      <c r="C635" s="1"/>
      <c r="D635" s="1"/>
      <c r="E635" s="1" t="s">
        <v>102</v>
      </c>
      <c r="F635" s="1"/>
      <c r="G635" s="1" t="s">
        <v>1046</v>
      </c>
      <c r="H635" s="1"/>
      <c r="I635" s="1"/>
      <c r="J635" s="1"/>
      <c r="K635" s="1" t="s">
        <v>1061</v>
      </c>
      <c r="L635" s="1" t="s">
        <v>1355</v>
      </c>
      <c r="M635" s="1" t="s">
        <v>2028</v>
      </c>
    </row>
    <row r="636" spans="1:13" ht="13.2">
      <c r="A636" s="1" t="s">
        <v>524</v>
      </c>
      <c r="B636" s="1"/>
      <c r="C636" s="1"/>
      <c r="D636" s="1"/>
      <c r="E636" s="1" t="s">
        <v>102</v>
      </c>
      <c r="F636" s="1"/>
      <c r="G636" s="1" t="s">
        <v>1046</v>
      </c>
      <c r="H636" s="1"/>
      <c r="I636" s="1"/>
      <c r="J636" s="1"/>
      <c r="K636" s="1" t="s">
        <v>1061</v>
      </c>
      <c r="L636" s="1" t="s">
        <v>1355</v>
      </c>
      <c r="M636" s="1" t="s">
        <v>2028</v>
      </c>
    </row>
    <row r="637" spans="1:13" ht="13.2">
      <c r="A637" s="1" t="s">
        <v>469</v>
      </c>
      <c r="B637" s="1"/>
      <c r="C637" s="1"/>
      <c r="D637" s="1"/>
      <c r="E637" s="1" t="s">
        <v>102</v>
      </c>
      <c r="F637" s="1" t="s">
        <v>1136</v>
      </c>
      <c r="G637" s="1" t="s">
        <v>1046</v>
      </c>
      <c r="H637" s="1"/>
      <c r="I637" s="1"/>
      <c r="J637" s="1"/>
      <c r="K637" s="1" t="s">
        <v>1061</v>
      </c>
      <c r="L637" s="1" t="s">
        <v>1355</v>
      </c>
      <c r="M637" s="1" t="s">
        <v>2028</v>
      </c>
    </row>
    <row r="638" spans="1:13" ht="13.2">
      <c r="A638" s="1" t="s">
        <v>966</v>
      </c>
      <c r="B638" s="1"/>
      <c r="C638" s="1"/>
      <c r="D638" s="1"/>
      <c r="E638" s="1" t="s">
        <v>1045</v>
      </c>
      <c r="F638" s="1" t="s">
        <v>1046</v>
      </c>
      <c r="G638" s="1" t="s">
        <v>1360</v>
      </c>
      <c r="H638" s="1" t="s">
        <v>1046</v>
      </c>
      <c r="I638" s="1" t="s">
        <v>1046</v>
      </c>
      <c r="J638" s="1"/>
      <c r="K638" s="1" t="s">
        <v>1061</v>
      </c>
      <c r="L638" s="1" t="s">
        <v>1355</v>
      </c>
      <c r="M638" s="1" t="s">
        <v>2028</v>
      </c>
    </row>
    <row r="639" spans="1:13" ht="13.2">
      <c r="A639" s="1" t="s">
        <v>771</v>
      </c>
      <c r="B639" s="1"/>
      <c r="C639" s="1"/>
      <c r="D639" s="1"/>
      <c r="E639" s="1" t="s">
        <v>1045</v>
      </c>
      <c r="F639" s="1" t="s">
        <v>1046</v>
      </c>
      <c r="G639" s="1" t="s">
        <v>1362</v>
      </c>
      <c r="H639" s="1" t="s">
        <v>1046</v>
      </c>
      <c r="I639" s="1" t="s">
        <v>1046</v>
      </c>
      <c r="J639" s="1"/>
      <c r="K639" s="1" t="s">
        <v>1061</v>
      </c>
      <c r="L639" s="1" t="s">
        <v>1363</v>
      </c>
      <c r="M639" s="1" t="s">
        <v>2028</v>
      </c>
    </row>
    <row r="640" spans="1:13" ht="13.2">
      <c r="A640" s="1" t="s">
        <v>764</v>
      </c>
      <c r="B640" s="1"/>
      <c r="C640" s="1"/>
      <c r="D640" s="1"/>
      <c r="E640" s="1" t="s">
        <v>1045</v>
      </c>
      <c r="F640" s="1" t="s">
        <v>1046</v>
      </c>
      <c r="G640" s="1" t="s">
        <v>1365</v>
      </c>
      <c r="H640" s="1" t="s">
        <v>1046</v>
      </c>
      <c r="I640" s="1" t="s">
        <v>1046</v>
      </c>
      <c r="J640" s="1"/>
      <c r="K640" s="1" t="s">
        <v>1049</v>
      </c>
      <c r="L640" s="1" t="s">
        <v>1366</v>
      </c>
      <c r="M640" s="1" t="s">
        <v>2028</v>
      </c>
    </row>
    <row r="641" spans="1:13" ht="13.2">
      <c r="A641" s="1" t="s">
        <v>511</v>
      </c>
      <c r="B641" s="1"/>
      <c r="C641" s="1"/>
      <c r="D641" s="1"/>
      <c r="E641" s="1" t="s">
        <v>102</v>
      </c>
      <c r="F641" s="1"/>
      <c r="G641" s="1" t="s">
        <v>1046</v>
      </c>
      <c r="H641" s="1"/>
      <c r="I641" s="1"/>
      <c r="J641" s="1"/>
      <c r="K641" s="1" t="s">
        <v>1049</v>
      </c>
      <c r="L641" s="1" t="s">
        <v>1366</v>
      </c>
      <c r="M641" s="1" t="s">
        <v>2028</v>
      </c>
    </row>
    <row r="642" spans="1:13" ht="13.2">
      <c r="A642" s="1" t="s">
        <v>522</v>
      </c>
      <c r="B642" s="1"/>
      <c r="C642" s="1"/>
      <c r="D642" s="1"/>
      <c r="E642" s="1" t="s">
        <v>102</v>
      </c>
      <c r="F642" s="1"/>
      <c r="G642" s="1" t="s">
        <v>1046</v>
      </c>
      <c r="H642" s="1"/>
      <c r="I642" s="1"/>
      <c r="J642" s="1"/>
      <c r="K642" s="1" t="s">
        <v>1049</v>
      </c>
      <c r="L642" s="1" t="s">
        <v>1366</v>
      </c>
      <c r="M642" s="1" t="s">
        <v>2028</v>
      </c>
    </row>
    <row r="643" spans="1:13" ht="13.2">
      <c r="A643" s="1" t="s">
        <v>528</v>
      </c>
      <c r="B643" s="1"/>
      <c r="C643" s="1"/>
      <c r="D643" s="1"/>
      <c r="E643" s="1" t="s">
        <v>102</v>
      </c>
      <c r="F643" s="1"/>
      <c r="G643" s="1" t="s">
        <v>1046</v>
      </c>
      <c r="H643" s="1"/>
      <c r="I643" s="1"/>
      <c r="J643" s="1"/>
      <c r="K643" s="1" t="s">
        <v>1049</v>
      </c>
      <c r="L643" s="1" t="s">
        <v>1366</v>
      </c>
      <c r="M643" s="1" t="s">
        <v>2028</v>
      </c>
    </row>
    <row r="644" spans="1:13" ht="13.2">
      <c r="A644" s="1" t="s">
        <v>769</v>
      </c>
      <c r="B644" s="1"/>
      <c r="C644" s="1"/>
      <c r="D644" s="1"/>
      <c r="E644" s="1" t="s">
        <v>1045</v>
      </c>
      <c r="F644" s="1" t="s">
        <v>1046</v>
      </c>
      <c r="G644" s="1" t="s">
        <v>1371</v>
      </c>
      <c r="H644" s="1" t="s">
        <v>1046</v>
      </c>
      <c r="I644" s="1" t="s">
        <v>1046</v>
      </c>
      <c r="J644" s="1"/>
      <c r="K644" s="1" t="s">
        <v>1372</v>
      </c>
      <c r="L644" s="1" t="s">
        <v>1373</v>
      </c>
      <c r="M644" s="1" t="s">
        <v>2028</v>
      </c>
    </row>
    <row r="645" spans="1:13" ht="13.2">
      <c r="A645" s="1" t="s">
        <v>772</v>
      </c>
      <c r="B645" s="1"/>
      <c r="C645" s="1"/>
      <c r="D645" s="1"/>
      <c r="E645" s="1" t="s">
        <v>1045</v>
      </c>
      <c r="F645" s="1" t="s">
        <v>1046</v>
      </c>
      <c r="G645" s="1" t="s">
        <v>1375</v>
      </c>
      <c r="H645" s="1" t="s">
        <v>1046</v>
      </c>
      <c r="I645" s="1" t="s">
        <v>1046</v>
      </c>
      <c r="J645" s="1"/>
      <c r="K645" s="1" t="s">
        <v>1061</v>
      </c>
      <c r="L645" s="1" t="s">
        <v>1376</v>
      </c>
      <c r="M645" s="1" t="s">
        <v>2028</v>
      </c>
    </row>
    <row r="646" spans="1:13" ht="13.2">
      <c r="A646" s="1" t="s">
        <v>475</v>
      </c>
      <c r="B646" s="1"/>
      <c r="C646" s="1"/>
      <c r="D646" s="1"/>
      <c r="E646" s="1" t="s">
        <v>102</v>
      </c>
      <c r="F646" s="1" t="s">
        <v>1136</v>
      </c>
      <c r="G646" s="1" t="s">
        <v>1046</v>
      </c>
      <c r="H646" s="1"/>
      <c r="I646" s="1"/>
      <c r="J646" s="1" t="s">
        <v>1378</v>
      </c>
      <c r="K646" s="1" t="s">
        <v>1061</v>
      </c>
      <c r="L646" s="1" t="s">
        <v>1376</v>
      </c>
      <c r="M646" s="1" t="s">
        <v>2028</v>
      </c>
    </row>
    <row r="647" spans="1:13" ht="13.2">
      <c r="A647" s="1" t="s">
        <v>487</v>
      </c>
      <c r="B647" s="1"/>
      <c r="C647" s="1"/>
      <c r="D647" s="1"/>
      <c r="E647" s="1" t="s">
        <v>102</v>
      </c>
      <c r="F647" s="1"/>
      <c r="G647" s="1" t="s">
        <v>1046</v>
      </c>
      <c r="H647" s="1"/>
      <c r="I647" s="1"/>
      <c r="J647" s="1"/>
      <c r="K647" s="1" t="s">
        <v>1061</v>
      </c>
      <c r="L647" s="1" t="s">
        <v>1376</v>
      </c>
      <c r="M647" s="1" t="s">
        <v>2028</v>
      </c>
    </row>
    <row r="648" spans="1:13" ht="13.2">
      <c r="A648" s="1" t="s">
        <v>617</v>
      </c>
      <c r="B648" s="1"/>
      <c r="C648" s="1"/>
      <c r="D648" s="1"/>
      <c r="E648" s="1" t="s">
        <v>102</v>
      </c>
      <c r="F648" s="1"/>
      <c r="G648" s="1" t="s">
        <v>1046</v>
      </c>
      <c r="H648" s="1"/>
      <c r="I648" s="1"/>
      <c r="J648" s="1"/>
      <c r="K648" s="1" t="s">
        <v>1061</v>
      </c>
      <c r="L648" s="1" t="s">
        <v>1376</v>
      </c>
      <c r="M648" s="1" t="s">
        <v>2028</v>
      </c>
    </row>
    <row r="649" spans="1:13" ht="13.2">
      <c r="A649" s="1" t="s">
        <v>545</v>
      </c>
      <c r="B649" s="1"/>
      <c r="C649" s="1"/>
      <c r="D649" s="1"/>
      <c r="E649" s="1" t="s">
        <v>102</v>
      </c>
      <c r="F649" s="1"/>
      <c r="G649" s="1" t="s">
        <v>1046</v>
      </c>
      <c r="H649" s="1"/>
      <c r="I649" s="1"/>
      <c r="J649" s="1"/>
      <c r="K649" s="1" t="s">
        <v>1061</v>
      </c>
      <c r="L649" s="1" t="s">
        <v>1376</v>
      </c>
      <c r="M649" s="1" t="s">
        <v>2028</v>
      </c>
    </row>
    <row r="650" spans="1:13" ht="13.2">
      <c r="A650" s="1" t="s">
        <v>551</v>
      </c>
      <c r="B650" s="1"/>
      <c r="C650" s="1"/>
      <c r="D650" s="1"/>
      <c r="E650" s="1" t="s">
        <v>102</v>
      </c>
      <c r="F650" s="1"/>
      <c r="G650" s="1" t="s">
        <v>1046</v>
      </c>
      <c r="H650" s="1"/>
      <c r="I650" s="1"/>
      <c r="J650" s="1"/>
      <c r="K650" s="1" t="s">
        <v>1061</v>
      </c>
      <c r="L650" s="1" t="s">
        <v>1376</v>
      </c>
      <c r="M650" s="1" t="s">
        <v>2028</v>
      </c>
    </row>
    <row r="651" spans="1:13" ht="13.2">
      <c r="A651" s="1" t="s">
        <v>497</v>
      </c>
      <c r="B651" s="1"/>
      <c r="C651" s="1"/>
      <c r="D651" s="1"/>
      <c r="E651" s="1" t="s">
        <v>102</v>
      </c>
      <c r="F651" s="1"/>
      <c r="G651" s="1" t="s">
        <v>1046</v>
      </c>
      <c r="H651" s="1"/>
      <c r="I651" s="1"/>
      <c r="J651" s="1"/>
      <c r="K651" s="1" t="s">
        <v>1061</v>
      </c>
      <c r="L651" s="1" t="s">
        <v>1376</v>
      </c>
      <c r="M651" s="1" t="s">
        <v>2028</v>
      </c>
    </row>
    <row r="652" spans="1:13" ht="13.2">
      <c r="A652" s="1" t="s">
        <v>765</v>
      </c>
      <c r="B652" s="1"/>
      <c r="C652" s="1"/>
      <c r="D652" s="1"/>
      <c r="E652" s="1" t="s">
        <v>1045</v>
      </c>
      <c r="F652" s="1" t="s">
        <v>1046</v>
      </c>
      <c r="G652" s="1" t="s">
        <v>1385</v>
      </c>
      <c r="H652" s="1" t="s">
        <v>1046</v>
      </c>
      <c r="I652" s="1" t="s">
        <v>1046</v>
      </c>
      <c r="J652" s="1"/>
      <c r="K652" s="1" t="s">
        <v>1061</v>
      </c>
      <c r="L652" s="1" t="s">
        <v>1386</v>
      </c>
      <c r="M652" s="1" t="s">
        <v>2028</v>
      </c>
    </row>
    <row r="653" spans="1:13" ht="13.2">
      <c r="A653" s="1" t="s">
        <v>835</v>
      </c>
      <c r="B653" s="1"/>
      <c r="C653" s="1"/>
      <c r="D653" s="1"/>
      <c r="E653" s="1" t="s">
        <v>1045</v>
      </c>
      <c r="F653" s="1" t="s">
        <v>1046</v>
      </c>
      <c r="G653" s="1" t="s">
        <v>1388</v>
      </c>
      <c r="H653" s="1" t="s">
        <v>1046</v>
      </c>
      <c r="I653" s="1" t="s">
        <v>1046</v>
      </c>
      <c r="J653" s="1"/>
      <c r="K653" s="1" t="s">
        <v>1061</v>
      </c>
      <c r="L653" s="1" t="s">
        <v>1386</v>
      </c>
      <c r="M653" s="1" t="s">
        <v>2028</v>
      </c>
    </row>
    <row r="654" spans="1:13" ht="13.2">
      <c r="A654" s="1" t="s">
        <v>739</v>
      </c>
      <c r="B654" s="1"/>
      <c r="C654" s="1"/>
      <c r="D654" s="1"/>
      <c r="E654" s="1" t="s">
        <v>1045</v>
      </c>
      <c r="F654" s="1" t="s">
        <v>1046</v>
      </c>
      <c r="G654" s="1" t="s">
        <v>1390</v>
      </c>
      <c r="H654" s="1" t="s">
        <v>1046</v>
      </c>
      <c r="I654" s="1" t="s">
        <v>1046</v>
      </c>
      <c r="J654" s="1"/>
      <c r="K654" s="1" t="s">
        <v>1061</v>
      </c>
      <c r="L654" s="1" t="s">
        <v>1386</v>
      </c>
      <c r="M654" s="1" t="s">
        <v>2028</v>
      </c>
    </row>
    <row r="655" spans="1:13" ht="13.2">
      <c r="A655" s="1" t="s">
        <v>469</v>
      </c>
      <c r="B655" s="1" t="s">
        <v>1172</v>
      </c>
      <c r="C655" s="1"/>
      <c r="D655" s="1"/>
      <c r="E655" s="1" t="s">
        <v>102</v>
      </c>
      <c r="F655" s="1"/>
      <c r="G655" s="1" t="s">
        <v>1046</v>
      </c>
      <c r="H655" s="1"/>
      <c r="I655" s="1"/>
      <c r="J655" s="1"/>
      <c r="K655" s="1" t="s">
        <v>1061</v>
      </c>
      <c r="L655" s="1" t="s">
        <v>1386</v>
      </c>
      <c r="M655" s="1" t="s">
        <v>2028</v>
      </c>
    </row>
    <row r="656" spans="1:13" ht="13.2">
      <c r="A656" s="1" t="s">
        <v>497</v>
      </c>
      <c r="B656" s="1" t="s">
        <v>1172</v>
      </c>
      <c r="C656" s="1"/>
      <c r="D656" s="1"/>
      <c r="E656" s="1" t="s">
        <v>102</v>
      </c>
      <c r="F656" s="1"/>
      <c r="G656" s="1" t="s">
        <v>1046</v>
      </c>
      <c r="H656" s="1"/>
      <c r="I656" s="1"/>
      <c r="J656" s="1"/>
      <c r="K656" s="1" t="s">
        <v>1061</v>
      </c>
      <c r="L656" s="1" t="s">
        <v>1386</v>
      </c>
      <c r="M656" s="1" t="s">
        <v>2028</v>
      </c>
    </row>
    <row r="657" spans="1:13" ht="13.2">
      <c r="A657" s="1" t="s">
        <v>564</v>
      </c>
      <c r="B657" s="1" t="s">
        <v>1394</v>
      </c>
      <c r="C657" s="1"/>
      <c r="D657" s="1"/>
      <c r="E657" s="1" t="s">
        <v>102</v>
      </c>
      <c r="F657" s="1"/>
      <c r="G657" s="1" t="s">
        <v>1046</v>
      </c>
      <c r="H657" s="1"/>
      <c r="I657" s="1"/>
      <c r="J657" s="1"/>
      <c r="K657" s="1" t="s">
        <v>1061</v>
      </c>
      <c r="L657" s="1" t="s">
        <v>1386</v>
      </c>
      <c r="M657" s="1" t="s">
        <v>2028</v>
      </c>
    </row>
    <row r="658" spans="1:13" ht="13.2">
      <c r="A658" s="1" t="s">
        <v>573</v>
      </c>
      <c r="B658" s="1" t="s">
        <v>1394</v>
      </c>
      <c r="C658" s="1"/>
      <c r="D658" s="1"/>
      <c r="E658" s="1" t="s">
        <v>102</v>
      </c>
      <c r="F658" s="1"/>
      <c r="G658" s="1" t="s">
        <v>1046</v>
      </c>
      <c r="H658" s="1"/>
      <c r="I658" s="1"/>
      <c r="J658" s="1"/>
      <c r="K658" s="1" t="s">
        <v>1061</v>
      </c>
      <c r="L658" s="1" t="s">
        <v>1386</v>
      </c>
      <c r="M658" s="1" t="s">
        <v>2028</v>
      </c>
    </row>
    <row r="659" spans="1:13" ht="13.2">
      <c r="A659" s="1" t="s">
        <v>580</v>
      </c>
      <c r="B659" s="1" t="s">
        <v>1394</v>
      </c>
      <c r="C659" s="1"/>
      <c r="D659" s="1"/>
      <c r="E659" s="1" t="s">
        <v>102</v>
      </c>
      <c r="F659" s="1"/>
      <c r="G659" s="1" t="s">
        <v>1046</v>
      </c>
      <c r="H659" s="1"/>
      <c r="I659" s="1"/>
      <c r="J659" s="1"/>
      <c r="K659" s="1" t="s">
        <v>1061</v>
      </c>
      <c r="L659" s="1" t="s">
        <v>1386</v>
      </c>
      <c r="M659" s="1" t="s">
        <v>2028</v>
      </c>
    </row>
    <row r="660" spans="1:13" ht="13.2">
      <c r="A660" s="1" t="s">
        <v>585</v>
      </c>
      <c r="B660" s="1" t="s">
        <v>1394</v>
      </c>
      <c r="C660" s="1"/>
      <c r="D660" s="1"/>
      <c r="E660" s="1" t="s">
        <v>102</v>
      </c>
      <c r="F660" s="1"/>
      <c r="G660" s="1" t="s">
        <v>1046</v>
      </c>
      <c r="H660" s="1"/>
      <c r="I660" s="1"/>
      <c r="J660" s="1"/>
      <c r="K660" s="1" t="s">
        <v>1061</v>
      </c>
      <c r="L660" s="1" t="s">
        <v>1386</v>
      </c>
      <c r="M660" s="1" t="s">
        <v>2028</v>
      </c>
    </row>
    <row r="661" spans="1:13" ht="13.2">
      <c r="A661" s="1" t="s">
        <v>582</v>
      </c>
      <c r="B661" s="1" t="s">
        <v>1394</v>
      </c>
      <c r="C661" s="1"/>
      <c r="D661" s="1"/>
      <c r="E661" s="1" t="s">
        <v>102</v>
      </c>
      <c r="F661" s="1"/>
      <c r="G661" s="1" t="s">
        <v>1046</v>
      </c>
      <c r="H661" s="1"/>
      <c r="I661" s="1"/>
      <c r="J661" s="1"/>
      <c r="K661" s="1" t="s">
        <v>1061</v>
      </c>
      <c r="L661" s="1" t="s">
        <v>1386</v>
      </c>
      <c r="M661" s="1" t="s">
        <v>2028</v>
      </c>
    </row>
    <row r="662" spans="1:13" ht="13.2">
      <c r="A662" s="1" t="s">
        <v>566</v>
      </c>
      <c r="B662" s="1" t="s">
        <v>1394</v>
      </c>
      <c r="C662" s="1"/>
      <c r="D662" s="1"/>
      <c r="E662" s="1" t="s">
        <v>102</v>
      </c>
      <c r="F662" s="1"/>
      <c r="G662" s="1" t="s">
        <v>1046</v>
      </c>
      <c r="H662" s="1"/>
      <c r="I662" s="1"/>
      <c r="J662" s="1"/>
      <c r="K662" s="1" t="s">
        <v>1061</v>
      </c>
      <c r="L662" s="1" t="s">
        <v>1386</v>
      </c>
      <c r="M662" s="1" t="s">
        <v>2028</v>
      </c>
    </row>
    <row r="663" spans="1:13" ht="13.2">
      <c r="A663" s="1" t="s">
        <v>523</v>
      </c>
      <c r="B663" s="1" t="s">
        <v>1401</v>
      </c>
      <c r="C663" s="1"/>
      <c r="D663" s="1"/>
      <c r="E663" s="1" t="s">
        <v>102</v>
      </c>
      <c r="F663" s="1"/>
      <c r="G663" s="1" t="s">
        <v>1046</v>
      </c>
      <c r="H663" s="1"/>
      <c r="I663" s="1"/>
      <c r="J663" s="1"/>
      <c r="K663" s="1" t="s">
        <v>1061</v>
      </c>
      <c r="L663" s="1" t="s">
        <v>1386</v>
      </c>
      <c r="M663" s="1" t="s">
        <v>2028</v>
      </c>
    </row>
    <row r="664" spans="1:13" ht="13.2">
      <c r="A664" s="1" t="s">
        <v>511</v>
      </c>
      <c r="B664" s="1" t="s">
        <v>1401</v>
      </c>
      <c r="C664" s="1"/>
      <c r="D664" s="1"/>
      <c r="E664" s="1" t="s">
        <v>102</v>
      </c>
      <c r="F664" s="1"/>
      <c r="G664" s="1" t="s">
        <v>1046</v>
      </c>
      <c r="H664" s="1"/>
      <c r="I664" s="1"/>
      <c r="J664" s="1"/>
      <c r="K664" s="1" t="s">
        <v>1061</v>
      </c>
      <c r="L664" s="1" t="s">
        <v>1386</v>
      </c>
      <c r="M664" s="1" t="s">
        <v>2028</v>
      </c>
    </row>
    <row r="665" spans="1:13" ht="13.2">
      <c r="A665" s="1" t="s">
        <v>474</v>
      </c>
      <c r="B665" s="1"/>
      <c r="C665" s="1"/>
      <c r="D665" s="1"/>
      <c r="E665" s="1" t="s">
        <v>102</v>
      </c>
      <c r="F665" s="1" t="s">
        <v>1136</v>
      </c>
      <c r="G665" s="1" t="s">
        <v>1046</v>
      </c>
      <c r="H665" s="1"/>
      <c r="I665" s="1"/>
      <c r="J665" s="1" t="s">
        <v>1404</v>
      </c>
      <c r="K665" s="1" t="s">
        <v>1061</v>
      </c>
      <c r="L665" s="1" t="s">
        <v>1405</v>
      </c>
      <c r="M665" s="1" t="s">
        <v>2028</v>
      </c>
    </row>
    <row r="666" spans="1:13" ht="13.2">
      <c r="A666" s="1" t="s">
        <v>461</v>
      </c>
      <c r="B666" s="1"/>
      <c r="C666" s="1"/>
      <c r="D666" s="1"/>
      <c r="E666" s="1" t="s">
        <v>102</v>
      </c>
      <c r="F666" s="1" t="s">
        <v>1407</v>
      </c>
      <c r="G666" s="1" t="s">
        <v>1046</v>
      </c>
      <c r="H666" s="1"/>
      <c r="I666" s="1"/>
      <c r="J666" s="1" t="s">
        <v>1408</v>
      </c>
      <c r="K666" s="1" t="s">
        <v>1061</v>
      </c>
      <c r="L666" s="1" t="s">
        <v>1405</v>
      </c>
      <c r="M666" s="1" t="s">
        <v>2028</v>
      </c>
    </row>
    <row r="667" spans="1:13" ht="13.2">
      <c r="A667" s="1" t="s">
        <v>511</v>
      </c>
      <c r="B667" s="1"/>
      <c r="C667" s="1"/>
      <c r="D667" s="1"/>
      <c r="E667" s="1" t="s">
        <v>102</v>
      </c>
      <c r="F667" s="1"/>
      <c r="G667" s="1" t="s">
        <v>1046</v>
      </c>
      <c r="H667" s="1"/>
      <c r="I667" s="1"/>
      <c r="J667" s="1" t="s">
        <v>1410</v>
      </c>
      <c r="K667" s="1" t="s">
        <v>1061</v>
      </c>
      <c r="L667" s="1" t="s">
        <v>1405</v>
      </c>
      <c r="M667" s="1" t="s">
        <v>2028</v>
      </c>
    </row>
    <row r="668" spans="1:13" ht="13.2">
      <c r="A668" s="1" t="s">
        <v>522</v>
      </c>
      <c r="B668" s="1"/>
      <c r="C668" s="1"/>
      <c r="D668" s="1"/>
      <c r="E668" s="1" t="s">
        <v>102</v>
      </c>
      <c r="F668" s="1"/>
      <c r="G668" s="1" t="s">
        <v>1046</v>
      </c>
      <c r="H668" s="1"/>
      <c r="I668" s="1"/>
      <c r="J668" s="1" t="s">
        <v>1410</v>
      </c>
      <c r="K668" s="1" t="s">
        <v>1061</v>
      </c>
      <c r="L668" s="1" t="s">
        <v>1405</v>
      </c>
      <c r="M668" s="1" t="s">
        <v>2028</v>
      </c>
    </row>
    <row r="669" spans="1:13" ht="13.2">
      <c r="A669" s="1" t="s">
        <v>788</v>
      </c>
      <c r="B669" s="1" t="s">
        <v>1412</v>
      </c>
      <c r="C669" s="1"/>
      <c r="D669" s="1"/>
      <c r="E669" s="1" t="s">
        <v>102</v>
      </c>
      <c r="F669" s="1"/>
      <c r="G669" s="1" t="s">
        <v>1046</v>
      </c>
      <c r="H669" s="1"/>
      <c r="I669" s="1"/>
      <c r="J669" s="1" t="s">
        <v>1413</v>
      </c>
      <c r="K669" s="1" t="s">
        <v>1061</v>
      </c>
      <c r="L669" s="1" t="s">
        <v>1405</v>
      </c>
      <c r="M669" s="1" t="s">
        <v>2028</v>
      </c>
    </row>
    <row r="670" spans="1:13" ht="13.2">
      <c r="A670" s="1" t="s">
        <v>801</v>
      </c>
      <c r="B670" s="1" t="s">
        <v>1412</v>
      </c>
      <c r="C670" s="1"/>
      <c r="D670" s="1"/>
      <c r="E670" s="1" t="s">
        <v>102</v>
      </c>
      <c r="F670" s="1"/>
      <c r="G670" s="1" t="s">
        <v>1046</v>
      </c>
      <c r="H670" s="1"/>
      <c r="I670" s="1"/>
      <c r="J670" s="1" t="s">
        <v>1413</v>
      </c>
      <c r="K670" s="1" t="s">
        <v>1061</v>
      </c>
      <c r="L670" s="1" t="s">
        <v>1405</v>
      </c>
      <c r="M670" s="1" t="s">
        <v>2028</v>
      </c>
    </row>
    <row r="671" spans="1:13" ht="13.2">
      <c r="A671" s="1" t="s">
        <v>803</v>
      </c>
      <c r="B671" s="1" t="s">
        <v>1412</v>
      </c>
      <c r="C671" s="1"/>
      <c r="D671" s="1"/>
      <c r="E671" s="1" t="s">
        <v>102</v>
      </c>
      <c r="F671" s="1"/>
      <c r="G671" s="1" t="s">
        <v>1046</v>
      </c>
      <c r="H671" s="1"/>
      <c r="I671" s="1"/>
      <c r="J671" s="1" t="s">
        <v>1413</v>
      </c>
      <c r="K671" s="1" t="s">
        <v>1061</v>
      </c>
      <c r="L671" s="1" t="s">
        <v>1405</v>
      </c>
      <c r="M671" s="1" t="s">
        <v>2028</v>
      </c>
    </row>
    <row r="672" spans="1:13" ht="13.2">
      <c r="A672" s="1" t="s">
        <v>814</v>
      </c>
      <c r="B672" s="1" t="s">
        <v>1412</v>
      </c>
      <c r="C672" s="1"/>
      <c r="D672" s="1"/>
      <c r="E672" s="1" t="s">
        <v>102</v>
      </c>
      <c r="F672" s="1"/>
      <c r="G672" s="1" t="s">
        <v>1046</v>
      </c>
      <c r="H672" s="1"/>
      <c r="I672" s="1"/>
      <c r="J672" s="1" t="s">
        <v>1413</v>
      </c>
      <c r="K672" s="1" t="s">
        <v>1061</v>
      </c>
      <c r="L672" s="1" t="s">
        <v>1405</v>
      </c>
      <c r="M672" s="1" t="s">
        <v>2028</v>
      </c>
    </row>
    <row r="673" spans="1:13" ht="13.2">
      <c r="A673" s="1" t="s">
        <v>818</v>
      </c>
      <c r="B673" s="1" t="s">
        <v>1412</v>
      </c>
      <c r="C673" s="1"/>
      <c r="D673" s="1"/>
      <c r="E673" s="1" t="s">
        <v>102</v>
      </c>
      <c r="F673" s="1"/>
      <c r="G673" s="1" t="s">
        <v>1046</v>
      </c>
      <c r="H673" s="1"/>
      <c r="I673" s="1"/>
      <c r="J673" s="1" t="s">
        <v>1413</v>
      </c>
      <c r="K673" s="1" t="s">
        <v>1061</v>
      </c>
      <c r="L673" s="1" t="s">
        <v>1405</v>
      </c>
      <c r="M673" s="1" t="s">
        <v>2028</v>
      </c>
    </row>
    <row r="674" spans="1:13" ht="13.2">
      <c r="A674" s="1" t="s">
        <v>474</v>
      </c>
      <c r="B674" s="1"/>
      <c r="C674" s="1"/>
      <c r="D674" s="1"/>
      <c r="E674" s="1" t="s">
        <v>102</v>
      </c>
      <c r="F674" s="1" t="s">
        <v>1136</v>
      </c>
      <c r="G674" s="1" t="s">
        <v>1046</v>
      </c>
      <c r="H674" s="1"/>
      <c r="I674" s="1"/>
      <c r="J674" s="1"/>
      <c r="K674" s="1" t="s">
        <v>1061</v>
      </c>
      <c r="L674" s="1" t="s">
        <v>1419</v>
      </c>
      <c r="M674" s="1" t="s">
        <v>2028</v>
      </c>
    </row>
    <row r="675" spans="1:13" ht="13.2">
      <c r="A675" s="1" t="s">
        <v>760</v>
      </c>
      <c r="B675" s="1"/>
      <c r="C675" s="1"/>
      <c r="D675" s="1"/>
      <c r="E675" s="1" t="s">
        <v>1045</v>
      </c>
      <c r="F675" s="1" t="s">
        <v>1046</v>
      </c>
      <c r="G675" s="1" t="s">
        <v>1421</v>
      </c>
      <c r="H675" s="1" t="s">
        <v>1046</v>
      </c>
      <c r="I675" s="1" t="s">
        <v>1046</v>
      </c>
      <c r="J675" s="1"/>
      <c r="K675" s="1" t="s">
        <v>1061</v>
      </c>
      <c r="L675" s="1" t="s">
        <v>1419</v>
      </c>
      <c r="M675" s="1" t="s">
        <v>2028</v>
      </c>
    </row>
    <row r="676" spans="1:13" ht="13.2">
      <c r="A676" s="1" t="s">
        <v>525</v>
      </c>
      <c r="B676" s="1"/>
      <c r="C676" s="1"/>
      <c r="D676" s="1"/>
      <c r="E676" s="1" t="s">
        <v>102</v>
      </c>
      <c r="F676" s="1"/>
      <c r="G676" s="1" t="s">
        <v>1046</v>
      </c>
      <c r="H676" s="1"/>
      <c r="I676" s="1"/>
      <c r="J676" s="1"/>
      <c r="K676" s="1" t="s">
        <v>1061</v>
      </c>
      <c r="L676" s="1" t="s">
        <v>1419</v>
      </c>
      <c r="M676" s="1" t="s">
        <v>2028</v>
      </c>
    </row>
    <row r="677" spans="1:13" ht="13.2">
      <c r="A677" s="1" t="s">
        <v>934</v>
      </c>
      <c r="B677" s="1"/>
      <c r="C677" s="1"/>
      <c r="D677" s="1"/>
      <c r="E677" s="1" t="s">
        <v>1045</v>
      </c>
      <c r="F677" s="1" t="s">
        <v>1046</v>
      </c>
      <c r="G677" s="1" t="s">
        <v>1424</v>
      </c>
      <c r="H677" s="1" t="s">
        <v>1046</v>
      </c>
      <c r="I677" s="1" t="s">
        <v>1046</v>
      </c>
      <c r="J677" s="1"/>
      <c r="K677" s="1" t="s">
        <v>1061</v>
      </c>
      <c r="L677" s="1" t="s">
        <v>1419</v>
      </c>
      <c r="M677" s="1" t="s">
        <v>2028</v>
      </c>
    </row>
  </sheetData>
  <phoneticPr fontId="18" type="noConversion"/>
  <hyperlinks>
    <hyperlink ref="L2" r:id="rId1" xr:uid="{56CFEB06-27CD-4480-B42C-D7CE875843E7}"/>
    <hyperlink ref="L3" r:id="rId2" xr:uid="{904D5F22-1F31-4431-9894-3BEBFC38E74D}"/>
    <hyperlink ref="L4" r:id="rId3" xr:uid="{5E15F4FE-88D2-4A7D-8DD4-2B387A18AC9B}"/>
    <hyperlink ref="L5" r:id="rId4" xr:uid="{4FE0D318-8084-47E0-914C-1BE6F244161C}"/>
    <hyperlink ref="L6" r:id="rId5" xr:uid="{25980B55-02BD-4BF4-8934-37CB4899079C}"/>
    <hyperlink ref="L7" r:id="rId6" xr:uid="{9FFCE94E-08C7-4F34-8E5A-634411D64D8F}"/>
    <hyperlink ref="L8" r:id="rId7" xr:uid="{A1E560E8-9995-49BB-99A3-44668FB5BEAC}"/>
    <hyperlink ref="L9" r:id="rId8" xr:uid="{27DABC4F-E7BD-411F-8CC4-19E309919D91}"/>
    <hyperlink ref="L10" r:id="rId9" xr:uid="{CD817685-BE5B-46B0-BC5A-DC1BED1D9B85}"/>
    <hyperlink ref="L11" r:id="rId10" xr:uid="{1869EC23-231B-4A3F-8A8F-3D44F4492B1F}"/>
    <hyperlink ref="L12" r:id="rId11" xr:uid="{F3F4EE91-8D90-450E-8884-EC7357BD8C4C}"/>
    <hyperlink ref="L13" r:id="rId12" xr:uid="{FBA8F863-1638-4648-9C65-91E38C8D8DC0}"/>
    <hyperlink ref="L14" r:id="rId13" xr:uid="{A4E070B5-076D-4D35-815A-C96607F3CAE7}"/>
    <hyperlink ref="L15" r:id="rId14" xr:uid="{1F6A4DAA-C8F8-476C-9445-F2E1156A4236}"/>
    <hyperlink ref="L16" r:id="rId15" xr:uid="{BB64EBE9-B8FE-46FF-8CF0-A59427920842}"/>
    <hyperlink ref="L17" r:id="rId16" xr:uid="{740E19A0-A344-486D-82E8-9C0020658041}"/>
    <hyperlink ref="L18" r:id="rId17" xr:uid="{F19AD9E8-8A9B-4758-9EEA-100B046461F7}"/>
    <hyperlink ref="L19" r:id="rId18" xr:uid="{824B8822-590F-4B29-AE3A-B288C1D736A8}"/>
    <hyperlink ref="L20" r:id="rId19" xr:uid="{430172C2-E921-455E-8915-A9F95A27CF3C}"/>
    <hyperlink ref="L21" r:id="rId20" xr:uid="{FD8B19EC-3D95-4B73-AB2C-F203FC7A591A}"/>
    <hyperlink ref="L22" r:id="rId21" xr:uid="{AD94A5CD-1152-464F-9D1E-8F50470D599B}"/>
    <hyperlink ref="L23" r:id="rId22" xr:uid="{C927147B-F558-4324-86CD-AF5600433385}"/>
    <hyperlink ref="L24" r:id="rId23" xr:uid="{7E72C477-61FE-402F-999C-85A7DF3AB7EA}"/>
    <hyperlink ref="L25" r:id="rId24" xr:uid="{06853213-923C-4F97-951C-F8F6EA2809C8}"/>
    <hyperlink ref="L26" r:id="rId25" xr:uid="{0256A5C8-56C2-4142-8B97-A15983CFFA97}"/>
    <hyperlink ref="L27" r:id="rId26" xr:uid="{62EB9164-5AB9-4A17-B0FE-99B7912CC78C}"/>
    <hyperlink ref="L28" r:id="rId27" xr:uid="{44FF8043-0B27-4696-B27C-996B135569E1}"/>
    <hyperlink ref="L29" r:id="rId28" xr:uid="{D89FB9BB-61BD-49B2-9D42-386B75CA7477}"/>
    <hyperlink ref="L30" r:id="rId29" xr:uid="{41F69969-DC52-4A7C-B664-DDF387907A60}"/>
    <hyperlink ref="L31" r:id="rId30" xr:uid="{6C587183-E718-4D1C-B123-C93704C1C872}"/>
    <hyperlink ref="L32" r:id="rId31" xr:uid="{0179233E-E216-4038-9D92-2EC91835BF12}"/>
    <hyperlink ref="L33" r:id="rId32" xr:uid="{86F30AA0-91A0-4F88-9183-8F6FF87CEBD4}"/>
    <hyperlink ref="L34" r:id="rId33" xr:uid="{64865C34-A1F3-4F15-AFAC-E9B179C8A6CC}"/>
    <hyperlink ref="L35" r:id="rId34" xr:uid="{2930AF8F-81EB-43AA-97B3-97714881DE36}"/>
    <hyperlink ref="L36" r:id="rId35" xr:uid="{B9CA3AFF-AE1A-4DB5-9354-75E53FBE1E02}"/>
    <hyperlink ref="L37" r:id="rId36" xr:uid="{21DE5D00-9EC3-45BF-B0FC-5CA910B3C7E9}"/>
    <hyperlink ref="L38" r:id="rId37" xr:uid="{51D783F3-B948-4750-9A6A-03FE49834FD4}"/>
    <hyperlink ref="L39" r:id="rId38" xr:uid="{B88770B0-A84B-4FFF-9CB0-B3CC6B3DFAB1}"/>
    <hyperlink ref="L40" r:id="rId39" xr:uid="{F76BCB1A-456E-4BB5-9FE9-F3D4451168B0}"/>
    <hyperlink ref="L41" r:id="rId40" xr:uid="{A5CAB474-2973-44D5-9A48-A01D62492630}"/>
    <hyperlink ref="L42" r:id="rId41" xr:uid="{B7306FAF-5467-461C-9355-F3C08A044A1C}"/>
    <hyperlink ref="L43" r:id="rId42" xr:uid="{0072729E-1D51-47DA-8EE8-6B30917372DC}"/>
    <hyperlink ref="L44" r:id="rId43" xr:uid="{C8CEFC0F-717A-45B3-BC4C-5BC1321D2B63}"/>
    <hyperlink ref="L45" r:id="rId44" xr:uid="{F569D81A-39EA-44D0-8C51-571C60CC6085}"/>
    <hyperlink ref="L46" r:id="rId45" xr:uid="{A9B493D1-E00C-4360-9496-10C360F4A873}"/>
    <hyperlink ref="L47" r:id="rId46" xr:uid="{0124BBF5-8CE6-48BF-88E6-29B834C859B3}"/>
    <hyperlink ref="L48" r:id="rId47" xr:uid="{9771A6A4-A792-4BE3-ADD9-B82E8105A783}"/>
    <hyperlink ref="L49" r:id="rId48" xr:uid="{E690067D-27EC-476D-9A91-50B5DED40F8E}"/>
    <hyperlink ref="L50" r:id="rId49" xr:uid="{A13B92EB-4F51-4423-B93A-59A0B53EEFBD}"/>
    <hyperlink ref="L51" r:id="rId50" xr:uid="{904E127A-2DB4-4733-ADD5-A975DD3935EE}"/>
    <hyperlink ref="L52" r:id="rId51" xr:uid="{3AC469A3-7734-45FD-A2E3-BD0A07CA11AE}"/>
    <hyperlink ref="L53" r:id="rId52" xr:uid="{1EBB3ED4-FF6E-4C4E-9642-92A7A933D50A}"/>
    <hyperlink ref="L54" r:id="rId53" xr:uid="{C983EBEE-AAB4-4925-A0FE-35AF2A5B3F75}"/>
    <hyperlink ref="L55" r:id="rId54" xr:uid="{CBFEAF3F-527B-4FE6-9098-8EB182AF300A}"/>
    <hyperlink ref="L56" r:id="rId55" xr:uid="{71E7C763-08D0-4DD9-ADA9-96EDBB361144}"/>
    <hyperlink ref="L57" r:id="rId56" xr:uid="{92A6C9EE-3511-48A0-9240-2769ED9DE7FE}"/>
    <hyperlink ref="L58" r:id="rId57" xr:uid="{22D94349-4C36-4255-A43F-5BDAEAF079EE}"/>
    <hyperlink ref="L59" r:id="rId58" xr:uid="{25DABF02-1320-4740-9823-BD27D0CF7ABC}"/>
    <hyperlink ref="L60" r:id="rId59" xr:uid="{C031BCF5-88E7-4FE2-B407-ECF4F9E9041D}"/>
    <hyperlink ref="L61" r:id="rId60" xr:uid="{996CB5D1-7E14-4960-A5CA-2B3C1EFFFF1C}"/>
    <hyperlink ref="L62" r:id="rId61" xr:uid="{48BA26D2-D816-46F5-BC3E-9344566149FF}"/>
    <hyperlink ref="L63" r:id="rId62" xr:uid="{5E107373-950A-49E0-9529-CA090EC5B4CF}"/>
    <hyperlink ref="L64" r:id="rId63" xr:uid="{F917AC21-B342-469D-9CFF-CEF8E18C8348}"/>
    <hyperlink ref="L65" r:id="rId64" xr:uid="{1A4CA365-633B-466C-9EFD-37E6DFAC59FD}"/>
    <hyperlink ref="L66" r:id="rId65" xr:uid="{B2580BC1-4AB3-4BBD-A338-89B7BE0944A6}"/>
    <hyperlink ref="L67" r:id="rId66" xr:uid="{6D01DC79-2D9F-457E-9554-F319C807EAE1}"/>
    <hyperlink ref="L68" r:id="rId67" xr:uid="{A1F91D88-8611-4842-9AB8-A14E724AFBF1}"/>
    <hyperlink ref="L69" r:id="rId68" xr:uid="{E1B40EB0-A178-4E9F-960C-AEAA9B1A2012}"/>
    <hyperlink ref="L70" r:id="rId69" xr:uid="{5C9747F6-BF30-46A1-B5E2-B0ABBAED177D}"/>
    <hyperlink ref="L71" r:id="rId70" xr:uid="{8DA90BA4-5D33-4299-916B-D1C991CC6A73}"/>
    <hyperlink ref="L72" r:id="rId71" xr:uid="{6FC8B6A7-06BD-4D80-983B-A38F75583429}"/>
    <hyperlink ref="L73" r:id="rId72" xr:uid="{621A8885-7650-4130-8C4F-CE7A5027F967}"/>
    <hyperlink ref="L74" r:id="rId73" xr:uid="{AE699154-0BE5-44CF-942E-CF6C56808E72}"/>
    <hyperlink ref="L75" r:id="rId74" xr:uid="{F22F660E-BB88-482F-9C87-7C4A0864A40A}"/>
    <hyperlink ref="L76" r:id="rId75" xr:uid="{FE634B25-C3C0-4C0B-AA90-C6524DF2F7F3}"/>
    <hyperlink ref="L77" r:id="rId76" xr:uid="{46928CD3-0FF6-4B0D-AB64-E03F25BB42D0}"/>
    <hyperlink ref="L78" r:id="rId77" xr:uid="{B7F7086F-7094-4327-9A1F-C9E779FA903B}"/>
    <hyperlink ref="L79" r:id="rId78" xr:uid="{D782B9DC-C4AD-48EA-BB42-13D4B03C65DC}"/>
    <hyperlink ref="L80" r:id="rId79" xr:uid="{21264307-1604-44D9-89C5-B00DC309C244}"/>
    <hyperlink ref="L81" r:id="rId80" xr:uid="{FEABA274-2D85-44C3-B08B-CF20DB9C3D15}"/>
    <hyperlink ref="L82" r:id="rId81" xr:uid="{651DBA0D-8AC8-4D7D-9FA8-DABFED2BF2E0}"/>
    <hyperlink ref="L83" r:id="rId82" xr:uid="{6C988656-4F5F-45D9-B0FA-FA7876E322FC}"/>
    <hyperlink ref="L84" r:id="rId83" xr:uid="{CA1046DE-8D23-459B-BC0F-CE5153BC8913}"/>
    <hyperlink ref="L85" r:id="rId84" xr:uid="{240DBD41-6552-41AA-A151-88F036BCAC35}"/>
    <hyperlink ref="L86" r:id="rId85" xr:uid="{F7B5F72F-C6B6-481B-B954-9603671A107C}"/>
    <hyperlink ref="L87" r:id="rId86" xr:uid="{4863CAF9-00DD-4C3C-9460-8A880BD9A743}"/>
    <hyperlink ref="L88" r:id="rId87" xr:uid="{BE17E216-2638-49F5-A2F5-2A9370F0703F}"/>
    <hyperlink ref="L89" r:id="rId88" xr:uid="{6D5DB279-C9E6-402F-ACDE-CBB9EC8AEF5F}"/>
    <hyperlink ref="L90" r:id="rId89" xr:uid="{DB04678A-73CC-4D1D-97DD-4D7B53A468C5}"/>
    <hyperlink ref="L91" r:id="rId90" xr:uid="{F6BE3B03-C1A8-47E8-9FD4-A292B878D5AB}"/>
    <hyperlink ref="L92" r:id="rId91" xr:uid="{06DB0D08-2398-46F8-BF10-022D02F6864F}"/>
    <hyperlink ref="L93" r:id="rId92" xr:uid="{7152C4F1-BE15-42FE-AD16-D8A967D70607}"/>
    <hyperlink ref="L94" r:id="rId93" xr:uid="{65281214-BFA2-49C1-9640-83BF575CC36F}"/>
    <hyperlink ref="L95" r:id="rId94" xr:uid="{D17BA048-670B-49BE-9317-563074D1613D}"/>
    <hyperlink ref="L96" r:id="rId95" xr:uid="{4712065E-B26C-4A89-870C-2BB45CCD6C46}"/>
    <hyperlink ref="L97" r:id="rId96" xr:uid="{6836B8E7-3A90-4E07-8A85-0930347829CB}"/>
    <hyperlink ref="L98" r:id="rId97" xr:uid="{3BBCED11-A085-464B-8B9D-F1B49B4B9F8F}"/>
    <hyperlink ref="L99" r:id="rId98" xr:uid="{AC402FF7-AAE5-411F-BCBE-0B7815C8F110}"/>
    <hyperlink ref="L100" r:id="rId99" xr:uid="{E4DBDCB6-5A33-4EA8-96D3-D43E19200C0D}"/>
    <hyperlink ref="L101" r:id="rId100" xr:uid="{26557AD5-B49C-4731-A9A3-3E7037D57556}"/>
    <hyperlink ref="L102" r:id="rId101" xr:uid="{C66FC2B8-43FC-4AEA-9EAC-1DED29ACACC9}"/>
    <hyperlink ref="L103" r:id="rId102" xr:uid="{0FCFCC59-BC88-4681-9022-10BA333E43B8}"/>
    <hyperlink ref="L104" r:id="rId103" xr:uid="{7A82E0B3-27E1-41FF-B142-D5448FE39E1F}"/>
    <hyperlink ref="L105" r:id="rId104" xr:uid="{B47C8F79-761E-4CFE-A4FF-3E34F535A557}"/>
    <hyperlink ref="L106" r:id="rId105" xr:uid="{DBF338FD-03E9-4C2E-B2C6-35B602F25F66}"/>
    <hyperlink ref="L107" r:id="rId106" xr:uid="{9BB10D4E-D7CC-4CE0-A80E-57272D113F09}"/>
    <hyperlink ref="L108" r:id="rId107" xr:uid="{06287C2D-5306-43FF-8EFE-B85A501C1AE5}"/>
    <hyperlink ref="L109" r:id="rId108" xr:uid="{3D9D01EE-6DB6-4A0E-89D3-A94AEF876689}"/>
    <hyperlink ref="L110" r:id="rId109" xr:uid="{B6862180-A84C-4B8B-BE39-A40688FFC027}"/>
    <hyperlink ref="L111" r:id="rId110" xr:uid="{86E07B43-07EF-4CE2-AEDE-84886873556D}"/>
    <hyperlink ref="L112" r:id="rId111" xr:uid="{EEAA1CDA-FFC4-4E45-9295-A0EFFB541C22}"/>
    <hyperlink ref="L113" r:id="rId112" xr:uid="{1124D928-AA15-4295-86C3-67E727B439E6}"/>
    <hyperlink ref="L114" r:id="rId113" xr:uid="{2534598D-1CB3-4849-9470-E57F0C74AED0}"/>
    <hyperlink ref="L115" r:id="rId114" xr:uid="{6368B779-1657-4381-985D-6591C3FC89A1}"/>
    <hyperlink ref="L116" r:id="rId115" xr:uid="{DD76FF88-9A16-4FA7-B49D-525455E7D505}"/>
    <hyperlink ref="L117" r:id="rId116" xr:uid="{FE94B4CE-E35A-43E9-96D5-26CE4ACF2623}"/>
    <hyperlink ref="L118" r:id="rId117" xr:uid="{748E5B96-8FB6-4636-AAF2-DAC76F7B60C8}"/>
    <hyperlink ref="L119" r:id="rId118" xr:uid="{67B60642-2079-442E-8C69-9265180CB859}"/>
    <hyperlink ref="L120" r:id="rId119" xr:uid="{7DA2542B-7E8B-4AB6-ADD3-97303D32D2D7}"/>
    <hyperlink ref="L121" r:id="rId120" xr:uid="{4DB2D2F2-1C51-4C87-B683-F38E8C2997D3}"/>
    <hyperlink ref="L122" r:id="rId121" xr:uid="{0F909C2C-644D-41E2-8011-F645354EC527}"/>
    <hyperlink ref="L123" r:id="rId122" xr:uid="{137AB2C2-FEE3-4F53-9F9A-0D89E9189EE5}"/>
    <hyperlink ref="L124" r:id="rId123" xr:uid="{D5EBC7E5-D150-497B-B7F3-6A7932428F00}"/>
    <hyperlink ref="L125" r:id="rId124" xr:uid="{18AF61DE-AD32-46A7-A708-D008276D7D73}"/>
    <hyperlink ref="L126" r:id="rId125" xr:uid="{9416E301-3FF3-45B0-B966-CD23B0348A73}"/>
    <hyperlink ref="L127" r:id="rId126" xr:uid="{8FA854E3-5841-40D8-8256-EF0DCB7D1964}"/>
    <hyperlink ref="L128" r:id="rId127" xr:uid="{280D7BBE-12AB-4741-A468-50C0C07F1C2C}"/>
    <hyperlink ref="L129" r:id="rId128" xr:uid="{1EE62C2D-7598-4223-91F7-A3DC448D15D7}"/>
    <hyperlink ref="L130" r:id="rId129" xr:uid="{12C0BD8F-AF4A-442E-A977-D6BE3F03C153}"/>
    <hyperlink ref="L131" r:id="rId130" xr:uid="{65094599-3B35-49EB-BC92-6A25E8C4ED0D}"/>
    <hyperlink ref="L132" r:id="rId131" xr:uid="{3DBC8A1A-4220-4F57-BC42-19F578A51B5C}"/>
    <hyperlink ref="L133" r:id="rId132" xr:uid="{7142CD00-F5D8-49A9-9A01-B9070828E28D}"/>
    <hyperlink ref="L134" r:id="rId133" xr:uid="{39D3EC16-6E09-4508-BF15-CA1E45DB7C5C}"/>
    <hyperlink ref="L135" r:id="rId134" xr:uid="{CD8555BA-7780-4514-9D44-7828DE2A6690}"/>
    <hyperlink ref="L136" r:id="rId135" xr:uid="{96AFD391-D767-4F93-ACEA-2AF9A0883810}"/>
    <hyperlink ref="L137" r:id="rId136" xr:uid="{4BDEE33D-5381-4AE9-99AC-C3C31696E4A2}"/>
    <hyperlink ref="L138" r:id="rId137" xr:uid="{9806B18A-A409-4100-A4D2-AB0BBBA91A4E}"/>
    <hyperlink ref="L139" r:id="rId138" xr:uid="{7C89F3FA-DA6B-40E7-98E2-D0664C8FA7E4}"/>
    <hyperlink ref="L140" r:id="rId139" xr:uid="{00A623FF-CF4A-423E-B838-213E1320E3BE}"/>
    <hyperlink ref="L141" r:id="rId140" xr:uid="{968FFEEB-A50D-4EEE-9AAC-CA7731831A19}"/>
    <hyperlink ref="L142" r:id="rId141" xr:uid="{E3D3B257-8A0B-4C0A-B824-4C433FA7903E}"/>
    <hyperlink ref="L143" r:id="rId142" xr:uid="{B96C2384-2960-4474-BFF5-03935B841558}"/>
    <hyperlink ref="L144" r:id="rId143" xr:uid="{8D78935F-52DB-468A-B001-F495D6C0E398}"/>
    <hyperlink ref="L145" r:id="rId144" xr:uid="{93038127-0A56-45AD-9713-81E68A8A82D6}"/>
    <hyperlink ref="L146" r:id="rId145" xr:uid="{004F03C0-22B0-40EA-BB02-89B5EE62B5B4}"/>
    <hyperlink ref="L147" r:id="rId146" xr:uid="{CBA84CCF-2A79-42C5-84A9-71FBBA112A19}"/>
    <hyperlink ref="L148" r:id="rId147" xr:uid="{CE13F055-7993-40CE-AF44-0BEB1DCEE9BE}"/>
    <hyperlink ref="L149" r:id="rId148" xr:uid="{4A530207-2F0A-427A-B4DF-9DD10E0E187C}"/>
    <hyperlink ref="L150" r:id="rId149" xr:uid="{3F41C806-A833-44EE-A698-759458C86A36}"/>
    <hyperlink ref="L151" r:id="rId150" xr:uid="{283407F1-4868-46F4-B810-AEE7F58CCD91}"/>
    <hyperlink ref="L152" r:id="rId151" xr:uid="{8E15B2EA-1B05-45BF-9FC2-F67FBBC6B148}"/>
    <hyperlink ref="L153" r:id="rId152" xr:uid="{A539747D-B2FB-47B3-8EE7-8DBC2C72BB78}"/>
    <hyperlink ref="L154" r:id="rId153" xr:uid="{A16954AF-A4D6-4A2F-8EE7-02A5EB7CB911}"/>
    <hyperlink ref="L155" r:id="rId154" xr:uid="{9A69085B-BA34-4B5D-99A1-2B8C9361AF3E}"/>
    <hyperlink ref="L156" r:id="rId155" xr:uid="{E9A79B26-B5DF-4FA9-A3CE-D25FE6E5B90F}"/>
    <hyperlink ref="L157" r:id="rId156" xr:uid="{3B561DB5-B366-407A-9661-FA15951C2EC6}"/>
    <hyperlink ref="L158" r:id="rId157" xr:uid="{18276B23-25CC-4496-A4B3-5AE42BF0253A}"/>
    <hyperlink ref="L159" r:id="rId158" xr:uid="{2084F93B-7869-4D40-B8E9-CBCD101888BB}"/>
    <hyperlink ref="L160" r:id="rId159" xr:uid="{84AB84E5-E336-4195-820F-EFF598DCE46F}"/>
    <hyperlink ref="L161" r:id="rId160" xr:uid="{A634A1F3-F795-4479-A132-BE36CC65C7E8}"/>
    <hyperlink ref="L162" r:id="rId161" xr:uid="{806CDBBA-8AEE-4307-9BDF-F571563FE37C}"/>
    <hyperlink ref="L163" r:id="rId162" xr:uid="{0D0170F3-9449-4097-9497-2BC0A24DA64A}"/>
    <hyperlink ref="L164" r:id="rId163" xr:uid="{70C8C4B8-1543-423C-8648-CB279CC0391C}"/>
    <hyperlink ref="L165" r:id="rId164" xr:uid="{D4F44323-7763-4C92-AB5D-797A04BFBF18}"/>
    <hyperlink ref="L166" r:id="rId165" xr:uid="{46213D51-819C-45D7-8FF2-099AC1A43EA2}"/>
    <hyperlink ref="L167" r:id="rId166" xr:uid="{6F25E515-9762-48F6-9375-8422C40FE646}"/>
    <hyperlink ref="L168" r:id="rId167" xr:uid="{52DDDB62-8589-416C-9854-F8201B3D8B89}"/>
    <hyperlink ref="L169" r:id="rId168" xr:uid="{2A8C3E26-462A-4840-ABDD-448A7E689725}"/>
    <hyperlink ref="L170" r:id="rId169" xr:uid="{DC41D9D6-AB0F-4E6A-98EC-6AA62C12B176}"/>
    <hyperlink ref="L171" r:id="rId170" xr:uid="{1A699263-23EF-4D41-BF7F-6D0C4B3B3249}"/>
    <hyperlink ref="L172" r:id="rId171" xr:uid="{CA5900E2-8225-4C00-BB79-7D5D691597AA}"/>
    <hyperlink ref="L173" r:id="rId172" xr:uid="{F9AF3FF9-BF44-40F0-A7AA-501E52DC9F6B}"/>
    <hyperlink ref="L174" r:id="rId173" xr:uid="{E2166CF8-5E8D-4778-873B-69F86098A8E4}"/>
    <hyperlink ref="L175" r:id="rId174" xr:uid="{DDF3825A-15B6-44BD-9A93-B7D3DA77AD02}"/>
    <hyperlink ref="L176" r:id="rId175" xr:uid="{B16F9C49-766B-4CD3-B7B1-878FBB5EB0CF}"/>
    <hyperlink ref="L177" r:id="rId176" xr:uid="{D29154A4-591A-4293-B29B-CF61A2C3B7A8}"/>
    <hyperlink ref="L178" r:id="rId177" xr:uid="{6168BB79-B57C-492D-A272-E147F2E2433B}"/>
    <hyperlink ref="L179" r:id="rId178" xr:uid="{5838E3D8-831E-4021-A9CD-FC23310B0A89}"/>
    <hyperlink ref="L180" r:id="rId179" xr:uid="{B2BA832C-1FEE-4821-A19D-501A08CCE33E}"/>
    <hyperlink ref="L181" r:id="rId180" xr:uid="{918F1030-A7C3-4EEB-BC39-C4E1E0040558}"/>
    <hyperlink ref="L182" r:id="rId181" xr:uid="{442E8C75-9FD4-424A-8ADD-F7990C316DE6}"/>
    <hyperlink ref="L183" r:id="rId182" xr:uid="{BAEC5126-C095-4CB8-94BC-7DC8ACF1D288}"/>
    <hyperlink ref="L184" r:id="rId183" xr:uid="{35801D53-4509-461F-8626-DC8DA7EB1649}"/>
    <hyperlink ref="L185" r:id="rId184" xr:uid="{C182B627-28F2-4C01-A5F9-95B951FF6CBF}"/>
    <hyperlink ref="L186" r:id="rId185" xr:uid="{AC665CEB-9AF2-4EC6-AD43-8F49F758B4F7}"/>
    <hyperlink ref="L187" r:id="rId186" xr:uid="{CF772415-3555-4095-8B8E-0B64EC5D4448}"/>
    <hyperlink ref="L188" r:id="rId187" xr:uid="{514B2417-111A-4679-8A43-2CF5BCC07468}"/>
    <hyperlink ref="L189" r:id="rId188" xr:uid="{A388888A-D79D-4BC9-B9CD-98AC76E5E8C1}"/>
    <hyperlink ref="L190" r:id="rId189" xr:uid="{786F3FFB-5CBD-442A-89D6-10D739D338D4}"/>
    <hyperlink ref="L191" r:id="rId190" xr:uid="{5E6BEB2E-7F25-417E-9097-B880152E7EF6}"/>
    <hyperlink ref="L192" r:id="rId191" xr:uid="{44A82C27-CA18-4668-B7FF-4974167B9AB5}"/>
    <hyperlink ref="L193" r:id="rId192" xr:uid="{F06DAC29-05C1-4BF1-BE76-DFE7B5C55432}"/>
    <hyperlink ref="L194" r:id="rId193" xr:uid="{1B2E6D31-A1ED-444E-BB2C-F2C8195BB849}"/>
    <hyperlink ref="L195" r:id="rId194" xr:uid="{605442D2-769C-4EA4-8AF3-3D3AEBB53CF5}"/>
    <hyperlink ref="L196" r:id="rId195" xr:uid="{E896C0CD-6A8C-4887-8848-D2DAEFC46ADE}"/>
    <hyperlink ref="L197" r:id="rId196" xr:uid="{08DA3B06-978A-46D8-AD63-8976E598FCFC}"/>
    <hyperlink ref="L198" r:id="rId197" xr:uid="{528A5E42-B639-4EA2-9C7D-DA2EB523B0C5}"/>
    <hyperlink ref="L199" r:id="rId198" xr:uid="{2E2B4207-DCEC-40FC-928B-D4B89A44BA01}"/>
    <hyperlink ref="L200" r:id="rId199" xr:uid="{4ADEB7F2-1E7D-4178-9B44-CFDDB413E73D}"/>
    <hyperlink ref="L201" r:id="rId200" xr:uid="{16FB23E9-197F-4E1D-83E9-07DAFE86E6A5}"/>
    <hyperlink ref="L202" r:id="rId201" xr:uid="{98D8562A-104C-456A-BC16-B41B8D451155}"/>
    <hyperlink ref="L203" r:id="rId202" xr:uid="{E9325BD8-36FD-4E86-BBA9-A6154C2F3568}"/>
    <hyperlink ref="L204" r:id="rId203" xr:uid="{2B8A6AA2-7BBC-4C74-BE33-49444FDAE3EA}"/>
    <hyperlink ref="L205" r:id="rId204" xr:uid="{90A083E5-7386-42ED-ABC0-DF6498995E43}"/>
    <hyperlink ref="L206" r:id="rId205" xr:uid="{CA045272-11AC-4E14-8B3F-92BCD7860982}"/>
    <hyperlink ref="L207" r:id="rId206" xr:uid="{AB634FE6-9ADA-40D0-B873-C5F7BD5B0FA0}"/>
    <hyperlink ref="L208" r:id="rId207" xr:uid="{8FB04DA2-DBA3-4658-810F-B994520B62CA}"/>
    <hyperlink ref="L209" r:id="rId208" xr:uid="{60D99C23-147A-46F9-9705-7FF80FC48E1A}"/>
    <hyperlink ref="L210" r:id="rId209" xr:uid="{5591DEA9-1D24-44BA-9E8A-E90DC02D7736}"/>
    <hyperlink ref="L211" r:id="rId210" xr:uid="{030E72AD-7AE8-4BE4-A65C-B9727D50EEB9}"/>
    <hyperlink ref="L212" r:id="rId211" xr:uid="{C516E350-456F-4E00-B462-89EA4FBB6453}"/>
    <hyperlink ref="L213" r:id="rId212" xr:uid="{A14EBEC8-2A00-4EB8-BA10-0389C6BD998C}"/>
    <hyperlink ref="L214" r:id="rId213" xr:uid="{F61EBFBD-B321-4867-A36D-BDAABE7B06D3}"/>
    <hyperlink ref="L215" r:id="rId214" xr:uid="{2FD9F6E6-A1AB-43CE-BFE9-A654B6F22132}"/>
    <hyperlink ref="L216" r:id="rId215" xr:uid="{1D0559E7-F600-47F5-89B2-D6DCC75D6CC8}"/>
    <hyperlink ref="L217" r:id="rId216" xr:uid="{6984A098-BBF9-43F1-B514-181C5B8FF65F}"/>
    <hyperlink ref="L218" r:id="rId217" xr:uid="{DCA171E3-2800-491C-9FCD-0498FF524C2C}"/>
    <hyperlink ref="L219" r:id="rId218" xr:uid="{78E2E41D-5259-4DB1-9650-649D94161577}"/>
    <hyperlink ref="L220" r:id="rId219" xr:uid="{12EA8A6E-72A4-45C4-A75C-68339D31CAAD}"/>
    <hyperlink ref="L221" r:id="rId220" xr:uid="{39B92737-C557-4D97-8E5F-AA8CB611C9CB}"/>
    <hyperlink ref="L222" r:id="rId221" xr:uid="{0594BD7A-0149-4DCE-8532-5FD7ACF11ECF}"/>
    <hyperlink ref="L223" r:id="rId222" xr:uid="{76CF91AE-7AB1-4E4F-9D31-ED2DFA82728A}"/>
    <hyperlink ref="L224" r:id="rId223" xr:uid="{BBDB1336-4020-497E-A020-C568902A3C5B}"/>
    <hyperlink ref="L225" r:id="rId224" xr:uid="{EC0E73A3-A2B5-48AF-91D8-25F94A37FEF3}"/>
    <hyperlink ref="L226" r:id="rId225" xr:uid="{86CFC3EB-942A-4E3F-8E5E-F9DA2E87A7B1}"/>
    <hyperlink ref="L227" r:id="rId226" xr:uid="{CB92901F-0E7F-4516-84B3-A1125B7C9576}"/>
    <hyperlink ref="L228" r:id="rId227" xr:uid="{E1C72993-06F7-4B8F-B099-4FD68B6C5D44}"/>
    <hyperlink ref="L229" r:id="rId228" xr:uid="{2CC41117-70CF-4E99-BD73-1F56BA83BA8D}"/>
    <hyperlink ref="L230" r:id="rId229" xr:uid="{B6839A06-BD8A-4054-A1E8-626475EC86B3}"/>
    <hyperlink ref="L231" r:id="rId230" xr:uid="{D6B153F4-86B4-4873-B84B-C6FA32580331}"/>
    <hyperlink ref="L232" r:id="rId231" xr:uid="{EBC8E27F-D336-4C8A-9F18-C17A9D09CA4C}"/>
    <hyperlink ref="L233" r:id="rId232" xr:uid="{9C959E55-FBAA-4158-BD2C-02A374411353}"/>
    <hyperlink ref="L234" r:id="rId233" xr:uid="{8C13DFE5-C72B-4172-9038-BFA54D4C23EF}"/>
    <hyperlink ref="L235" r:id="rId234" xr:uid="{9B708760-6C56-463E-8E7D-907DF9C656B8}"/>
    <hyperlink ref="L236" r:id="rId235" xr:uid="{20D60D12-B074-431C-9F34-D8DAEB286EC1}"/>
    <hyperlink ref="L237" r:id="rId236" xr:uid="{3E56FEF0-89F4-4EF9-AE2D-23480B67DE6D}"/>
    <hyperlink ref="L238" r:id="rId237" xr:uid="{D50FBF60-0C15-427A-9EA9-0CD9219ACDB5}"/>
    <hyperlink ref="L239" r:id="rId238" xr:uid="{2243F5A7-5B5B-450B-AC12-CA3209E8C23A}"/>
    <hyperlink ref="L240" r:id="rId239" xr:uid="{7D9F85C4-8783-4DAA-B27B-8888FB9C0D15}"/>
    <hyperlink ref="L241" r:id="rId240" xr:uid="{D2053974-60CA-4D67-AEC4-A83EF7B3B8F1}"/>
    <hyperlink ref="L242" r:id="rId241" xr:uid="{1B58B7A5-6FD4-4501-8C19-A4CE9A69BD9D}"/>
    <hyperlink ref="L243" r:id="rId242" xr:uid="{C551A53B-9E3F-4C2E-9687-BD03F7A1584D}"/>
    <hyperlink ref="L244" r:id="rId243" xr:uid="{9F1E4AB8-0B4F-43F7-8F0D-650468529DB8}"/>
    <hyperlink ref="L245" r:id="rId244" xr:uid="{95F129EB-D790-4F86-961F-BD88E28566CB}"/>
    <hyperlink ref="L246" r:id="rId245" xr:uid="{E1558762-D0D4-4F30-B42A-481D11B84A7D}"/>
    <hyperlink ref="L247" r:id="rId246" xr:uid="{8A8700FA-8DB6-4A9A-9CC5-AE44534F69E4}"/>
    <hyperlink ref="L248" r:id="rId247" xr:uid="{2210C3D5-B8F9-4B2C-8689-3A4B08E48116}"/>
    <hyperlink ref="L249" r:id="rId248" xr:uid="{0F60411F-91A6-4E3F-B707-71CF9890006D}"/>
    <hyperlink ref="L250" r:id="rId249" xr:uid="{67925AAA-9A1F-4DE6-A230-CD72B604CE41}"/>
    <hyperlink ref="L251" r:id="rId250" xr:uid="{DE92B6B2-EC76-4D68-9659-34524935F52C}"/>
    <hyperlink ref="L252" r:id="rId251" xr:uid="{7A8302EA-9E0F-48D1-890F-97504040482E}"/>
    <hyperlink ref="L253" r:id="rId252" xr:uid="{4CD6E44B-4C9B-4BA8-8624-A881A4B97B4F}"/>
    <hyperlink ref="L254" r:id="rId253" xr:uid="{0E7722B6-64D7-4537-BD05-A3E11FC8AC6F}"/>
    <hyperlink ref="L255" r:id="rId254" xr:uid="{A9FB6297-C9D0-4B1A-A919-62436C6BFB0C}"/>
    <hyperlink ref="L256" r:id="rId255" xr:uid="{983EE20E-9B1E-4735-9661-D8325F92B75C}"/>
    <hyperlink ref="L257" r:id="rId256" xr:uid="{BCEF8202-1936-4EE1-AD5E-8E17B2CB5D2F}"/>
    <hyperlink ref="L258" r:id="rId257" xr:uid="{6ACB2592-F6E0-4557-B0D4-286D0B8A21AE}"/>
    <hyperlink ref="L259" r:id="rId258" xr:uid="{14F7A058-4835-470D-A3FF-45DB1F967983}"/>
    <hyperlink ref="L260" r:id="rId259" xr:uid="{BE5A9B95-E1C2-46D3-9700-D8DFC25DE789}"/>
    <hyperlink ref="L261" r:id="rId260" xr:uid="{A52952AF-C08E-4145-B42C-8F13C02B972F}"/>
    <hyperlink ref="L262" r:id="rId261" xr:uid="{5C948CEF-9AC4-4725-9943-67A9E1BCA91D}"/>
    <hyperlink ref="L263" r:id="rId262" xr:uid="{C58BD77E-79AF-4797-9825-991C8F6AC53F}"/>
    <hyperlink ref="L264" r:id="rId263" xr:uid="{0BE4C786-CE33-45EC-97A3-5DC6023B59A2}"/>
    <hyperlink ref="L265" r:id="rId264" xr:uid="{FCE13287-5C46-4B24-970B-8BE9DD535CBA}"/>
    <hyperlink ref="L266" r:id="rId265" xr:uid="{4ADA488F-6249-422A-B74D-C4B6AF772C8F}"/>
    <hyperlink ref="L267" r:id="rId266" xr:uid="{956D103D-45E3-4633-8781-4288E431C539}"/>
    <hyperlink ref="L268" r:id="rId267" xr:uid="{930B7D8E-F4A1-4E0F-AE06-6F4D490BBC37}"/>
    <hyperlink ref="L269" r:id="rId268" xr:uid="{8F05FF2F-271B-4C7A-B314-034DD500EE99}"/>
    <hyperlink ref="L270" r:id="rId269" xr:uid="{3AC7FCD4-06E0-497F-9041-9E842A9804A4}"/>
    <hyperlink ref="L271" r:id="rId270" xr:uid="{DD1B6B50-BB49-41B5-A440-4673327E2361}"/>
    <hyperlink ref="L272" r:id="rId271" xr:uid="{D36997C6-E6E2-4CDB-AADB-CDBB1F94DFFB}"/>
    <hyperlink ref="L273" r:id="rId272" xr:uid="{67AB2072-5D73-4F32-A865-F6B2A21C8F34}"/>
    <hyperlink ref="L274" r:id="rId273" xr:uid="{4205FC32-3A9A-4533-9276-EECA60C4A40E}"/>
    <hyperlink ref="L275" r:id="rId274" xr:uid="{15F7AD88-EEBE-4947-879B-4D90120A9D65}"/>
    <hyperlink ref="L276" r:id="rId275" xr:uid="{383A5B41-C206-4F16-9532-5DC7A763B79E}"/>
    <hyperlink ref="L277" r:id="rId276" xr:uid="{ED00788D-F31C-4036-8C38-E4236D21994E}"/>
    <hyperlink ref="L278" r:id="rId277" xr:uid="{E53547B3-7F86-4281-9794-DFA20F7ABDD0}"/>
    <hyperlink ref="L279" r:id="rId278" xr:uid="{BD6AC8B1-2CA7-4DEE-9DDC-39B6298EE05C}"/>
    <hyperlink ref="L280" r:id="rId279" xr:uid="{FF427F68-E0A6-4F80-A42B-F0A1D5473FBE}"/>
    <hyperlink ref="L281" r:id="rId280" xr:uid="{E7A8F912-75E6-4A62-9A51-AE8C45739162}"/>
    <hyperlink ref="L282" r:id="rId281" xr:uid="{2C19572B-ACFF-4EF4-B3C4-B34D3F45C303}"/>
    <hyperlink ref="L283" r:id="rId282" xr:uid="{580D44D8-CED0-4E9E-B9E8-183DDE514CC3}"/>
    <hyperlink ref="L284" r:id="rId283" xr:uid="{8A42BE77-C79D-4CFA-A4B1-9C8D377F42CA}"/>
    <hyperlink ref="L285" r:id="rId284" xr:uid="{9B18789E-02BE-4CC5-ABC7-9A93279EA031}"/>
    <hyperlink ref="L286" r:id="rId285" xr:uid="{FF88973B-3399-4C22-93E8-E76636261278}"/>
    <hyperlink ref="L287" r:id="rId286" xr:uid="{B94329DB-6896-4634-8032-1EC9E20D1018}"/>
    <hyperlink ref="L288" r:id="rId287" xr:uid="{7330AD1F-02DA-4B33-92B5-6CDA12C3E44C}"/>
    <hyperlink ref="L289" r:id="rId288" xr:uid="{67026A8C-A854-4477-9BBF-413BCBD96E90}"/>
    <hyperlink ref="L290" r:id="rId289" xr:uid="{71BEFADE-45B8-4DAA-92FE-EDD858571F18}"/>
    <hyperlink ref="L291" r:id="rId290" xr:uid="{7343C66B-56AF-4A79-8BD9-C805C352FE04}"/>
    <hyperlink ref="L292" r:id="rId291" xr:uid="{038DCF16-706D-4B3B-8765-E5D15EDE1374}"/>
    <hyperlink ref="L293" r:id="rId292" xr:uid="{5BF3C4E7-DE35-4BE6-9DBA-93CA2FA17730}"/>
    <hyperlink ref="L294" r:id="rId293" xr:uid="{2BBFFEE1-5485-4BC9-950D-CEDDB890F885}"/>
    <hyperlink ref="L295" r:id="rId294" xr:uid="{DDEE6BFF-D138-47F9-9035-F687BAE67ADE}"/>
    <hyperlink ref="L296" r:id="rId295" xr:uid="{9FA78350-5E0F-4D5C-A837-0251E43E98A2}"/>
    <hyperlink ref="L297" r:id="rId296" xr:uid="{40775C7A-0A41-4E16-8B9D-885A3A7BAD01}"/>
    <hyperlink ref="L298" r:id="rId297" xr:uid="{977C175C-1CEA-409B-BDD0-28775E198B74}"/>
    <hyperlink ref="L299" r:id="rId298" xr:uid="{40FB0432-BC71-4B2F-92D8-E9074002E0A1}"/>
    <hyperlink ref="L300" r:id="rId299" xr:uid="{0A9C82AD-41C6-4EEB-B918-D4144F793EF9}"/>
    <hyperlink ref="L301" r:id="rId300" xr:uid="{026DF685-2B12-400C-A887-B9ABEE8209AC}"/>
    <hyperlink ref="L302" r:id="rId301" xr:uid="{66C1BAF9-1DA8-4DED-A35B-5F3BF30079C8}"/>
    <hyperlink ref="L303" r:id="rId302" xr:uid="{18D176D5-113F-4324-B2CF-9496D9038EBB}"/>
    <hyperlink ref="L304" r:id="rId303" xr:uid="{439A5F03-D174-400E-AE48-8188BD3E589F}"/>
    <hyperlink ref="L305" r:id="rId304" xr:uid="{B09F4008-2C36-4827-94A2-16A08CDF42DF}"/>
    <hyperlink ref="L306" r:id="rId305" xr:uid="{D3D9137F-404C-4D49-924A-E4ECC215BE06}"/>
    <hyperlink ref="L307" r:id="rId306" xr:uid="{86A17310-728C-42D2-AC8F-3765CB6436AC}"/>
    <hyperlink ref="L308" r:id="rId307" xr:uid="{D0AE8D16-E109-4856-A6A6-98612E4AAC88}"/>
    <hyperlink ref="L309" r:id="rId308" xr:uid="{E36D1B1A-1A2C-4F29-A7A6-1A63949CA50E}"/>
    <hyperlink ref="L310" r:id="rId309" xr:uid="{BF0A04E7-5BB0-448F-A12E-AF0FD98D68C0}"/>
    <hyperlink ref="L311" r:id="rId310" xr:uid="{8FE2E4F1-B3B3-416F-A7A7-F8BF93A319D5}"/>
    <hyperlink ref="L312" r:id="rId311" xr:uid="{BB4182CE-0689-4EE2-B288-C0ED6ECC7362}"/>
    <hyperlink ref="L313" r:id="rId312" xr:uid="{14B06675-D9E5-43FF-A7D8-D63F6034976F}"/>
    <hyperlink ref="L314" r:id="rId313" xr:uid="{4A2475E3-9890-436D-8FE7-7695B7DC274E}"/>
    <hyperlink ref="L315" r:id="rId314" xr:uid="{25B8FBAF-0741-430B-85CC-72A91AF13547}"/>
    <hyperlink ref="L316" r:id="rId315" xr:uid="{B290BE23-4053-45BA-806A-325DEC6BA4CF}"/>
    <hyperlink ref="L317" r:id="rId316" xr:uid="{A0F48E1A-2BFC-4EDB-A7AA-FDCD149D965A}"/>
    <hyperlink ref="L318" r:id="rId317" xr:uid="{0874501D-D393-41C8-AE42-50CE2456D53C}"/>
    <hyperlink ref="L319" r:id="rId318" xr:uid="{692F6908-D6E4-4C17-A2F4-1C0F18AC59C5}"/>
    <hyperlink ref="L320" r:id="rId319" xr:uid="{C78BABFF-48E2-4468-9674-950486889088}"/>
    <hyperlink ref="L321" r:id="rId320" xr:uid="{2E48014E-5B5E-4885-9F65-9A993FA90A58}"/>
    <hyperlink ref="L322" r:id="rId321" xr:uid="{C7467561-4A89-4A77-B0F8-5B6B9F970A80}"/>
    <hyperlink ref="L323" r:id="rId322" xr:uid="{FA077CE3-F6F6-4F39-9715-1A62945DA4FA}"/>
    <hyperlink ref="L324" r:id="rId323" xr:uid="{4D548E88-3541-45C0-85DF-D837C103FC77}"/>
    <hyperlink ref="L325" r:id="rId324" xr:uid="{346AF7BE-452A-4ED1-B6DF-90F83BB1F808}"/>
    <hyperlink ref="L326" r:id="rId325" xr:uid="{ED8B5852-DD4D-428C-A1E9-CAFC4D384C0C}"/>
    <hyperlink ref="L327" r:id="rId326" xr:uid="{5861EAD3-A4DA-4608-B74D-66D475122D9E}"/>
    <hyperlink ref="L328" r:id="rId327" xr:uid="{F619D6E3-6A26-4040-AC01-AD534DF395C7}"/>
    <hyperlink ref="L329" r:id="rId328" xr:uid="{9C34FB0B-51A4-46B5-BCCB-2BDEC9DCB3A1}"/>
    <hyperlink ref="L330" r:id="rId329" xr:uid="{FE07673B-037B-497C-97DF-99BCAEDD0643}"/>
    <hyperlink ref="L331" r:id="rId330" xr:uid="{6AAF686A-492A-4A5A-B809-60AE607E39BE}"/>
    <hyperlink ref="L332" r:id="rId331" xr:uid="{CA06F43B-CA2B-43F6-97CE-04DC6C2B17F5}"/>
    <hyperlink ref="L333" r:id="rId332" xr:uid="{90323681-4B66-41D7-9807-F5D74AD3A28E}"/>
    <hyperlink ref="L334" r:id="rId333" xr:uid="{6BE09EB4-8B41-4E1F-B997-3D5305449CB1}"/>
    <hyperlink ref="L335" r:id="rId334" xr:uid="{286B1453-B24A-4F48-971A-D47376A43966}"/>
    <hyperlink ref="L336" r:id="rId335" xr:uid="{F11F2A0F-38C2-4403-9202-10E7DD539E8F}"/>
    <hyperlink ref="L337" r:id="rId336" xr:uid="{CD44A008-7DE7-46E1-AE70-F2A9EDDEF837}"/>
    <hyperlink ref="L338" r:id="rId337" xr:uid="{77944E21-2FE8-4144-93D8-532DEC0D91BE}"/>
    <hyperlink ref="L339" r:id="rId338" xr:uid="{766E4AA8-321E-4BFD-AE1E-09C501596681}"/>
    <hyperlink ref="L340" r:id="rId339" xr:uid="{9049D589-8C02-4864-B482-ED748029948F}"/>
    <hyperlink ref="L341" r:id="rId340" xr:uid="{C51BA153-118E-45C4-8140-F9CF0598EA83}"/>
    <hyperlink ref="L342" r:id="rId341" xr:uid="{6BC3E8E8-A631-48C3-A864-FD5AD9963283}"/>
    <hyperlink ref="L343" r:id="rId342" xr:uid="{456D5D6F-355A-458D-9D02-028B7598AD16}"/>
    <hyperlink ref="L344" r:id="rId343" xr:uid="{C8852A11-3A81-45BF-BC2F-0F72CFBBF68F}"/>
    <hyperlink ref="L345" r:id="rId344" xr:uid="{47AE006E-4E17-4754-B84B-E94E86CF31A9}"/>
    <hyperlink ref="L346" r:id="rId345" xr:uid="{05CCD35F-0DEE-4B2D-BB4A-175306AE277A}"/>
    <hyperlink ref="L347" r:id="rId346" xr:uid="{094E0055-4966-4B2E-BC0C-719BD821CA8D}"/>
    <hyperlink ref="L348" r:id="rId347" xr:uid="{6E94F081-DFF8-451D-B735-F76FF98C27C4}"/>
    <hyperlink ref="L349" r:id="rId348" xr:uid="{BFFAE644-D89E-4F05-B1F9-EB91A87EA501}"/>
    <hyperlink ref="L350" r:id="rId349" xr:uid="{E176AA14-A960-4189-BF7C-B453240EE84E}"/>
    <hyperlink ref="L351" r:id="rId350" xr:uid="{FA341344-20B2-4BC1-B500-41867C7EE060}"/>
    <hyperlink ref="L352" r:id="rId351" xr:uid="{CEB40855-7FD7-4EEF-92FD-CBD8199BB2CF}"/>
    <hyperlink ref="L353" r:id="rId352" xr:uid="{A6ACAFA4-29E6-4225-A0C9-678179997634}"/>
    <hyperlink ref="L354" r:id="rId353" xr:uid="{3609F246-FE96-4286-80B8-02EF3E97EE9E}"/>
    <hyperlink ref="L355" r:id="rId354" xr:uid="{9302F96C-95CA-4656-8127-276CB6453996}"/>
    <hyperlink ref="L356" r:id="rId355" xr:uid="{8B18FA70-4F3B-4174-BF87-FDE5B7132632}"/>
    <hyperlink ref="L357" r:id="rId356" xr:uid="{35C61DBB-CB7F-4501-BFB6-2E3217A50265}"/>
    <hyperlink ref="L358" r:id="rId357" xr:uid="{980548BB-48BA-4B0D-94B7-5FB6EF248860}"/>
    <hyperlink ref="L359" r:id="rId358" xr:uid="{DBAB2047-994A-4274-92BD-78F663A17F7D}"/>
    <hyperlink ref="L360" r:id="rId359" xr:uid="{03E6BD1C-6DEF-4D4D-B810-6EB53B3089CE}"/>
    <hyperlink ref="L361" r:id="rId360" xr:uid="{C8CD29C6-1889-4A47-B7ED-D4EEB447AAB2}"/>
    <hyperlink ref="L362" r:id="rId361" xr:uid="{5FFD6D04-5BB7-4F07-9C94-7FF7BCDB98F2}"/>
    <hyperlink ref="L363" r:id="rId362" xr:uid="{39B4C615-14B2-468A-8120-9723DA0EB095}"/>
    <hyperlink ref="L364" r:id="rId363" xr:uid="{2141D08C-4628-4D0F-BF11-9C4BCFA5097F}"/>
    <hyperlink ref="L365" r:id="rId364" xr:uid="{CD625BF0-4741-421E-A6A9-B48F113C0D87}"/>
    <hyperlink ref="L366" r:id="rId365" xr:uid="{FA6D1BE5-39F1-4165-ACF5-E3554E49DAC9}"/>
    <hyperlink ref="L367" r:id="rId366" xr:uid="{A16BE870-49B6-4E11-9828-356887649EE2}"/>
    <hyperlink ref="L368" r:id="rId367" xr:uid="{60F95413-0E58-4099-A1BD-12B025514D53}"/>
    <hyperlink ref="L369" r:id="rId368" xr:uid="{8CEB6199-5DBD-4757-B7D0-E9E52650468D}"/>
    <hyperlink ref="L370" r:id="rId369" xr:uid="{3534D10E-BDB2-47C4-B5C7-5306CE45E95E}"/>
    <hyperlink ref="L371" r:id="rId370" xr:uid="{DFA18959-FFEC-48DE-BBAD-2EDD241E4EE6}"/>
    <hyperlink ref="L372" r:id="rId371" xr:uid="{DC52B04F-F476-4EA6-B541-E3755499516E}"/>
    <hyperlink ref="L373" r:id="rId372" xr:uid="{B1EED71B-3F55-467A-9A85-777F55302F7B}"/>
    <hyperlink ref="L374" r:id="rId373" xr:uid="{11AF1AE7-7B7C-4060-A814-EC9C5B5F59AB}"/>
    <hyperlink ref="L375" r:id="rId374" xr:uid="{B5A4B16E-6C49-410A-9037-7C514182D931}"/>
    <hyperlink ref="L378" r:id="rId375" xr:uid="{BBB18086-096E-4E50-A158-40B4F9C65232}"/>
    <hyperlink ref="L379" r:id="rId376" xr:uid="{B263506A-BC8F-4143-BFAE-9274C974B8CA}"/>
    <hyperlink ref="L380" r:id="rId377" xr:uid="{B0FE9659-EE7D-4045-8726-8595AD89E2A6}"/>
    <hyperlink ref="L381" r:id="rId378" xr:uid="{EB25B726-8D5D-438F-A142-7685284CA2C5}"/>
    <hyperlink ref="L382" r:id="rId379" xr:uid="{3CC71EEC-0291-486B-A36F-75D6550CDFA1}"/>
    <hyperlink ref="L383" r:id="rId380" xr:uid="{C8B0A6DE-8552-4F0A-869B-16F7A9963CFA}"/>
    <hyperlink ref="L384" r:id="rId381" xr:uid="{1BF9818F-7A37-494F-8FE7-D441C9E342E3}"/>
    <hyperlink ref="L385" r:id="rId382" xr:uid="{FC5336D4-3383-47E9-9593-8D29485F96EB}"/>
    <hyperlink ref="L386" r:id="rId383" xr:uid="{A6EFCF58-9E39-4396-BD36-473EE42CDB19}"/>
    <hyperlink ref="L387" r:id="rId384" xr:uid="{629FBBA2-B2A2-4188-A1FC-E2A6E836823B}"/>
    <hyperlink ref="L388" r:id="rId385" xr:uid="{E803809B-9EC2-446F-9DB4-0EAAE1F737C9}"/>
    <hyperlink ref="L389" r:id="rId386" xr:uid="{A631BE76-BB99-453A-A7ED-FCB9C62D053B}"/>
    <hyperlink ref="L390" r:id="rId387" xr:uid="{4D5F69B5-CDCF-4DFD-A459-D179C75F6917}"/>
    <hyperlink ref="L391" r:id="rId388" xr:uid="{244B676E-2B84-4014-9D5F-D7CBB8267D8F}"/>
    <hyperlink ref="L392" r:id="rId389" xr:uid="{4DD5AE12-A216-4D93-B4DA-EB95F0B5B9D2}"/>
    <hyperlink ref="L393" r:id="rId390" xr:uid="{6540AB6D-16EB-4D1B-965E-6D24E37D2B24}"/>
    <hyperlink ref="L394" r:id="rId391" xr:uid="{DC1856E3-A712-4B93-A9B8-F203A70C879E}"/>
    <hyperlink ref="L395" r:id="rId392" xr:uid="{CF450CDE-62AE-482A-9BB1-2691E707C463}"/>
    <hyperlink ref="L396" r:id="rId393" xr:uid="{7248094C-4DC1-4A77-94B5-5252A78E7549}"/>
    <hyperlink ref="L397" r:id="rId394" xr:uid="{F4C5E018-4769-4791-B7B1-57B7289AC3B6}"/>
    <hyperlink ref="L398" r:id="rId395" xr:uid="{9A72E783-AE4F-442F-A799-09E928A1D094}"/>
    <hyperlink ref="L399" r:id="rId396" xr:uid="{C8FF7EF9-42B4-4351-9EBE-A6BAD1531428}"/>
    <hyperlink ref="L400" r:id="rId397" xr:uid="{6328B6D3-753E-4C33-B738-ED5F4215354B}"/>
    <hyperlink ref="L401" r:id="rId398" xr:uid="{FC4E3F03-1CE6-4822-BD77-FD04C85FB297}"/>
    <hyperlink ref="L402" r:id="rId399" xr:uid="{39EDB2C2-DDC2-478C-91E9-7030B3F4F512}"/>
    <hyperlink ref="L403" r:id="rId400" xr:uid="{6603B9B5-5702-4565-AA56-5A752787EE15}"/>
    <hyperlink ref="L404" r:id="rId401" xr:uid="{24583743-C824-4D5F-AA82-B658FC1C0426}"/>
    <hyperlink ref="L405" r:id="rId402" xr:uid="{208DA260-1CA0-451F-A313-97409BE5C555}"/>
    <hyperlink ref="L406" r:id="rId403" xr:uid="{F77A97D7-B344-4373-8F97-17D48E0CB6E5}"/>
    <hyperlink ref="L407" r:id="rId404" xr:uid="{E430EE78-D393-4135-8977-7935FB0E5814}"/>
    <hyperlink ref="L408" r:id="rId405" xr:uid="{4C9A493C-DA03-4FA8-9554-2EF5B7FE977D}"/>
    <hyperlink ref="L409" r:id="rId406" xr:uid="{1FB81581-C5E4-4A65-A62A-A84C08FB7DF0}"/>
    <hyperlink ref="L410" r:id="rId407" xr:uid="{111D55B7-25BB-46E3-923E-CE5CE7DAB92C}"/>
    <hyperlink ref="L411" r:id="rId408" xr:uid="{3CF81967-B928-48AC-99C2-E64ECEC7CDBC}"/>
    <hyperlink ref="L412" r:id="rId409" xr:uid="{FECF10EE-7435-4951-9957-9A00CA89A42F}"/>
    <hyperlink ref="L413" r:id="rId410" xr:uid="{682CD7F5-D8CC-4516-ACD4-5E52D10855C3}"/>
    <hyperlink ref="L414" r:id="rId411" xr:uid="{327F584C-F663-4466-A646-403006F54304}"/>
    <hyperlink ref="L415" r:id="rId412" xr:uid="{FC6AE2D7-729C-4E01-8CE1-611E28A57BE6}"/>
    <hyperlink ref="L416" r:id="rId413" xr:uid="{6C63B9B5-D207-427F-92D6-1EE1EA27A499}"/>
    <hyperlink ref="L417" r:id="rId414" xr:uid="{02D9E38F-34DB-4C07-8771-5568E79DD997}"/>
    <hyperlink ref="L418" r:id="rId415" xr:uid="{C0DA6F01-FD09-48A6-B0AD-8DF2E0CF2A56}"/>
    <hyperlink ref="L419" r:id="rId416" xr:uid="{3192A274-D3DC-44F0-96E2-37A30A3B4ED4}"/>
    <hyperlink ref="L420" r:id="rId417" xr:uid="{B0F7C637-60E6-4E3F-A364-2FBE396BBABF}"/>
    <hyperlink ref="L421" r:id="rId418" xr:uid="{D4C85C1B-FD0C-4C23-BC4F-062C93FB3C7C}"/>
    <hyperlink ref="L422" r:id="rId419" xr:uid="{39E51C15-9AA4-44AE-A7E0-D8407CF73F8B}"/>
    <hyperlink ref="L423" r:id="rId420" xr:uid="{AB2A3F5E-C5C3-4E6D-97BF-7913342A844D}"/>
    <hyperlink ref="L424" r:id="rId421" xr:uid="{E227CB74-830E-4468-9B54-CB58C6A7CD21}"/>
    <hyperlink ref="L425" r:id="rId422" xr:uid="{82C74631-591B-4C96-A1CF-B447CEBD24FE}"/>
    <hyperlink ref="L426" r:id="rId423" xr:uid="{3035EFC9-E7A7-45A9-AFFC-71A173D8B05D}"/>
    <hyperlink ref="L427" r:id="rId424" xr:uid="{2188508C-95D6-4B77-9932-FDE0586BEAE2}"/>
    <hyperlink ref="L428" r:id="rId425" xr:uid="{8D1CFCE5-948F-4F6F-AF9E-770598C1D363}"/>
    <hyperlink ref="L429" r:id="rId426" xr:uid="{959D35FB-4559-486F-9C10-84A0C6AC96A9}"/>
    <hyperlink ref="L430" r:id="rId427" xr:uid="{6B5DB57D-C442-4F92-B60E-6D6EDD980BC7}"/>
    <hyperlink ref="L431" r:id="rId428" xr:uid="{210F9077-3B43-40F6-A0A8-FBCB6D3FA20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F1213"/>
  <sheetViews>
    <sheetView workbookViewId="0">
      <pane xSplit="4" ySplit="2" topLeftCell="O3" activePane="bottomRight" state="frozen"/>
      <selection pane="topRight" activeCell="E1" sqref="E1"/>
      <selection pane="bottomLeft" activeCell="A3" sqref="A3"/>
      <selection pane="bottomRight" activeCell="D3" sqref="D3:D248"/>
    </sheetView>
  </sheetViews>
  <sheetFormatPr baseColWidth="10" defaultColWidth="12.6640625" defaultRowHeight="15.75" customHeight="1"/>
  <cols>
    <col min="4" max="4" width="24.77734375" customWidth="1"/>
    <col min="13" max="13" width="43" customWidth="1"/>
    <col min="15" max="15" width="64.88671875" customWidth="1"/>
    <col min="16" max="16" width="35.77734375" customWidth="1"/>
  </cols>
  <sheetData>
    <row r="1" spans="1:110" ht="13.2">
      <c r="A1" s="1" t="s">
        <v>0</v>
      </c>
      <c r="B1" s="1" t="s">
        <v>1</v>
      </c>
      <c r="C1" s="1" t="s">
        <v>7</v>
      </c>
      <c r="D1" s="1" t="s">
        <v>7</v>
      </c>
      <c r="E1" s="1" t="s">
        <v>7</v>
      </c>
      <c r="F1" s="1" t="s">
        <v>7</v>
      </c>
      <c r="G1" s="1" t="s">
        <v>7</v>
      </c>
      <c r="H1" s="1" t="s">
        <v>7</v>
      </c>
      <c r="I1" s="1" t="s">
        <v>7</v>
      </c>
      <c r="J1" s="10" t="s">
        <v>7</v>
      </c>
      <c r="K1" s="1" t="s">
        <v>7</v>
      </c>
      <c r="L1" s="1" t="s">
        <v>7</v>
      </c>
      <c r="M1" s="1" t="s">
        <v>7</v>
      </c>
      <c r="N1" s="1" t="s">
        <v>7</v>
      </c>
      <c r="O1" s="1" t="s">
        <v>7</v>
      </c>
      <c r="P1" s="1" t="s">
        <v>7</v>
      </c>
    </row>
    <row r="2" spans="1:110" ht="13.2">
      <c r="A2" s="1" t="s">
        <v>8</v>
      </c>
      <c r="B2" s="1" t="s">
        <v>9</v>
      </c>
      <c r="C2" s="1" t="s">
        <v>80</v>
      </c>
      <c r="D2" s="1" t="s">
        <v>81</v>
      </c>
      <c r="E2" s="1" t="s">
        <v>82</v>
      </c>
      <c r="F2" s="1" t="s">
        <v>83</v>
      </c>
      <c r="G2" s="1" t="s">
        <v>84</v>
      </c>
      <c r="H2" s="1" t="s">
        <v>85</v>
      </c>
      <c r="I2" s="1" t="s">
        <v>86</v>
      </c>
      <c r="J2" s="10" t="s">
        <v>87</v>
      </c>
      <c r="K2" s="1" t="s">
        <v>88</v>
      </c>
      <c r="L2" s="1" t="s">
        <v>89</v>
      </c>
      <c r="M2" s="1" t="s">
        <v>90</v>
      </c>
      <c r="N2" s="1" t="s">
        <v>91</v>
      </c>
      <c r="O2" s="1" t="s">
        <v>92</v>
      </c>
      <c r="P2" s="1" t="s">
        <v>1044</v>
      </c>
    </row>
    <row r="3" spans="1:110" ht="15.75" customHeight="1">
      <c r="A3" s="11"/>
      <c r="C3" s="11"/>
      <c r="D3" s="3" t="s">
        <v>765</v>
      </c>
      <c r="E3" s="3"/>
      <c r="F3" s="3"/>
      <c r="H3" s="11" t="s">
        <v>1045</v>
      </c>
      <c r="I3" s="1" t="s">
        <v>1046</v>
      </c>
      <c r="J3" s="6" t="s">
        <v>1047</v>
      </c>
      <c r="K3" s="1" t="s">
        <v>1046</v>
      </c>
      <c r="L3" s="1" t="s">
        <v>1046</v>
      </c>
      <c r="M3" s="12" t="s">
        <v>1048</v>
      </c>
      <c r="N3" s="3" t="s">
        <v>1049</v>
      </c>
      <c r="O3" s="3" t="s">
        <v>1050</v>
      </c>
      <c r="P3" s="3" t="s">
        <v>432</v>
      </c>
      <c r="R3" s="13" t="s">
        <v>1051</v>
      </c>
      <c r="S3" s="3"/>
      <c r="T3" s="3" t="str">
        <f ca="1">IFERROR(__xludf.DUMMYFUNCTION("UNIQUE(O3:O248)"),"10.1007/s00442-020-04662-4")</f>
        <v>10.1007/s00442-020-04662-4</v>
      </c>
      <c r="U3" s="3" t="str">
        <f ca="1">IFERROR(__xludf.DUMMYFUNCTION("UNIQUE(P3:P248)"),"Laurindo_2020")</f>
        <v>Laurindo_2020</v>
      </c>
      <c r="V3" s="1" t="str">
        <f t="array" aca="1" ref="V3:AW3" ca="1">TRANSPOSE(U3:U30)</f>
        <v>Laurindo_2020</v>
      </c>
      <c r="W3" s="3" t="str">
        <f ca="1"/>
        <v>Barbaro_2019</v>
      </c>
      <c r="X3" s="3" t="str">
        <f ca="1"/>
        <v>Stevens_2018</v>
      </c>
      <c r="Y3" s="3" t="str">
        <f ca="1"/>
        <v>Murillo-García_2018</v>
      </c>
      <c r="Z3" s="3" t="str">
        <f ca="1"/>
        <v>Renner_2018</v>
      </c>
      <c r="AA3" s="3" t="str">
        <f ca="1"/>
        <v>Farneda_2018</v>
      </c>
      <c r="AB3" s="3" t="str">
        <f ca="1"/>
        <v>Monadjem_2018</v>
      </c>
      <c r="AC3" s="3" t="str">
        <f ca="1"/>
        <v>Pereira_2018</v>
      </c>
      <c r="AD3" s="3" t="str">
        <f ca="1"/>
        <v>Presley_2018</v>
      </c>
      <c r="AE3" s="3" t="str">
        <f ca="1"/>
        <v>Reardon_2017</v>
      </c>
      <c r="AF3" s="3" t="str">
        <f ca="1"/>
        <v>Scheiner_2017</v>
      </c>
      <c r="AG3" s="3" t="str">
        <f ca="1"/>
        <v>Briones-Salas_2017</v>
      </c>
      <c r="AH3" s="3" t="str">
        <f ca="1"/>
        <v>Wordley_2017</v>
      </c>
      <c r="AI3" s="3" t="str">
        <f ca="1"/>
        <v>García-Morales_2016</v>
      </c>
      <c r="AJ3" s="3" t="str">
        <f ca="1"/>
        <v>Charbonnier_2016</v>
      </c>
      <c r="AK3" s="3" t="str">
        <f ca="1"/>
        <v>Farneda_2015</v>
      </c>
      <c r="AL3" s="3" t="str">
        <f ca="1"/>
        <v>Cisneros_2014</v>
      </c>
      <c r="AM3" s="3" t="str">
        <f ca="1"/>
        <v>Stevens_2014</v>
      </c>
      <c r="AN3" s="3" t="str">
        <f ca="1"/>
        <v>Luck_2013</v>
      </c>
      <c r="AO3" s="3" t="str">
        <f ca="1"/>
        <v>Stevens_2013</v>
      </c>
      <c r="AP3" s="3" t="str">
        <f ca="1"/>
        <v>Hanspach_2012</v>
      </c>
      <c r="AQ3" s="3" t="str">
        <f ca="1"/>
        <v>Stevens_2004</v>
      </c>
      <c r="AR3" s="3" t="str">
        <f ca="1"/>
        <v>Fukui_2009</v>
      </c>
      <c r="AS3" s="3" t="str">
        <f ca="1"/>
        <v>Sánchez_2017</v>
      </c>
      <c r="AT3" s="3" t="str">
        <f ca="1"/>
        <v>Lucho_2017</v>
      </c>
      <c r="AU3" s="3" t="str">
        <f ca="1"/>
        <v>Carrasco-Rueda_2020</v>
      </c>
      <c r="AV3" s="3" t="str">
        <f ca="1"/>
        <v>Pereira_2019</v>
      </c>
      <c r="AW3" s="3" t="str">
        <f ca="1"/>
        <v>Coelho_2018</v>
      </c>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row>
    <row r="4" spans="1:110" ht="15.75" customHeight="1">
      <c r="A4" s="11"/>
      <c r="C4" s="11"/>
      <c r="D4" s="1" t="s">
        <v>522</v>
      </c>
      <c r="E4" s="3"/>
      <c r="F4" s="3"/>
      <c r="H4" s="11" t="s">
        <v>102</v>
      </c>
      <c r="I4" s="11"/>
      <c r="J4" s="1" t="s">
        <v>1046</v>
      </c>
      <c r="K4" s="3"/>
      <c r="L4" s="11"/>
      <c r="M4" s="1" t="s">
        <v>1052</v>
      </c>
      <c r="N4" s="3" t="s">
        <v>1049</v>
      </c>
      <c r="O4" s="3" t="s">
        <v>1050</v>
      </c>
      <c r="P4" s="3" t="s">
        <v>432</v>
      </c>
      <c r="R4" s="13" t="s">
        <v>1053</v>
      </c>
      <c r="S4" s="3"/>
      <c r="T4" s="3" t="str">
        <f ca="1">IFERROR(__xludf.DUMMYFUNCTION("""COMPUTED_VALUE"""),"10.1098/rspb.2018.2193")</f>
        <v>10.1098/rspb.2018.2193</v>
      </c>
      <c r="U4" s="3" t="str">
        <f ca="1">IFERROR(__xludf.DUMMYFUNCTION("""COMPUTED_VALUE"""),"Barbaro_2019")</f>
        <v>Barbaro_2019</v>
      </c>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row>
    <row r="5" spans="1:110" ht="15.75" customHeight="1">
      <c r="A5" s="11"/>
      <c r="C5" s="11"/>
      <c r="D5" s="3" t="s">
        <v>469</v>
      </c>
      <c r="E5" s="3"/>
      <c r="F5" s="3"/>
      <c r="H5" s="11" t="s">
        <v>102</v>
      </c>
      <c r="I5" s="11"/>
      <c r="J5" s="1" t="s">
        <v>1046</v>
      </c>
      <c r="K5" s="3"/>
      <c r="L5" s="11"/>
      <c r="M5" s="11"/>
      <c r="N5" s="3" t="s">
        <v>1049</v>
      </c>
      <c r="O5" s="3" t="s">
        <v>1050</v>
      </c>
      <c r="P5" s="3" t="s">
        <v>432</v>
      </c>
      <c r="R5" s="13" t="s">
        <v>1054</v>
      </c>
      <c r="S5" s="3"/>
      <c r="T5" s="3" t="str">
        <f ca="1">IFERROR(__xludf.DUMMYFUNCTION("""COMPUTED_VALUE"""),"10.1111/ecog.03654")</f>
        <v>10.1111/ecog.03654</v>
      </c>
      <c r="U5" s="3" t="str">
        <f ca="1">IFERROR(__xludf.DUMMYFUNCTION("""COMPUTED_VALUE"""),"Stevens_2018")</f>
        <v>Stevens_2018</v>
      </c>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row>
    <row r="6" spans="1:110" ht="15.75" customHeight="1">
      <c r="A6" s="11"/>
      <c r="C6" s="11"/>
      <c r="D6" s="3" t="s">
        <v>559</v>
      </c>
      <c r="E6" s="3" t="s">
        <v>1055</v>
      </c>
      <c r="F6" s="3"/>
      <c r="H6" s="11" t="s">
        <v>102</v>
      </c>
      <c r="I6" s="11"/>
      <c r="J6" s="1" t="s">
        <v>1046</v>
      </c>
      <c r="K6" s="3"/>
      <c r="L6" s="11"/>
      <c r="M6" s="1" t="s">
        <v>1056</v>
      </c>
      <c r="N6" s="3" t="s">
        <v>1049</v>
      </c>
      <c r="O6" s="3" t="s">
        <v>1050</v>
      </c>
      <c r="P6" s="3" t="s">
        <v>432</v>
      </c>
      <c r="R6" s="13" t="s">
        <v>1057</v>
      </c>
      <c r="S6" s="3"/>
      <c r="T6" s="3" t="str">
        <f ca="1">IFERROR(__xludf.DUMMYFUNCTION("""COMPUTED_VALUE"""),"10.3390/d10030100")</f>
        <v>10.3390/d10030100</v>
      </c>
      <c r="U6" s="3" t="str">
        <f ca="1">IFERROR(__xludf.DUMMYFUNCTION("""COMPUTED_VALUE"""),"Murillo-García_2018")</f>
        <v>Murillo-García_2018</v>
      </c>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row>
    <row r="7" spans="1:110" ht="15.75" customHeight="1">
      <c r="A7" s="11"/>
      <c r="C7" s="11"/>
      <c r="D7" s="3" t="s">
        <v>565</v>
      </c>
      <c r="E7" s="3" t="s">
        <v>1055</v>
      </c>
      <c r="F7" s="3"/>
      <c r="H7" s="11" t="s">
        <v>102</v>
      </c>
      <c r="I7" s="11"/>
      <c r="J7" s="1" t="s">
        <v>1046</v>
      </c>
      <c r="K7" s="3"/>
      <c r="L7" s="11"/>
      <c r="M7" s="1" t="s">
        <v>1056</v>
      </c>
      <c r="N7" s="3" t="s">
        <v>1049</v>
      </c>
      <c r="O7" s="3" t="s">
        <v>1050</v>
      </c>
      <c r="P7" s="3" t="s">
        <v>432</v>
      </c>
      <c r="R7" s="13" t="s">
        <v>1058</v>
      </c>
      <c r="S7" s="3"/>
      <c r="T7" s="3" t="str">
        <f ca="1">IFERROR(__xludf.DUMMYFUNCTION("""COMPUTED_VALUE"""),"10.1016/j.foreco.2018.02.028")</f>
        <v>10.1016/j.foreco.2018.02.028</v>
      </c>
      <c r="U7" s="3" t="str">
        <f ca="1">IFERROR(__xludf.DUMMYFUNCTION("""COMPUTED_VALUE"""),"Renner_2018")</f>
        <v>Renner_2018</v>
      </c>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row>
    <row r="8" spans="1:110" ht="15.75" customHeight="1">
      <c r="A8" s="11"/>
      <c r="C8" s="11"/>
      <c r="D8" s="3" t="s">
        <v>569</v>
      </c>
      <c r="E8" s="3" t="s">
        <v>1055</v>
      </c>
      <c r="F8" s="3"/>
      <c r="H8" s="11" t="s">
        <v>102</v>
      </c>
      <c r="I8" s="11"/>
      <c r="J8" s="1" t="s">
        <v>1046</v>
      </c>
      <c r="K8" s="3"/>
      <c r="L8" s="11"/>
      <c r="M8" s="1" t="s">
        <v>1056</v>
      </c>
      <c r="N8" s="3" t="s">
        <v>1049</v>
      </c>
      <c r="O8" s="3" t="s">
        <v>1050</v>
      </c>
      <c r="P8" s="3" t="s">
        <v>432</v>
      </c>
      <c r="R8" s="13" t="s">
        <v>1059</v>
      </c>
      <c r="S8" s="3"/>
      <c r="T8" s="3" t="str">
        <f ca="1">IFERROR(__xludf.DUMMYFUNCTION("""COMPUTED_VALUE"""),"10.1016/j.biocon.2017.12.036")</f>
        <v>10.1016/j.biocon.2017.12.036</v>
      </c>
      <c r="U8" s="3" t="str">
        <f ca="1">IFERROR(__xludf.DUMMYFUNCTION("""COMPUTED_VALUE"""),"Farneda_2018")</f>
        <v>Farneda_2018</v>
      </c>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row>
    <row r="9" spans="1:110" ht="15.75" customHeight="1">
      <c r="A9" s="3"/>
      <c r="C9" s="11"/>
      <c r="D9" s="3" t="s">
        <v>738</v>
      </c>
      <c r="E9" s="3"/>
      <c r="F9" s="3"/>
      <c r="H9" s="11" t="s">
        <v>1045</v>
      </c>
      <c r="I9" s="1" t="s">
        <v>1046</v>
      </c>
      <c r="J9" s="6" t="s">
        <v>1060</v>
      </c>
      <c r="K9" s="1" t="s">
        <v>1046</v>
      </c>
      <c r="L9" s="1" t="s">
        <v>1046</v>
      </c>
      <c r="M9" s="11"/>
      <c r="N9" s="3" t="s">
        <v>1061</v>
      </c>
      <c r="O9" s="3" t="s">
        <v>1062</v>
      </c>
      <c r="P9" s="3" t="s">
        <v>433</v>
      </c>
      <c r="R9" s="13" t="s">
        <v>1063</v>
      </c>
      <c r="S9" s="3"/>
      <c r="T9" s="3" t="str">
        <f ca="1">IFERROR(__xludf.DUMMYFUNCTION("""COMPUTED_VALUE"""),"10.4404/hystrix-00016-2017")</f>
        <v>10.4404/hystrix-00016-2017</v>
      </c>
      <c r="U9" s="3" t="str">
        <f ca="1">IFERROR(__xludf.DUMMYFUNCTION("""COMPUTED_VALUE"""),"Monadjem_2018")</f>
        <v>Monadjem_2018</v>
      </c>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row>
    <row r="10" spans="1:110" ht="15.75" customHeight="1">
      <c r="A10" s="3"/>
      <c r="C10" s="11"/>
      <c r="D10" s="1" t="s">
        <v>779</v>
      </c>
      <c r="E10" s="3"/>
      <c r="F10" s="3"/>
      <c r="H10" s="11" t="s">
        <v>1045</v>
      </c>
      <c r="I10" s="1" t="s">
        <v>1046</v>
      </c>
      <c r="J10" s="6" t="s">
        <v>1064</v>
      </c>
      <c r="K10" s="1" t="s">
        <v>1046</v>
      </c>
      <c r="L10" s="1" t="s">
        <v>1046</v>
      </c>
      <c r="M10" s="11"/>
      <c r="N10" s="3" t="s">
        <v>1061</v>
      </c>
      <c r="O10" s="3" t="s">
        <v>1062</v>
      </c>
      <c r="P10" s="3" t="s">
        <v>433</v>
      </c>
      <c r="R10" s="13" t="s">
        <v>1065</v>
      </c>
      <c r="S10" s="3"/>
      <c r="T10" s="3" t="str">
        <f ca="1">IFERROR(__xludf.DUMMYFUNCTION("""COMPUTED_VALUE"""),"10.4404/hystrix-00020-2017")</f>
        <v>10.4404/hystrix-00020-2017</v>
      </c>
      <c r="U10" s="3" t="str">
        <f ca="1">IFERROR(__xludf.DUMMYFUNCTION("""COMPUTED_VALUE"""),"Pereira_2018")</f>
        <v>Pereira_2018</v>
      </c>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row>
    <row r="11" spans="1:110" ht="15.75" customHeight="1">
      <c r="A11" s="3"/>
      <c r="C11" s="11"/>
      <c r="D11" s="1" t="s">
        <v>950</v>
      </c>
      <c r="E11" s="3"/>
      <c r="F11" s="3"/>
      <c r="H11" s="11" t="s">
        <v>1045</v>
      </c>
      <c r="I11" s="1" t="s">
        <v>1046</v>
      </c>
      <c r="J11" s="6" t="s">
        <v>1066</v>
      </c>
      <c r="K11" s="1" t="s">
        <v>1046</v>
      </c>
      <c r="L11" s="1" t="s">
        <v>1046</v>
      </c>
      <c r="M11" s="11"/>
      <c r="N11" s="3" t="s">
        <v>1061</v>
      </c>
      <c r="O11" s="3" t="s">
        <v>1062</v>
      </c>
      <c r="P11" s="3" t="s">
        <v>433</v>
      </c>
      <c r="R11" s="13" t="s">
        <v>1067</v>
      </c>
      <c r="S11" s="3"/>
      <c r="T11" s="3" t="str">
        <f ca="1">IFERROR(__xludf.DUMMYFUNCTION("""COMPUTED_VALUE"""),"10.1111/btp.12501")</f>
        <v>10.1111/btp.12501</v>
      </c>
      <c r="U11" s="3" t="str">
        <f ca="1">IFERROR(__xludf.DUMMYFUNCTION("""COMPUTED_VALUE"""),"Presley_2018")</f>
        <v>Presley_2018</v>
      </c>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row>
    <row r="12" spans="1:110" ht="15.75" customHeight="1">
      <c r="A12" s="3"/>
      <c r="C12" s="11"/>
      <c r="D12" s="1" t="s">
        <v>729</v>
      </c>
      <c r="E12" s="3"/>
      <c r="F12" s="3"/>
      <c r="H12" s="11" t="s">
        <v>1045</v>
      </c>
      <c r="I12" s="1" t="s">
        <v>1046</v>
      </c>
      <c r="J12" s="6" t="s">
        <v>1068</v>
      </c>
      <c r="K12" s="1" t="s">
        <v>1046</v>
      </c>
      <c r="L12" s="1" t="s">
        <v>1046</v>
      </c>
      <c r="M12" s="11"/>
      <c r="N12" s="3" t="s">
        <v>1061</v>
      </c>
      <c r="O12" s="3" t="s">
        <v>1062</v>
      </c>
      <c r="P12" s="3" t="s">
        <v>433</v>
      </c>
      <c r="R12" s="13" t="s">
        <v>1069</v>
      </c>
      <c r="S12" s="3"/>
      <c r="T12" s="3" t="str">
        <f ca="1">IFERROR(__xludf.DUMMYFUNCTION("""COMPUTED_VALUE"""),"10.3161/15081109ACC2017.19.2.005")</f>
        <v>10.3161/15081109ACC2017.19.2.005</v>
      </c>
      <c r="U12" s="3" t="str">
        <f ca="1">IFERROR(__xludf.DUMMYFUNCTION("""COMPUTED_VALUE"""),"Reardon_2017")</f>
        <v>Reardon_2017</v>
      </c>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row>
    <row r="13" spans="1:110" ht="15.75" customHeight="1">
      <c r="A13" s="3"/>
      <c r="C13" s="11"/>
      <c r="D13" s="1" t="s">
        <v>664</v>
      </c>
      <c r="E13" s="3"/>
      <c r="F13" s="3"/>
      <c r="H13" s="11" t="s">
        <v>1045</v>
      </c>
      <c r="I13" s="1" t="s">
        <v>1046</v>
      </c>
      <c r="J13" s="10" t="s">
        <v>1070</v>
      </c>
      <c r="K13" s="1" t="s">
        <v>1046</v>
      </c>
      <c r="L13" s="1" t="s">
        <v>1046</v>
      </c>
      <c r="M13" s="11" t="s">
        <v>1071</v>
      </c>
      <c r="N13" s="3" t="s">
        <v>1061</v>
      </c>
      <c r="O13" s="3" t="s">
        <v>1062</v>
      </c>
      <c r="P13" s="3" t="s">
        <v>433</v>
      </c>
      <c r="R13" s="13" t="s">
        <v>1072</v>
      </c>
      <c r="S13" s="3"/>
      <c r="T13" s="3" t="str">
        <f ca="1">IFERROR(__xludf.DUMMYFUNCTION("""COMPUTED_VALUE"""),"10.1111/2041-210X.12696")</f>
        <v>10.1111/2041-210X.12696</v>
      </c>
      <c r="U13" s="3" t="str">
        <f ca="1">IFERROR(__xludf.DUMMYFUNCTION("""COMPUTED_VALUE"""),"Scheiner_2017")</f>
        <v>Scheiner_2017</v>
      </c>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row>
    <row r="14" spans="1:110" ht="15.75" customHeight="1">
      <c r="A14" s="3"/>
      <c r="C14" s="11"/>
      <c r="D14" s="1" t="s">
        <v>873</v>
      </c>
      <c r="E14" s="3"/>
      <c r="F14" s="3"/>
      <c r="H14" s="11" t="s">
        <v>1045</v>
      </c>
      <c r="I14" s="1" t="s">
        <v>1046</v>
      </c>
      <c r="J14" s="6" t="s">
        <v>1073</v>
      </c>
      <c r="K14" s="1" t="s">
        <v>1046</v>
      </c>
      <c r="L14" s="1" t="s">
        <v>1046</v>
      </c>
      <c r="M14" s="11"/>
      <c r="N14" s="3" t="s">
        <v>1061</v>
      </c>
      <c r="O14" s="3" t="s">
        <v>1062</v>
      </c>
      <c r="P14" s="3" t="s">
        <v>433</v>
      </c>
      <c r="R14" s="13" t="s">
        <v>1074</v>
      </c>
      <c r="S14" s="3"/>
      <c r="T14" s="3" t="str">
        <f ca="1">IFERROR(__xludf.DUMMYFUNCTION("""COMPUTED_VALUE"""),"10.7717/peerj.3424")</f>
        <v>10.7717/peerj.3424</v>
      </c>
      <c r="U14" s="3" t="str">
        <f ca="1">IFERROR(__xludf.DUMMYFUNCTION("""COMPUTED_VALUE"""),"Briones-Salas_2017")</f>
        <v>Briones-Salas_2017</v>
      </c>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row>
    <row r="15" spans="1:110" ht="15.75" customHeight="1">
      <c r="A15" s="3"/>
      <c r="C15" s="11"/>
      <c r="D15" s="1" t="s">
        <v>630</v>
      </c>
      <c r="E15" s="3"/>
      <c r="F15" s="3"/>
      <c r="H15" s="11" t="s">
        <v>102</v>
      </c>
      <c r="I15" s="11" t="s">
        <v>1075</v>
      </c>
      <c r="J15" s="1" t="s">
        <v>1046</v>
      </c>
      <c r="K15" s="3"/>
      <c r="L15" s="11"/>
      <c r="M15" s="11"/>
      <c r="N15" s="3" t="s">
        <v>1061</v>
      </c>
      <c r="O15" s="3" t="s">
        <v>1062</v>
      </c>
      <c r="P15" s="3" t="s">
        <v>433</v>
      </c>
      <c r="R15" s="13" t="s">
        <v>1076</v>
      </c>
      <c r="S15" s="3"/>
      <c r="T15" s="3" t="str">
        <f ca="1">IFERROR(__xludf.DUMMYFUNCTION("""COMPUTED_VALUE"""),"10.1016/j.biocon.2017.03.026")</f>
        <v>10.1016/j.biocon.2017.03.026</v>
      </c>
      <c r="U15" s="3" t="str">
        <f ca="1">IFERROR(__xludf.DUMMYFUNCTION("""COMPUTED_VALUE"""),"Wordley_2017")</f>
        <v>Wordley_2017</v>
      </c>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row>
    <row r="16" spans="1:110" ht="15.75" customHeight="1">
      <c r="A16" s="3"/>
      <c r="C16" s="11"/>
      <c r="D16" s="1" t="s">
        <v>469</v>
      </c>
      <c r="E16" s="3"/>
      <c r="F16" s="3"/>
      <c r="H16" s="11" t="s">
        <v>102</v>
      </c>
      <c r="I16" s="11"/>
      <c r="J16" s="1" t="s">
        <v>1046</v>
      </c>
      <c r="K16" s="3"/>
      <c r="L16" s="11"/>
      <c r="M16" s="11"/>
      <c r="N16" s="3" t="s">
        <v>1061</v>
      </c>
      <c r="O16" s="3" t="s">
        <v>1062</v>
      </c>
      <c r="P16" s="3" t="s">
        <v>433</v>
      </c>
      <c r="R16" s="13" t="s">
        <v>1077</v>
      </c>
      <c r="S16" s="3"/>
      <c r="T16" s="3" t="str">
        <f ca="1">IFERROR(__xludf.DUMMYFUNCTION("""COMPUTED_VALUE"""),"10.1371/journal.pone.0166765")</f>
        <v>10.1371/journal.pone.0166765</v>
      </c>
      <c r="U16" s="3" t="str">
        <f ca="1">IFERROR(__xludf.DUMMYFUNCTION("""COMPUTED_VALUE"""),"García-Morales_2016")</f>
        <v>García-Morales_2016</v>
      </c>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row>
    <row r="17" spans="1:110" ht="15.75" customHeight="1">
      <c r="A17" s="3"/>
      <c r="C17" s="11"/>
      <c r="D17" s="1" t="s">
        <v>905</v>
      </c>
      <c r="E17" s="3"/>
      <c r="F17" s="3"/>
      <c r="H17" s="11" t="s">
        <v>102</v>
      </c>
      <c r="I17" s="11"/>
      <c r="J17" s="1" t="s">
        <v>1046</v>
      </c>
      <c r="K17" s="3"/>
      <c r="L17" s="11"/>
      <c r="M17" s="11" t="s">
        <v>1078</v>
      </c>
      <c r="N17" s="3" t="s">
        <v>1061</v>
      </c>
      <c r="O17" s="3" t="s">
        <v>1062</v>
      </c>
      <c r="P17" s="3" t="s">
        <v>433</v>
      </c>
      <c r="R17" s="13" t="s">
        <v>1079</v>
      </c>
      <c r="S17" s="3"/>
      <c r="T17" s="3" t="str">
        <f ca="1">IFERROR(__xludf.DUMMYFUNCTION("""COMPUTED_VALUE"""),"10.1007/s00442-016-3671-9")</f>
        <v>10.1007/s00442-016-3671-9</v>
      </c>
      <c r="U17" s="3" t="str">
        <f ca="1">IFERROR(__xludf.DUMMYFUNCTION("""COMPUTED_VALUE"""),"Charbonnier_2016")</f>
        <v>Charbonnier_2016</v>
      </c>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row>
    <row r="18" spans="1:110" ht="15.75" customHeight="1">
      <c r="A18" s="3"/>
      <c r="C18" s="11"/>
      <c r="D18" s="1" t="s">
        <v>711</v>
      </c>
      <c r="E18" s="3"/>
      <c r="F18" s="3"/>
      <c r="H18" s="11" t="s">
        <v>102</v>
      </c>
      <c r="I18" s="11" t="s">
        <v>1080</v>
      </c>
      <c r="J18" s="1" t="s">
        <v>1046</v>
      </c>
      <c r="K18" s="3"/>
      <c r="L18" s="11"/>
      <c r="M18" s="11" t="s">
        <v>1081</v>
      </c>
      <c r="N18" s="3" t="s">
        <v>1061</v>
      </c>
      <c r="O18" s="3" t="s">
        <v>1062</v>
      </c>
      <c r="P18" s="3" t="s">
        <v>433</v>
      </c>
      <c r="R18" s="13" t="s">
        <v>1082</v>
      </c>
      <c r="S18" s="3"/>
      <c r="T18" s="3" t="str">
        <f ca="1">IFERROR(__xludf.DUMMYFUNCTION("""COMPUTED_VALUE"""),"10.1111/1365-2664.12490")</f>
        <v>10.1111/1365-2664.12490</v>
      </c>
      <c r="U18" s="3" t="str">
        <f ca="1">IFERROR(__xludf.DUMMYFUNCTION("""COMPUTED_VALUE"""),"Farneda_2015")</f>
        <v>Farneda_2015</v>
      </c>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row>
    <row r="19" spans="1:110" ht="15.75" customHeight="1">
      <c r="A19" s="3"/>
      <c r="C19" s="11"/>
      <c r="D19" s="3" t="s">
        <v>766</v>
      </c>
      <c r="E19" s="3"/>
      <c r="F19" s="3"/>
      <c r="H19" s="11" t="s">
        <v>1045</v>
      </c>
      <c r="I19" s="1" t="s">
        <v>1046</v>
      </c>
      <c r="J19" s="1" t="s">
        <v>1083</v>
      </c>
      <c r="K19" s="1" t="s">
        <v>1046</v>
      </c>
      <c r="L19" s="1" t="s">
        <v>1046</v>
      </c>
      <c r="M19" s="11"/>
      <c r="N19" s="3" t="s">
        <v>1061</v>
      </c>
      <c r="O19" s="3" t="s">
        <v>1084</v>
      </c>
      <c r="P19" s="3" t="s">
        <v>434</v>
      </c>
      <c r="R19" s="13" t="s">
        <v>1085</v>
      </c>
      <c r="S19" s="3"/>
      <c r="T19" s="3" t="str">
        <f ca="1">IFERROR(__xludf.DUMMYFUNCTION("""COMPUTED_VALUE"""),"10.1111/ddi.12277")</f>
        <v>10.1111/ddi.12277</v>
      </c>
      <c r="U19" s="3" t="str">
        <f ca="1">IFERROR(__xludf.DUMMYFUNCTION("""COMPUTED_VALUE"""),"Cisneros_2014")</f>
        <v>Cisneros_2014</v>
      </c>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row>
    <row r="20" spans="1:110" ht="15.75" customHeight="1">
      <c r="A20" s="3"/>
      <c r="C20" s="11"/>
      <c r="D20" s="3" t="s">
        <v>497</v>
      </c>
      <c r="E20" s="1" t="s">
        <v>1086</v>
      </c>
      <c r="F20" s="3"/>
      <c r="H20" s="11" t="s">
        <v>102</v>
      </c>
      <c r="I20" s="11"/>
      <c r="J20" s="1" t="s">
        <v>1046</v>
      </c>
      <c r="K20" s="3"/>
      <c r="L20" s="11"/>
      <c r="M20" s="11"/>
      <c r="N20" s="3" t="s">
        <v>1061</v>
      </c>
      <c r="O20" s="3" t="s">
        <v>1084</v>
      </c>
      <c r="P20" s="3" t="s">
        <v>434</v>
      </c>
      <c r="R20" s="13" t="s">
        <v>1087</v>
      </c>
      <c r="S20" s="3"/>
      <c r="T20" s="3" t="str">
        <f ca="1">IFERROR(__xludf.DUMMYFUNCTION("""COMPUTED_VALUE"""),"10.1111/geb.12192")</f>
        <v>10.1111/geb.12192</v>
      </c>
      <c r="U20" s="3" t="str">
        <f ca="1">IFERROR(__xludf.DUMMYFUNCTION("""COMPUTED_VALUE"""),"Stevens_2014")</f>
        <v>Stevens_2014</v>
      </c>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row>
    <row r="21" spans="1:110" ht="15.75" customHeight="1">
      <c r="A21" s="3"/>
      <c r="C21" s="11"/>
      <c r="D21" s="1" t="s">
        <v>560</v>
      </c>
      <c r="E21" s="1" t="s">
        <v>1086</v>
      </c>
      <c r="F21" s="3"/>
      <c r="H21" s="11" t="s">
        <v>102</v>
      </c>
      <c r="I21" s="11"/>
      <c r="J21" s="1" t="s">
        <v>1046</v>
      </c>
      <c r="K21" s="3"/>
      <c r="L21" s="11"/>
      <c r="M21" s="11"/>
      <c r="N21" s="3" t="s">
        <v>1061</v>
      </c>
      <c r="O21" s="3" t="s">
        <v>1084</v>
      </c>
      <c r="P21" s="3" t="s">
        <v>434</v>
      </c>
      <c r="R21" s="13" t="s">
        <v>1088</v>
      </c>
      <c r="S21" s="3"/>
      <c r="T21" s="3" t="str">
        <f ca="1">IFERROR(__xludf.DUMMYFUNCTION("""COMPUTED_VALUE"""),"10.1111/1365-2656.12201")</f>
        <v>10.1111/1365-2656.12201</v>
      </c>
      <c r="U21" s="3" t="str">
        <f ca="1">IFERROR(__xludf.DUMMYFUNCTION("""COMPUTED_VALUE"""),"Luck_2013")</f>
        <v>Luck_2013</v>
      </c>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row>
    <row r="22" spans="1:110" ht="15.75" customHeight="1">
      <c r="A22" s="3"/>
      <c r="C22" s="11"/>
      <c r="D22" s="1" t="s">
        <v>573</v>
      </c>
      <c r="E22" s="1" t="s">
        <v>1086</v>
      </c>
      <c r="F22" s="3"/>
      <c r="H22" s="11" t="s">
        <v>102</v>
      </c>
      <c r="I22" s="11"/>
      <c r="J22" s="1" t="s">
        <v>1046</v>
      </c>
      <c r="K22" s="3"/>
      <c r="L22" s="11"/>
      <c r="M22" s="11"/>
      <c r="N22" s="3" t="s">
        <v>1061</v>
      </c>
      <c r="O22" s="3" t="s">
        <v>1084</v>
      </c>
      <c r="P22" s="3" t="s">
        <v>434</v>
      </c>
      <c r="R22" s="13" t="s">
        <v>1089</v>
      </c>
      <c r="S22" s="3"/>
      <c r="T22" s="3" t="str">
        <f ca="1">IFERROR(__xludf.DUMMYFUNCTION("""COMPUTED_VALUE"""),"10.1007/s10980-012-9842-0")</f>
        <v>10.1007/s10980-012-9842-0</v>
      </c>
      <c r="U22" s="3" t="str">
        <f ca="1">IFERROR(__xludf.DUMMYFUNCTION("""COMPUTED_VALUE"""),"Stevens_2013")</f>
        <v>Stevens_2013</v>
      </c>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row>
    <row r="23" spans="1:110" ht="15.75" customHeight="1">
      <c r="A23" s="3"/>
      <c r="C23" s="11"/>
      <c r="D23" s="1" t="s">
        <v>575</v>
      </c>
      <c r="E23" s="1" t="s">
        <v>1086</v>
      </c>
      <c r="F23" s="3"/>
      <c r="H23" s="11" t="s">
        <v>102</v>
      </c>
      <c r="I23" s="11"/>
      <c r="J23" s="1" t="s">
        <v>1046</v>
      </c>
      <c r="K23" s="3"/>
      <c r="L23" s="11"/>
      <c r="M23" s="11"/>
      <c r="N23" s="3" t="s">
        <v>1061</v>
      </c>
      <c r="O23" s="3" t="s">
        <v>1084</v>
      </c>
      <c r="P23" s="3" t="s">
        <v>434</v>
      </c>
      <c r="R23" s="13" t="s">
        <v>1090</v>
      </c>
      <c r="S23" s="3"/>
      <c r="T23" s="3" t="str">
        <f ca="1">IFERROR(__xludf.DUMMYFUNCTION("""COMPUTED_VALUE"""),"10.1371/journal.pone.0056853")</f>
        <v>10.1371/journal.pone.0056853</v>
      </c>
      <c r="U23" s="3" t="str">
        <f ca="1">IFERROR(__xludf.DUMMYFUNCTION("""COMPUTED_VALUE"""),"Hanspach_2012")</f>
        <v>Hanspach_2012</v>
      </c>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row>
    <row r="24" spans="1:110" ht="15.75" customHeight="1">
      <c r="A24" s="3"/>
      <c r="C24" s="11"/>
      <c r="D24" s="1" t="s">
        <v>581</v>
      </c>
      <c r="E24" s="1" t="s">
        <v>1086</v>
      </c>
      <c r="F24" s="3"/>
      <c r="H24" s="11" t="s">
        <v>102</v>
      </c>
      <c r="I24" s="11"/>
      <c r="J24" s="1" t="s">
        <v>1046</v>
      </c>
      <c r="K24" s="3"/>
      <c r="L24" s="11"/>
      <c r="M24" s="11"/>
      <c r="N24" s="3" t="s">
        <v>1061</v>
      </c>
      <c r="O24" s="3" t="s">
        <v>1084</v>
      </c>
      <c r="P24" s="3" t="s">
        <v>434</v>
      </c>
      <c r="R24" s="13" t="s">
        <v>1091</v>
      </c>
      <c r="S24" s="3"/>
      <c r="T24" s="3" t="str">
        <f ca="1">IFERROR(__xludf.DUMMYFUNCTION("""COMPUTED_VALUE"""),"10.1111/j.1365-2664.2012.02159.x")</f>
        <v>10.1111/j.1365-2664.2012.02159.x</v>
      </c>
      <c r="U24" s="3" t="str">
        <f ca="1">IFERROR(__xludf.DUMMYFUNCTION("""COMPUTED_VALUE"""),"Stevens_2004")</f>
        <v>Stevens_2004</v>
      </c>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row>
    <row r="25" spans="1:110" ht="15.75" customHeight="1">
      <c r="A25" s="3"/>
      <c r="C25" s="11"/>
      <c r="D25" s="1" t="s">
        <v>566</v>
      </c>
      <c r="E25" s="1" t="s">
        <v>1086</v>
      </c>
      <c r="F25" s="3"/>
      <c r="H25" s="11" t="s">
        <v>102</v>
      </c>
      <c r="I25" s="11"/>
      <c r="J25" s="1" t="s">
        <v>1046</v>
      </c>
      <c r="K25" s="3"/>
      <c r="L25" s="11"/>
      <c r="M25" s="11"/>
      <c r="N25" s="3" t="s">
        <v>1061</v>
      </c>
      <c r="O25" s="3" t="s">
        <v>1084</v>
      </c>
      <c r="P25" s="3" t="s">
        <v>434</v>
      </c>
      <c r="R25" s="13" t="s">
        <v>1092</v>
      </c>
      <c r="S25" s="3"/>
      <c r="T25" s="3" t="str">
        <f ca="1">IFERROR(__xludf.DUMMYFUNCTION("""COMPUTED_VALUE"""),"10.1644/BWG-128")</f>
        <v>10.1644/BWG-128</v>
      </c>
      <c r="U25" s="3" t="str">
        <f ca="1">IFERROR(__xludf.DUMMYFUNCTION("""COMPUTED_VALUE"""),"Fukui_2009")</f>
        <v>Fukui_2009</v>
      </c>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row>
    <row r="26" spans="1:110" ht="15.75" customHeight="1">
      <c r="A26" s="3"/>
      <c r="C26" s="11"/>
      <c r="D26" s="1" t="s">
        <v>584</v>
      </c>
      <c r="E26" s="1" t="s">
        <v>1086</v>
      </c>
      <c r="F26" s="3"/>
      <c r="H26" s="11" t="s">
        <v>102</v>
      </c>
      <c r="I26" s="11"/>
      <c r="J26" s="1" t="s">
        <v>1046</v>
      </c>
      <c r="K26" s="3"/>
      <c r="L26" s="11"/>
      <c r="M26" s="11"/>
      <c r="N26" s="3" t="s">
        <v>1061</v>
      </c>
      <c r="O26" s="3" t="s">
        <v>1084</v>
      </c>
      <c r="P26" s="3" t="s">
        <v>434</v>
      </c>
      <c r="R26" s="13" t="s">
        <v>1093</v>
      </c>
      <c r="S26" s="3"/>
      <c r="T26" s="3" t="str">
        <f ca="1">IFERROR(__xludf.DUMMYFUNCTION("""COMPUTED_VALUE"""),"10.3354/esr00156")</f>
        <v>10.3354/esr00156</v>
      </c>
      <c r="U26" s="3" t="str">
        <f ca="1">IFERROR(__xludf.DUMMYFUNCTION("""COMPUTED_VALUE"""),"Sánchez_2017")</f>
        <v>Sánchez_2017</v>
      </c>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row>
    <row r="27" spans="1:110" ht="15.75" customHeight="1">
      <c r="A27" s="3"/>
      <c r="C27" s="11"/>
      <c r="D27" s="1" t="s">
        <v>561</v>
      </c>
      <c r="E27" s="3" t="s">
        <v>1094</v>
      </c>
      <c r="H27" s="11" t="s">
        <v>102</v>
      </c>
      <c r="I27" s="11"/>
      <c r="J27" s="1" t="s">
        <v>1046</v>
      </c>
      <c r="K27" s="3"/>
      <c r="L27" s="11"/>
      <c r="M27" s="11"/>
      <c r="N27" s="3" t="s">
        <v>1095</v>
      </c>
      <c r="O27" s="3" t="s">
        <v>1096</v>
      </c>
      <c r="P27" s="3" t="s">
        <v>435</v>
      </c>
      <c r="R27" s="13" t="s">
        <v>1097</v>
      </c>
      <c r="S27" s="3"/>
      <c r="T27" s="3" t="str">
        <f ca="1">IFERROR(__xludf.DUMMYFUNCTION("""COMPUTED_VALUE"""),"10.17151/bccm.2017.21.1.8")</f>
        <v>10.17151/bccm.2017.21.1.8</v>
      </c>
      <c r="U27" s="3" t="str">
        <f ca="1">IFERROR(__xludf.DUMMYFUNCTION("""COMPUTED_VALUE"""),"Lucho_2017")</f>
        <v>Lucho_2017</v>
      </c>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row>
    <row r="28" spans="1:110" ht="15.75" customHeight="1">
      <c r="A28" s="3"/>
      <c r="C28" s="11"/>
      <c r="D28" s="1" t="s">
        <v>587</v>
      </c>
      <c r="E28" s="3" t="s">
        <v>1094</v>
      </c>
      <c r="F28" s="1"/>
      <c r="H28" s="11" t="s">
        <v>102</v>
      </c>
      <c r="I28" s="11"/>
      <c r="J28" s="1" t="s">
        <v>1046</v>
      </c>
      <c r="K28" s="3"/>
      <c r="L28" s="11"/>
      <c r="M28" s="11"/>
      <c r="N28" s="3" t="s">
        <v>1095</v>
      </c>
      <c r="O28" s="3" t="s">
        <v>1096</v>
      </c>
      <c r="P28" s="3" t="s">
        <v>435</v>
      </c>
      <c r="R28" s="13" t="s">
        <v>1098</v>
      </c>
      <c r="S28" s="3"/>
      <c r="T28" s="3" t="str">
        <f ca="1">IFERROR(__xludf.DUMMYFUNCTION("""COMPUTED_VALUE"""),"10.12933/therya-17-463")</f>
        <v>10.12933/therya-17-463</v>
      </c>
      <c r="U28" s="3" t="str">
        <f ca="1">IFERROR(__xludf.DUMMYFUNCTION("""COMPUTED_VALUE"""),"Carrasco-Rueda_2020")</f>
        <v>Carrasco-Rueda_2020</v>
      </c>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row>
    <row r="29" spans="1:110" ht="15.75" customHeight="1">
      <c r="A29" s="3"/>
      <c r="C29" s="11"/>
      <c r="D29" s="1" t="s">
        <v>570</v>
      </c>
      <c r="E29" s="3" t="s">
        <v>1094</v>
      </c>
      <c r="F29" s="1"/>
      <c r="H29" s="11" t="s">
        <v>102</v>
      </c>
      <c r="I29" s="11"/>
      <c r="J29" s="1" t="s">
        <v>1046</v>
      </c>
      <c r="K29" s="3"/>
      <c r="L29" s="11"/>
      <c r="M29" s="11"/>
      <c r="N29" s="3" t="s">
        <v>1095</v>
      </c>
      <c r="O29" s="3" t="s">
        <v>1096</v>
      </c>
      <c r="P29" s="3" t="s">
        <v>435</v>
      </c>
      <c r="R29" s="13" t="s">
        <v>1099</v>
      </c>
      <c r="S29" s="3"/>
      <c r="T29" s="3" t="str">
        <f ca="1">IFERROR(__xludf.DUMMYFUNCTION("""COMPUTED_VALUE"""),"10.3390/D12060238")</f>
        <v>10.3390/D12060238</v>
      </c>
      <c r="U29" s="3" t="str">
        <f ca="1">IFERROR(__xludf.DUMMYFUNCTION("""COMPUTED_VALUE"""),"Pereira_2019")</f>
        <v>Pereira_2019</v>
      </c>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row>
    <row r="30" spans="1:110" ht="14.4">
      <c r="A30" s="3"/>
      <c r="C30" s="11"/>
      <c r="D30" s="1" t="s">
        <v>588</v>
      </c>
      <c r="E30" s="3" t="s">
        <v>1094</v>
      </c>
      <c r="F30" s="1"/>
      <c r="H30" s="11" t="s">
        <v>102</v>
      </c>
      <c r="I30" s="11"/>
      <c r="J30" s="1" t="s">
        <v>1046</v>
      </c>
      <c r="K30" s="3"/>
      <c r="L30" s="11"/>
      <c r="M30" s="11"/>
      <c r="N30" s="3" t="s">
        <v>1095</v>
      </c>
      <c r="O30" s="3" t="s">
        <v>1096</v>
      </c>
      <c r="P30" s="3" t="s">
        <v>435</v>
      </c>
      <c r="R30" s="13" t="s">
        <v>1100</v>
      </c>
      <c r="S30" s="3"/>
      <c r="T30" s="3" t="str">
        <f ca="1">IFERROR(__xludf.DUMMYFUNCTION("""COMPUTED_VALUE"""),"10.31687/saremMN.19.26.1.0.09")</f>
        <v>10.31687/saremMN.19.26.1.0.09</v>
      </c>
      <c r="U30" s="3" t="str">
        <f ca="1">IFERROR(__xludf.DUMMYFUNCTION("""COMPUTED_VALUE"""),"Coelho_2018")</f>
        <v>Coelho_2018</v>
      </c>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row>
    <row r="31" spans="1:110" ht="14.4">
      <c r="A31" s="3"/>
      <c r="C31" s="11"/>
      <c r="D31" s="1" t="s">
        <v>589</v>
      </c>
      <c r="E31" s="3" t="s">
        <v>1094</v>
      </c>
      <c r="F31" s="1"/>
      <c r="H31" s="11" t="s">
        <v>102</v>
      </c>
      <c r="I31" s="11"/>
      <c r="J31" s="1" t="s">
        <v>1046</v>
      </c>
      <c r="K31" s="3"/>
      <c r="L31" s="11"/>
      <c r="M31" s="11"/>
      <c r="N31" s="3" t="s">
        <v>1095</v>
      </c>
      <c r="O31" s="3" t="s">
        <v>1096</v>
      </c>
      <c r="P31" s="3" t="s">
        <v>435</v>
      </c>
      <c r="R31" s="13" t="s">
        <v>1101</v>
      </c>
      <c r="S31" s="3"/>
      <c r="T31" s="3" t="str">
        <f ca="1">IFERROR(__xludf.DUMMYFUNCTION("""COMPUTED_VALUE"""),"10.3161/15081109ACC2018.20.1.009")</f>
        <v>10.3161/15081109ACC2018.20.1.009</v>
      </c>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row>
    <row r="32" spans="1:110" ht="14.4">
      <c r="A32" s="3"/>
      <c r="C32" s="11"/>
      <c r="D32" s="1" t="s">
        <v>591</v>
      </c>
      <c r="E32" s="3" t="s">
        <v>1094</v>
      </c>
      <c r="F32" s="1"/>
      <c r="H32" s="11" t="s">
        <v>102</v>
      </c>
      <c r="I32" s="11"/>
      <c r="J32" s="1" t="s">
        <v>1046</v>
      </c>
      <c r="K32" s="3"/>
      <c r="L32" s="11"/>
      <c r="M32" s="11"/>
      <c r="N32" s="3" t="s">
        <v>1095</v>
      </c>
      <c r="O32" s="3" t="s">
        <v>1096</v>
      </c>
      <c r="P32" s="3" t="s">
        <v>435</v>
      </c>
      <c r="R32" s="13" t="s">
        <v>1102</v>
      </c>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row>
    <row r="33" spans="1:110" ht="14.4">
      <c r="A33" s="3"/>
      <c r="C33" s="11"/>
      <c r="D33" s="1" t="s">
        <v>593</v>
      </c>
      <c r="E33" s="3" t="s">
        <v>1094</v>
      </c>
      <c r="F33" s="1"/>
      <c r="H33" s="11" t="s">
        <v>102</v>
      </c>
      <c r="I33" s="11"/>
      <c r="J33" s="1" t="s">
        <v>1046</v>
      </c>
      <c r="K33" s="3"/>
      <c r="L33" s="11"/>
      <c r="M33" s="11"/>
      <c r="N33" s="3" t="s">
        <v>1095</v>
      </c>
      <c r="O33" s="3" t="s">
        <v>1096</v>
      </c>
      <c r="P33" s="3" t="s">
        <v>435</v>
      </c>
      <c r="R33" s="13" t="s">
        <v>1103</v>
      </c>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row>
    <row r="34" spans="1:110" ht="14.4">
      <c r="A34" s="3"/>
      <c r="C34" s="11"/>
      <c r="D34" s="1" t="s">
        <v>594</v>
      </c>
      <c r="E34" s="3" t="s">
        <v>1094</v>
      </c>
      <c r="F34" s="1"/>
      <c r="H34" s="11" t="s">
        <v>102</v>
      </c>
      <c r="I34" s="11"/>
      <c r="J34" s="1" t="s">
        <v>1046</v>
      </c>
      <c r="K34" s="3"/>
      <c r="L34" s="11"/>
      <c r="M34" s="11"/>
      <c r="N34" s="3" t="s">
        <v>1095</v>
      </c>
      <c r="O34" s="3" t="s">
        <v>1096</v>
      </c>
      <c r="P34" s="3" t="s">
        <v>435</v>
      </c>
      <c r="R34" s="13" t="s">
        <v>1104</v>
      </c>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row>
    <row r="35" spans="1:110" ht="14.4">
      <c r="A35" s="3"/>
      <c r="C35" s="11"/>
      <c r="D35" s="1" t="s">
        <v>595</v>
      </c>
      <c r="E35" s="3" t="s">
        <v>1094</v>
      </c>
      <c r="F35" s="1"/>
      <c r="H35" s="11" t="s">
        <v>102</v>
      </c>
      <c r="I35" s="11"/>
      <c r="J35" s="1" t="s">
        <v>1046</v>
      </c>
      <c r="K35" s="3"/>
      <c r="L35" s="11"/>
      <c r="M35" s="11"/>
      <c r="N35" s="3" t="s">
        <v>1095</v>
      </c>
      <c r="O35" s="3" t="s">
        <v>1096</v>
      </c>
      <c r="P35" s="3" t="s">
        <v>435</v>
      </c>
      <c r="R35" s="13" t="s">
        <v>1105</v>
      </c>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row>
    <row r="36" spans="1:110" ht="14.4">
      <c r="A36" s="3"/>
      <c r="C36" s="11"/>
      <c r="D36" s="1" t="s">
        <v>576</v>
      </c>
      <c r="E36" s="3" t="s">
        <v>1094</v>
      </c>
      <c r="F36" s="1"/>
      <c r="H36" s="11" t="s">
        <v>102</v>
      </c>
      <c r="I36" s="11"/>
      <c r="J36" s="1" t="s">
        <v>1046</v>
      </c>
      <c r="K36" s="3"/>
      <c r="L36" s="11"/>
      <c r="M36" s="11"/>
      <c r="N36" s="3" t="s">
        <v>1095</v>
      </c>
      <c r="O36" s="3" t="s">
        <v>1096</v>
      </c>
      <c r="P36" s="3" t="s">
        <v>435</v>
      </c>
      <c r="R36" s="13" t="s">
        <v>1106</v>
      </c>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row>
    <row r="37" spans="1:110" ht="14.4">
      <c r="A37" s="3"/>
      <c r="C37" s="11"/>
      <c r="D37" s="1" t="s">
        <v>596</v>
      </c>
      <c r="E37" s="3" t="s">
        <v>1094</v>
      </c>
      <c r="F37" s="1"/>
      <c r="H37" s="11" t="s">
        <v>102</v>
      </c>
      <c r="I37" s="11"/>
      <c r="J37" s="1" t="s">
        <v>1046</v>
      </c>
      <c r="K37" s="3"/>
      <c r="L37" s="11"/>
      <c r="M37" s="11"/>
      <c r="N37" s="3" t="s">
        <v>1095</v>
      </c>
      <c r="O37" s="3" t="s">
        <v>1096</v>
      </c>
      <c r="P37" s="3" t="s">
        <v>435</v>
      </c>
      <c r="R37" s="13" t="s">
        <v>1107</v>
      </c>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row>
    <row r="38" spans="1:110" ht="14.4">
      <c r="A38" s="3"/>
      <c r="C38" s="11"/>
      <c r="D38" s="1" t="s">
        <v>597</v>
      </c>
      <c r="E38" s="3" t="s">
        <v>1094</v>
      </c>
      <c r="F38" s="1"/>
      <c r="H38" s="11" t="s">
        <v>102</v>
      </c>
      <c r="I38" s="11"/>
      <c r="J38" s="1" t="s">
        <v>1046</v>
      </c>
      <c r="K38" s="3"/>
      <c r="L38" s="11"/>
      <c r="M38" s="11"/>
      <c r="N38" s="3" t="s">
        <v>1095</v>
      </c>
      <c r="O38" s="3" t="s">
        <v>1096</v>
      </c>
      <c r="P38" s="3" t="s">
        <v>435</v>
      </c>
      <c r="R38" s="13" t="s">
        <v>1108</v>
      </c>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row>
    <row r="39" spans="1:110" ht="14.4">
      <c r="A39" s="3"/>
      <c r="C39" s="11"/>
      <c r="D39" s="1" t="s">
        <v>598</v>
      </c>
      <c r="E39" s="3" t="s">
        <v>1094</v>
      </c>
      <c r="F39" s="1"/>
      <c r="H39" s="11" t="s">
        <v>102</v>
      </c>
      <c r="I39" s="11"/>
      <c r="J39" s="1" t="s">
        <v>1046</v>
      </c>
      <c r="K39" s="3"/>
      <c r="L39" s="11"/>
      <c r="M39" s="11"/>
      <c r="N39" s="3" t="s">
        <v>1095</v>
      </c>
      <c r="O39" s="3" t="s">
        <v>1096</v>
      </c>
      <c r="P39" s="3" t="s">
        <v>435</v>
      </c>
      <c r="R39" s="13" t="s">
        <v>1109</v>
      </c>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row>
    <row r="40" spans="1:110" ht="14.4">
      <c r="A40" s="3"/>
      <c r="C40" s="11"/>
      <c r="D40" s="1" t="s">
        <v>600</v>
      </c>
      <c r="E40" s="3" t="s">
        <v>1094</v>
      </c>
      <c r="F40" s="1"/>
      <c r="H40" s="11" t="s">
        <v>102</v>
      </c>
      <c r="I40" s="11"/>
      <c r="J40" s="1" t="s">
        <v>1046</v>
      </c>
      <c r="K40" s="3"/>
      <c r="L40" s="11"/>
      <c r="M40" s="11"/>
      <c r="N40" s="3" t="s">
        <v>1095</v>
      </c>
      <c r="O40" s="3" t="s">
        <v>1096</v>
      </c>
      <c r="P40" s="3" t="s">
        <v>435</v>
      </c>
      <c r="R40" s="13" t="s">
        <v>1110</v>
      </c>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row>
    <row r="41" spans="1:110" ht="14.4">
      <c r="A41" s="3"/>
      <c r="C41" s="11"/>
      <c r="D41" s="1" t="s">
        <v>602</v>
      </c>
      <c r="E41" s="3" t="s">
        <v>1094</v>
      </c>
      <c r="F41" s="1"/>
      <c r="H41" s="11" t="s">
        <v>102</v>
      </c>
      <c r="I41" s="11"/>
      <c r="J41" s="1" t="s">
        <v>1046</v>
      </c>
      <c r="K41" s="3"/>
      <c r="L41" s="11"/>
      <c r="M41" s="11"/>
      <c r="N41" s="3" t="s">
        <v>1095</v>
      </c>
      <c r="O41" s="3" t="s">
        <v>1096</v>
      </c>
      <c r="P41" s="3" t="s">
        <v>435</v>
      </c>
      <c r="R41" s="13" t="s">
        <v>1111</v>
      </c>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row>
    <row r="42" spans="1:110" ht="14.4">
      <c r="A42" s="3"/>
      <c r="C42" s="11"/>
      <c r="D42" s="1" t="s">
        <v>604</v>
      </c>
      <c r="E42" s="3" t="s">
        <v>1094</v>
      </c>
      <c r="F42" s="1"/>
      <c r="H42" s="11" t="s">
        <v>102</v>
      </c>
      <c r="I42" s="11"/>
      <c r="J42" s="1" t="s">
        <v>1046</v>
      </c>
      <c r="K42" s="3"/>
      <c r="L42" s="11"/>
      <c r="M42" s="11"/>
      <c r="N42" s="3" t="s">
        <v>1095</v>
      </c>
      <c r="O42" s="3" t="s">
        <v>1096</v>
      </c>
      <c r="P42" s="3" t="s">
        <v>435</v>
      </c>
      <c r="R42" s="13" t="s">
        <v>1112</v>
      </c>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row>
    <row r="43" spans="1:110" ht="14.4">
      <c r="A43" s="3"/>
      <c r="C43" s="11"/>
      <c r="D43" s="1" t="s">
        <v>605</v>
      </c>
      <c r="E43" s="3" t="s">
        <v>1094</v>
      </c>
      <c r="F43" s="1"/>
      <c r="H43" s="11" t="s">
        <v>102</v>
      </c>
      <c r="I43" s="11"/>
      <c r="J43" s="1" t="s">
        <v>1046</v>
      </c>
      <c r="K43" s="3"/>
      <c r="L43" s="11"/>
      <c r="M43" s="11"/>
      <c r="N43" s="3" t="s">
        <v>1095</v>
      </c>
      <c r="O43" s="3" t="s">
        <v>1096</v>
      </c>
      <c r="P43" s="3" t="s">
        <v>435</v>
      </c>
      <c r="R43" s="13" t="s">
        <v>1113</v>
      </c>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row>
    <row r="44" spans="1:110" ht="14.4">
      <c r="A44" s="3"/>
      <c r="C44" s="11"/>
      <c r="D44" s="1" t="s">
        <v>606</v>
      </c>
      <c r="E44" s="3" t="s">
        <v>1094</v>
      </c>
      <c r="F44" s="1"/>
      <c r="H44" s="11" t="s">
        <v>102</v>
      </c>
      <c r="I44" s="11"/>
      <c r="J44" s="1" t="s">
        <v>1046</v>
      </c>
      <c r="K44" s="3"/>
      <c r="L44" s="11"/>
      <c r="M44" s="11"/>
      <c r="N44" s="3" t="s">
        <v>1095</v>
      </c>
      <c r="O44" s="3" t="s">
        <v>1096</v>
      </c>
      <c r="P44" s="3" t="s">
        <v>435</v>
      </c>
      <c r="R44" s="13" t="s">
        <v>1114</v>
      </c>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row>
    <row r="45" spans="1:110" ht="14.4">
      <c r="A45" s="3"/>
      <c r="C45" s="11"/>
      <c r="D45" s="1" t="s">
        <v>607</v>
      </c>
      <c r="E45" s="3" t="s">
        <v>1094</v>
      </c>
      <c r="F45" s="1"/>
      <c r="H45" s="11" t="s">
        <v>102</v>
      </c>
      <c r="I45" s="11"/>
      <c r="J45" s="1" t="s">
        <v>1046</v>
      </c>
      <c r="K45" s="3"/>
      <c r="L45" s="11"/>
      <c r="M45" s="11"/>
      <c r="N45" s="3" t="s">
        <v>1095</v>
      </c>
      <c r="O45" s="3" t="s">
        <v>1096</v>
      </c>
      <c r="P45" s="3" t="s">
        <v>435</v>
      </c>
      <c r="R45" s="13" t="s">
        <v>1115</v>
      </c>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row>
    <row r="46" spans="1:110" ht="14.4">
      <c r="A46" s="3"/>
      <c r="C46" s="11"/>
      <c r="D46" s="1" t="s">
        <v>608</v>
      </c>
      <c r="E46" s="3" t="s">
        <v>1094</v>
      </c>
      <c r="F46" s="1"/>
      <c r="H46" s="11" t="s">
        <v>102</v>
      </c>
      <c r="I46" s="11"/>
      <c r="J46" s="1" t="s">
        <v>1046</v>
      </c>
      <c r="K46" s="3"/>
      <c r="L46" s="11"/>
      <c r="M46" s="11"/>
      <c r="N46" s="3" t="s">
        <v>1095</v>
      </c>
      <c r="O46" s="3" t="s">
        <v>1096</v>
      </c>
      <c r="P46" s="3" t="s">
        <v>435</v>
      </c>
      <c r="R46" s="13" t="s">
        <v>1116</v>
      </c>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row>
    <row r="47" spans="1:110" ht="14.4">
      <c r="A47" s="3"/>
      <c r="C47" s="11"/>
      <c r="D47" s="3" t="s">
        <v>735</v>
      </c>
      <c r="E47" s="3"/>
      <c r="F47" s="3"/>
      <c r="H47" s="11" t="s">
        <v>1045</v>
      </c>
      <c r="I47" s="1" t="s">
        <v>1046</v>
      </c>
      <c r="J47" s="6" t="s">
        <v>1117</v>
      </c>
      <c r="K47" s="1" t="s">
        <v>1046</v>
      </c>
      <c r="L47" s="1" t="s">
        <v>1046</v>
      </c>
      <c r="M47" s="11"/>
      <c r="N47" s="3" t="s">
        <v>1061</v>
      </c>
      <c r="O47" s="3" t="s">
        <v>1118</v>
      </c>
      <c r="P47" s="3" t="s">
        <v>436</v>
      </c>
      <c r="R47" s="13" t="s">
        <v>1119</v>
      </c>
      <c r="S47" s="3"/>
      <c r="T47" s="3"/>
      <c r="U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row>
    <row r="48" spans="1:110" ht="14.4">
      <c r="A48" s="3"/>
      <c r="C48" s="11"/>
      <c r="D48" s="3" t="s">
        <v>469</v>
      </c>
      <c r="E48" s="3"/>
      <c r="F48" s="3"/>
      <c r="H48" s="11" t="s">
        <v>102</v>
      </c>
      <c r="I48" s="11"/>
      <c r="J48" s="1" t="s">
        <v>1046</v>
      </c>
      <c r="K48" s="3"/>
      <c r="L48" s="11"/>
      <c r="M48" s="11"/>
      <c r="N48" s="3" t="s">
        <v>1061</v>
      </c>
      <c r="O48" s="3" t="s">
        <v>1120</v>
      </c>
      <c r="P48" s="3" t="s">
        <v>437</v>
      </c>
      <c r="R48" s="13" t="s">
        <v>1121</v>
      </c>
      <c r="S48" s="3"/>
      <c r="T48" s="3"/>
      <c r="U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row>
    <row r="49" spans="1:110" ht="14.4">
      <c r="A49" s="3"/>
      <c r="C49" s="11"/>
      <c r="D49" s="1" t="s">
        <v>767</v>
      </c>
      <c r="E49" s="3"/>
      <c r="F49" s="3"/>
      <c r="H49" s="11" t="s">
        <v>1045</v>
      </c>
      <c r="I49" s="1" t="s">
        <v>1046</v>
      </c>
      <c r="J49" s="6" t="s">
        <v>1122</v>
      </c>
      <c r="K49" s="1" t="s">
        <v>1046</v>
      </c>
      <c r="L49" s="1" t="s">
        <v>1046</v>
      </c>
      <c r="M49" s="11"/>
      <c r="N49" s="3" t="s">
        <v>1061</v>
      </c>
      <c r="O49" s="3" t="s">
        <v>1120</v>
      </c>
      <c r="P49" s="3" t="s">
        <v>437</v>
      </c>
      <c r="R49" s="13" t="s">
        <v>1123</v>
      </c>
      <c r="S49" s="3"/>
      <c r="T49" s="3"/>
      <c r="U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row>
    <row r="50" spans="1:110" ht="14.4">
      <c r="A50" s="3"/>
      <c r="C50" s="11"/>
      <c r="D50" s="1" t="s">
        <v>780</v>
      </c>
      <c r="E50" s="3"/>
      <c r="F50" s="3"/>
      <c r="H50" s="11" t="s">
        <v>1045</v>
      </c>
      <c r="I50" s="1" t="s">
        <v>1046</v>
      </c>
      <c r="J50" s="6" t="s">
        <v>1124</v>
      </c>
      <c r="K50" s="1" t="s">
        <v>1046</v>
      </c>
      <c r="L50" s="1" t="s">
        <v>1046</v>
      </c>
      <c r="M50" s="11"/>
      <c r="N50" s="3" t="s">
        <v>1061</v>
      </c>
      <c r="O50" s="3" t="s">
        <v>1120</v>
      </c>
      <c r="P50" s="3" t="s">
        <v>437</v>
      </c>
      <c r="R50" s="13" t="s">
        <v>1125</v>
      </c>
      <c r="S50" s="3"/>
      <c r="T50" s="3"/>
      <c r="U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row>
    <row r="51" spans="1:110" ht="14.4">
      <c r="A51" s="3"/>
      <c r="C51" s="11"/>
      <c r="D51" s="1" t="s">
        <v>833</v>
      </c>
      <c r="E51" s="3"/>
      <c r="F51" s="3"/>
      <c r="H51" s="11" t="s">
        <v>1045</v>
      </c>
      <c r="I51" s="1" t="s">
        <v>1046</v>
      </c>
      <c r="J51" s="6" t="s">
        <v>1126</v>
      </c>
      <c r="K51" s="1" t="s">
        <v>1046</v>
      </c>
      <c r="L51" s="1" t="s">
        <v>1046</v>
      </c>
      <c r="M51" s="11"/>
      <c r="N51" s="3" t="s">
        <v>1061</v>
      </c>
      <c r="O51" s="3" t="s">
        <v>1120</v>
      </c>
      <c r="P51" s="3" t="s">
        <v>437</v>
      </c>
      <c r="R51" s="13" t="s">
        <v>1127</v>
      </c>
      <c r="S51" s="3"/>
      <c r="T51" s="3"/>
      <c r="U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row>
    <row r="52" spans="1:110" ht="14.4">
      <c r="A52" s="3"/>
      <c r="C52" s="11"/>
      <c r="D52" s="1" t="s">
        <v>522</v>
      </c>
      <c r="E52" s="1" t="s">
        <v>1128</v>
      </c>
      <c r="F52" s="3"/>
      <c r="H52" s="11" t="s">
        <v>102</v>
      </c>
      <c r="I52" s="11"/>
      <c r="J52" s="1" t="s">
        <v>1046</v>
      </c>
      <c r="K52" s="3"/>
      <c r="L52" s="11"/>
      <c r="M52" s="11"/>
      <c r="N52" s="3" t="s">
        <v>1061</v>
      </c>
      <c r="O52" s="3" t="s">
        <v>1120</v>
      </c>
      <c r="P52" s="3" t="s">
        <v>437</v>
      </c>
      <c r="R52" s="13" t="s">
        <v>1129</v>
      </c>
      <c r="S52" s="3"/>
      <c r="T52" s="3"/>
      <c r="U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row>
    <row r="53" spans="1:110" ht="14.4">
      <c r="A53" s="3"/>
      <c r="C53" s="11"/>
      <c r="D53" s="1" t="s">
        <v>516</v>
      </c>
      <c r="E53" s="1" t="s">
        <v>1128</v>
      </c>
      <c r="F53" s="3"/>
      <c r="H53" s="11" t="s">
        <v>102</v>
      </c>
      <c r="I53" s="11"/>
      <c r="J53" s="1" t="s">
        <v>1046</v>
      </c>
      <c r="K53" s="3"/>
      <c r="L53" s="11"/>
      <c r="M53" s="11"/>
      <c r="N53" s="3" t="s">
        <v>1061</v>
      </c>
      <c r="O53" s="3" t="s">
        <v>1120</v>
      </c>
      <c r="P53" s="3" t="s">
        <v>437</v>
      </c>
      <c r="R53" s="13" t="s">
        <v>1130</v>
      </c>
      <c r="S53" s="3"/>
      <c r="T53" s="3"/>
      <c r="U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row>
    <row r="54" spans="1:110" ht="14.4">
      <c r="A54" s="3"/>
      <c r="C54" s="11"/>
      <c r="D54" s="3" t="s">
        <v>736</v>
      </c>
      <c r="E54" s="3"/>
      <c r="F54" s="3"/>
      <c r="H54" s="11" t="s">
        <v>1045</v>
      </c>
      <c r="I54" s="1" t="s">
        <v>1046</v>
      </c>
      <c r="J54" s="6" t="s">
        <v>1131</v>
      </c>
      <c r="K54" s="1" t="s">
        <v>1046</v>
      </c>
      <c r="L54" s="1" t="s">
        <v>1046</v>
      </c>
      <c r="M54" s="11"/>
      <c r="N54" s="3" t="s">
        <v>1095</v>
      </c>
      <c r="O54" s="3" t="s">
        <v>1132</v>
      </c>
      <c r="P54" s="3" t="s">
        <v>438</v>
      </c>
      <c r="R54" s="13" t="s">
        <v>1133</v>
      </c>
      <c r="S54" s="3"/>
      <c r="T54" s="3"/>
      <c r="U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row>
    <row r="55" spans="1:110" ht="14.4">
      <c r="A55" s="3"/>
      <c r="C55" s="11"/>
      <c r="D55" s="3" t="s">
        <v>765</v>
      </c>
      <c r="E55" s="3"/>
      <c r="F55" s="3"/>
      <c r="H55" s="11" t="s">
        <v>1045</v>
      </c>
      <c r="I55" s="1" t="s">
        <v>1046</v>
      </c>
      <c r="J55" s="6" t="s">
        <v>1134</v>
      </c>
      <c r="K55" s="1" t="s">
        <v>1046</v>
      </c>
      <c r="L55" s="1" t="s">
        <v>1046</v>
      </c>
      <c r="M55" s="11"/>
      <c r="N55" s="3" t="s">
        <v>1095</v>
      </c>
      <c r="O55" s="3" t="s">
        <v>1132</v>
      </c>
      <c r="P55" s="3" t="s">
        <v>438</v>
      </c>
      <c r="R55" s="13" t="s">
        <v>1135</v>
      </c>
      <c r="S55" s="3"/>
      <c r="T55" s="3"/>
      <c r="U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row>
    <row r="56" spans="1:110" ht="14.4">
      <c r="A56" s="3"/>
      <c r="C56" s="11"/>
      <c r="D56" s="1" t="s">
        <v>470</v>
      </c>
      <c r="E56" s="1" t="s">
        <v>461</v>
      </c>
      <c r="F56" s="3"/>
      <c r="H56" s="11" t="s">
        <v>102</v>
      </c>
      <c r="I56" s="11" t="s">
        <v>1136</v>
      </c>
      <c r="J56" s="1" t="s">
        <v>1046</v>
      </c>
      <c r="K56" s="3"/>
      <c r="L56" s="11"/>
      <c r="M56" s="11"/>
      <c r="N56" s="3" t="s">
        <v>1095</v>
      </c>
      <c r="O56" s="3" t="s">
        <v>1132</v>
      </c>
      <c r="P56" s="3" t="s">
        <v>438</v>
      </c>
      <c r="R56" s="13" t="s">
        <v>1137</v>
      </c>
      <c r="S56" s="3"/>
      <c r="T56" s="3"/>
      <c r="U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row>
    <row r="57" spans="1:110" ht="14.4">
      <c r="A57" s="3"/>
      <c r="C57" s="11"/>
      <c r="D57" s="1" t="s">
        <v>511</v>
      </c>
      <c r="E57" s="1" t="s">
        <v>1138</v>
      </c>
      <c r="F57" s="3"/>
      <c r="H57" s="11" t="s">
        <v>102</v>
      </c>
      <c r="I57" s="11" t="s">
        <v>1139</v>
      </c>
      <c r="J57" s="1" t="s">
        <v>1046</v>
      </c>
      <c r="K57" s="3"/>
      <c r="L57" s="11"/>
      <c r="M57" s="11"/>
      <c r="N57" s="3" t="s">
        <v>1095</v>
      </c>
      <c r="O57" s="3" t="s">
        <v>1132</v>
      </c>
      <c r="P57" s="3" t="s">
        <v>438</v>
      </c>
      <c r="R57" s="13" t="s">
        <v>1140</v>
      </c>
      <c r="S57" s="3"/>
      <c r="T57" s="3"/>
      <c r="U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row>
    <row r="58" spans="1:110" ht="14.4">
      <c r="A58" s="3"/>
      <c r="C58" s="11"/>
      <c r="D58" s="1" t="s">
        <v>522</v>
      </c>
      <c r="E58" s="1" t="s">
        <v>1138</v>
      </c>
      <c r="F58" s="3"/>
      <c r="H58" s="11" t="s">
        <v>102</v>
      </c>
      <c r="I58" s="11"/>
      <c r="J58" s="1" t="s">
        <v>1046</v>
      </c>
      <c r="K58" s="3"/>
      <c r="L58" s="11"/>
      <c r="M58" s="11"/>
      <c r="N58" s="3" t="s">
        <v>1095</v>
      </c>
      <c r="O58" s="3" t="s">
        <v>1132</v>
      </c>
      <c r="P58" s="3" t="s">
        <v>438</v>
      </c>
      <c r="R58" s="13" t="s">
        <v>1141</v>
      </c>
      <c r="S58" s="3"/>
      <c r="T58" s="3"/>
      <c r="U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row>
    <row r="59" spans="1:110" ht="14.4">
      <c r="A59" s="3"/>
      <c r="C59" s="11"/>
      <c r="D59" s="1" t="s">
        <v>975</v>
      </c>
      <c r="E59" s="1" t="s">
        <v>1142</v>
      </c>
      <c r="F59" s="3"/>
      <c r="H59" s="11" t="s">
        <v>102</v>
      </c>
      <c r="I59" s="11" t="s">
        <v>1143</v>
      </c>
      <c r="J59" s="1" t="s">
        <v>1046</v>
      </c>
      <c r="K59" s="3"/>
      <c r="L59" s="11"/>
      <c r="M59" s="11"/>
      <c r="N59" s="3" t="s">
        <v>1095</v>
      </c>
      <c r="O59" s="3" t="s">
        <v>1132</v>
      </c>
      <c r="P59" s="3" t="s">
        <v>438</v>
      </c>
      <c r="R59" s="13" t="s">
        <v>1144</v>
      </c>
      <c r="S59" s="3"/>
      <c r="T59" s="3"/>
      <c r="U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row>
    <row r="60" spans="1:110" ht="14.4">
      <c r="A60" s="3"/>
      <c r="C60" s="11"/>
      <c r="D60" s="3" t="s">
        <v>931</v>
      </c>
      <c r="E60" s="3"/>
      <c r="F60" s="3"/>
      <c r="H60" s="11" t="s">
        <v>1045</v>
      </c>
      <c r="I60" s="1" t="s">
        <v>1046</v>
      </c>
      <c r="J60" s="6" t="s">
        <v>1145</v>
      </c>
      <c r="K60" s="1" t="s">
        <v>1046</v>
      </c>
      <c r="L60" s="1" t="s">
        <v>1046</v>
      </c>
      <c r="M60" s="11"/>
      <c r="N60" s="3" t="s">
        <v>1095</v>
      </c>
      <c r="O60" s="3" t="s">
        <v>1132</v>
      </c>
      <c r="P60" s="3" t="s">
        <v>438</v>
      </c>
      <c r="R60" s="13" t="s">
        <v>1146</v>
      </c>
      <c r="S60" s="3"/>
      <c r="T60" s="3"/>
      <c r="U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row>
    <row r="61" spans="1:110" ht="14.4">
      <c r="A61" s="3"/>
      <c r="C61" s="11"/>
      <c r="D61" s="3" t="s">
        <v>834</v>
      </c>
      <c r="E61" s="3"/>
      <c r="F61" s="3"/>
      <c r="H61" s="11" t="s">
        <v>1045</v>
      </c>
      <c r="I61" s="1" t="s">
        <v>1046</v>
      </c>
      <c r="J61" s="6" t="s">
        <v>1147</v>
      </c>
      <c r="K61" s="1" t="s">
        <v>1046</v>
      </c>
      <c r="L61" s="1" t="s">
        <v>1046</v>
      </c>
      <c r="M61" s="6" t="s">
        <v>1148</v>
      </c>
      <c r="N61" s="3" t="s">
        <v>1061</v>
      </c>
      <c r="O61" s="3" t="s">
        <v>1149</v>
      </c>
      <c r="P61" s="3" t="s">
        <v>439</v>
      </c>
      <c r="R61" s="13" t="s">
        <v>1150</v>
      </c>
      <c r="S61" s="3"/>
      <c r="T61" s="3"/>
      <c r="U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row>
    <row r="62" spans="1:110" ht="14.4">
      <c r="A62" s="3"/>
      <c r="C62" s="11"/>
      <c r="D62" s="3" t="s">
        <v>781</v>
      </c>
      <c r="E62" s="3"/>
      <c r="F62" s="3"/>
      <c r="H62" s="11" t="s">
        <v>1045</v>
      </c>
      <c r="I62" s="1" t="s">
        <v>1046</v>
      </c>
      <c r="J62" s="6" t="s">
        <v>1151</v>
      </c>
      <c r="K62" s="1" t="s">
        <v>1046</v>
      </c>
      <c r="L62" s="1" t="s">
        <v>1046</v>
      </c>
      <c r="M62" s="6" t="s">
        <v>1152</v>
      </c>
      <c r="N62" s="3" t="s">
        <v>1061</v>
      </c>
      <c r="O62" s="3" t="s">
        <v>1149</v>
      </c>
      <c r="P62" s="3" t="s">
        <v>439</v>
      </c>
      <c r="R62" s="13" t="s">
        <v>1153</v>
      </c>
      <c r="S62" s="3"/>
      <c r="T62" s="3"/>
      <c r="U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row>
    <row r="63" spans="1:110" ht="14.4">
      <c r="A63" s="3"/>
      <c r="C63" s="11"/>
      <c r="D63" s="3" t="s">
        <v>768</v>
      </c>
      <c r="E63" s="3"/>
      <c r="F63" s="3"/>
      <c r="H63" s="11" t="s">
        <v>1045</v>
      </c>
      <c r="I63" s="1" t="s">
        <v>1046</v>
      </c>
      <c r="J63" s="6" t="s">
        <v>1154</v>
      </c>
      <c r="K63" s="1" t="s">
        <v>1046</v>
      </c>
      <c r="L63" s="1" t="s">
        <v>1046</v>
      </c>
      <c r="M63" s="6" t="s">
        <v>1155</v>
      </c>
      <c r="N63" s="3" t="s">
        <v>1061</v>
      </c>
      <c r="O63" s="3" t="s">
        <v>1149</v>
      </c>
      <c r="P63" s="3" t="s">
        <v>439</v>
      </c>
      <c r="R63" s="13" t="s">
        <v>1156</v>
      </c>
      <c r="S63" s="3"/>
      <c r="T63" s="3"/>
      <c r="U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row>
    <row r="64" spans="1:110" ht="14.4">
      <c r="A64" s="3"/>
      <c r="C64" s="11"/>
      <c r="D64" s="3" t="s">
        <v>498</v>
      </c>
      <c r="E64" s="3"/>
      <c r="F64" s="3"/>
      <c r="H64" s="11" t="s">
        <v>102</v>
      </c>
      <c r="I64" s="11"/>
      <c r="J64" s="1" t="s">
        <v>1046</v>
      </c>
      <c r="K64" s="3"/>
      <c r="L64" s="11"/>
      <c r="M64" s="6" t="s">
        <v>1157</v>
      </c>
      <c r="N64" s="3" t="s">
        <v>1061</v>
      </c>
      <c r="O64" s="3" t="s">
        <v>1149</v>
      </c>
      <c r="P64" s="3" t="s">
        <v>439</v>
      </c>
      <c r="R64" s="13" t="s">
        <v>1158</v>
      </c>
      <c r="S64" s="3"/>
      <c r="T64" s="3"/>
      <c r="U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row>
    <row r="65" spans="1:110" ht="14.4">
      <c r="A65" s="3"/>
      <c r="C65" s="11"/>
      <c r="D65" s="3" t="s">
        <v>469</v>
      </c>
      <c r="E65" s="3"/>
      <c r="F65" s="3"/>
      <c r="H65" s="11" t="s">
        <v>102</v>
      </c>
      <c r="I65" s="11"/>
      <c r="J65" s="1" t="s">
        <v>1046</v>
      </c>
      <c r="K65" s="3"/>
      <c r="L65" s="11"/>
      <c r="M65" s="6" t="s">
        <v>1159</v>
      </c>
      <c r="N65" s="3" t="s">
        <v>1061</v>
      </c>
      <c r="O65" s="3" t="s">
        <v>1149</v>
      </c>
      <c r="P65" s="3" t="s">
        <v>439</v>
      </c>
      <c r="R65" s="13" t="s">
        <v>1160</v>
      </c>
      <c r="S65" s="3"/>
      <c r="T65" s="3"/>
      <c r="U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row>
    <row r="66" spans="1:110" ht="14.4">
      <c r="A66" s="3"/>
      <c r="C66" s="11"/>
      <c r="D66" s="3" t="s">
        <v>518</v>
      </c>
      <c r="E66" s="3"/>
      <c r="F66" s="3"/>
      <c r="H66" s="11" t="s">
        <v>102</v>
      </c>
      <c r="I66" s="11"/>
      <c r="J66" s="1" t="s">
        <v>1046</v>
      </c>
      <c r="K66" s="3"/>
      <c r="L66" s="11"/>
      <c r="M66" s="6" t="s">
        <v>1161</v>
      </c>
      <c r="N66" s="3" t="s">
        <v>1061</v>
      </c>
      <c r="O66" s="3" t="s">
        <v>1149</v>
      </c>
      <c r="P66" s="3" t="s">
        <v>439</v>
      </c>
      <c r="R66" s="13" t="s">
        <v>1162</v>
      </c>
      <c r="S66" s="3"/>
      <c r="T66" s="3"/>
      <c r="U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row>
    <row r="67" spans="1:110" ht="14.4">
      <c r="A67" s="3"/>
      <c r="C67" s="11"/>
      <c r="D67" s="3" t="s">
        <v>512</v>
      </c>
      <c r="E67" s="3"/>
      <c r="F67" s="3"/>
      <c r="H67" s="11" t="s">
        <v>102</v>
      </c>
      <c r="I67" s="11"/>
      <c r="J67" s="1" t="s">
        <v>1046</v>
      </c>
      <c r="K67" s="3"/>
      <c r="L67" s="11"/>
      <c r="M67" s="6" t="s">
        <v>1163</v>
      </c>
      <c r="N67" s="3" t="s">
        <v>1061</v>
      </c>
      <c r="O67" s="3" t="s">
        <v>1149</v>
      </c>
      <c r="P67" s="3" t="s">
        <v>439</v>
      </c>
      <c r="R67" s="13" t="s">
        <v>1164</v>
      </c>
      <c r="S67" s="3"/>
      <c r="T67" s="3"/>
      <c r="U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row>
    <row r="68" spans="1:110" ht="14.4">
      <c r="A68" s="3"/>
      <c r="C68" s="11"/>
      <c r="D68" s="3" t="s">
        <v>765</v>
      </c>
      <c r="E68" s="3"/>
      <c r="F68" s="3"/>
      <c r="H68" s="11" t="s">
        <v>1045</v>
      </c>
      <c r="I68" s="1" t="s">
        <v>1046</v>
      </c>
      <c r="J68" s="6" t="s">
        <v>1165</v>
      </c>
      <c r="K68" s="1" t="s">
        <v>1046</v>
      </c>
      <c r="L68" s="1" t="s">
        <v>1046</v>
      </c>
      <c r="M68" s="11"/>
      <c r="N68" s="3" t="s">
        <v>1061</v>
      </c>
      <c r="O68" s="3" t="s">
        <v>1166</v>
      </c>
      <c r="P68" s="3" t="s">
        <v>440</v>
      </c>
      <c r="R68" s="13" t="s">
        <v>1167</v>
      </c>
      <c r="S68" s="3"/>
      <c r="T68" s="3"/>
      <c r="U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row>
    <row r="69" spans="1:110" ht="14.4">
      <c r="A69" s="3"/>
      <c r="C69" s="11"/>
      <c r="D69" s="1" t="s">
        <v>835</v>
      </c>
      <c r="E69" s="3"/>
      <c r="F69" s="3"/>
      <c r="H69" s="11" t="s">
        <v>1045</v>
      </c>
      <c r="I69" s="1" t="s">
        <v>1046</v>
      </c>
      <c r="J69" s="6" t="s">
        <v>1168</v>
      </c>
      <c r="K69" s="1" t="s">
        <v>1046</v>
      </c>
      <c r="L69" s="1" t="s">
        <v>1046</v>
      </c>
      <c r="M69" s="11"/>
      <c r="N69" s="3" t="s">
        <v>1061</v>
      </c>
      <c r="O69" s="3" t="s">
        <v>1166</v>
      </c>
      <c r="P69" s="3" t="s">
        <v>440</v>
      </c>
      <c r="R69" s="13" t="s">
        <v>1169</v>
      </c>
      <c r="S69" s="3"/>
      <c r="T69" s="3"/>
      <c r="U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row>
    <row r="70" spans="1:110" ht="14.4">
      <c r="A70" s="3"/>
      <c r="C70" s="11"/>
      <c r="D70" s="1" t="s">
        <v>737</v>
      </c>
      <c r="E70" s="3"/>
      <c r="F70" s="3"/>
      <c r="H70" s="11" t="s">
        <v>1045</v>
      </c>
      <c r="I70" s="1" t="s">
        <v>1046</v>
      </c>
      <c r="J70" s="6" t="s">
        <v>1170</v>
      </c>
      <c r="K70" s="1" t="s">
        <v>1046</v>
      </c>
      <c r="L70" s="1" t="s">
        <v>1046</v>
      </c>
      <c r="M70" s="11"/>
      <c r="N70" s="3" t="s">
        <v>1061</v>
      </c>
      <c r="O70" s="3" t="s">
        <v>1166</v>
      </c>
      <c r="P70" s="3" t="s">
        <v>440</v>
      </c>
      <c r="R70" s="13" t="s">
        <v>1171</v>
      </c>
      <c r="S70" s="3"/>
      <c r="T70" s="3"/>
      <c r="U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row>
    <row r="71" spans="1:110" ht="14.4">
      <c r="A71" s="3"/>
      <c r="C71" s="11"/>
      <c r="D71" s="1" t="s">
        <v>469</v>
      </c>
      <c r="E71" s="1" t="s">
        <v>1172</v>
      </c>
      <c r="F71" s="3"/>
      <c r="H71" s="11" t="s">
        <v>102</v>
      </c>
      <c r="I71" s="11"/>
      <c r="J71" s="1" t="s">
        <v>1046</v>
      </c>
      <c r="K71" s="3"/>
      <c r="L71" s="11"/>
      <c r="M71" s="11"/>
      <c r="N71" s="3" t="s">
        <v>1061</v>
      </c>
      <c r="O71" s="3" t="s">
        <v>1166</v>
      </c>
      <c r="P71" s="3" t="s">
        <v>440</v>
      </c>
      <c r="R71" s="13" t="s">
        <v>1173</v>
      </c>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row>
    <row r="72" spans="1:110" ht="14.4">
      <c r="A72" s="3"/>
      <c r="C72" s="11"/>
      <c r="D72" s="1" t="s">
        <v>497</v>
      </c>
      <c r="E72" s="1" t="s">
        <v>1172</v>
      </c>
      <c r="F72" s="3"/>
      <c r="H72" s="11" t="s">
        <v>102</v>
      </c>
      <c r="I72" s="11"/>
      <c r="J72" s="1" t="s">
        <v>1046</v>
      </c>
      <c r="K72" s="3"/>
      <c r="L72" s="11"/>
      <c r="M72" s="11"/>
      <c r="N72" s="3" t="s">
        <v>1061</v>
      </c>
      <c r="O72" s="3" t="s">
        <v>1166</v>
      </c>
      <c r="P72" s="3" t="s">
        <v>440</v>
      </c>
      <c r="R72" s="13" t="s">
        <v>1174</v>
      </c>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row>
    <row r="73" spans="1:110" ht="14.4">
      <c r="A73" s="3"/>
      <c r="C73" s="11"/>
      <c r="D73" s="1" t="s">
        <v>560</v>
      </c>
      <c r="E73" s="1" t="s">
        <v>1175</v>
      </c>
      <c r="F73" s="3"/>
      <c r="H73" s="11" t="s">
        <v>102</v>
      </c>
      <c r="I73" s="11"/>
      <c r="J73" s="1" t="s">
        <v>1046</v>
      </c>
      <c r="K73" s="3"/>
      <c r="L73" s="11"/>
      <c r="M73" s="11"/>
      <c r="N73" s="3" t="s">
        <v>1061</v>
      </c>
      <c r="O73" s="3" t="s">
        <v>1166</v>
      </c>
      <c r="P73" s="3" t="s">
        <v>440</v>
      </c>
      <c r="R73" s="13" t="s">
        <v>1176</v>
      </c>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row>
    <row r="74" spans="1:110" ht="14.4">
      <c r="A74" s="3"/>
      <c r="C74" s="11"/>
      <c r="D74" s="1" t="s">
        <v>573</v>
      </c>
      <c r="E74" s="1" t="s">
        <v>1175</v>
      </c>
      <c r="F74" s="3"/>
      <c r="H74" s="11" t="s">
        <v>102</v>
      </c>
      <c r="I74" s="11"/>
      <c r="J74" s="1" t="s">
        <v>1046</v>
      </c>
      <c r="K74" s="3"/>
      <c r="L74" s="11"/>
      <c r="M74" s="11"/>
      <c r="N74" s="3" t="s">
        <v>1061</v>
      </c>
      <c r="O74" s="3" t="s">
        <v>1166</v>
      </c>
      <c r="P74" s="3" t="s">
        <v>440</v>
      </c>
      <c r="R74" s="13" t="s">
        <v>1177</v>
      </c>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row>
    <row r="75" spans="1:110" ht="14.4">
      <c r="A75" s="3"/>
      <c r="C75" s="11"/>
      <c r="D75" s="1" t="s">
        <v>577</v>
      </c>
      <c r="E75" s="1" t="s">
        <v>1175</v>
      </c>
      <c r="F75" s="3"/>
      <c r="H75" s="11" t="s">
        <v>102</v>
      </c>
      <c r="I75" s="11"/>
      <c r="J75" s="1" t="s">
        <v>1046</v>
      </c>
      <c r="K75" s="3"/>
      <c r="L75" s="11"/>
      <c r="M75" s="11"/>
      <c r="N75" s="3" t="s">
        <v>1061</v>
      </c>
      <c r="O75" s="3" t="s">
        <v>1166</v>
      </c>
      <c r="P75" s="3" t="s">
        <v>440</v>
      </c>
      <c r="R75" s="13" t="s">
        <v>1178</v>
      </c>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row>
    <row r="76" spans="1:110" ht="14.4">
      <c r="A76" s="3"/>
      <c r="C76" s="11"/>
      <c r="D76" s="1" t="s">
        <v>584</v>
      </c>
      <c r="E76" s="1" t="s">
        <v>1175</v>
      </c>
      <c r="F76" s="3"/>
      <c r="H76" s="11" t="s">
        <v>102</v>
      </c>
      <c r="I76" s="11"/>
      <c r="J76" s="1" t="s">
        <v>1046</v>
      </c>
      <c r="K76" s="3"/>
      <c r="L76" s="11"/>
      <c r="M76" s="11"/>
      <c r="N76" s="3" t="s">
        <v>1061</v>
      </c>
      <c r="O76" s="3" t="s">
        <v>1166</v>
      </c>
      <c r="P76" s="3" t="s">
        <v>440</v>
      </c>
      <c r="R76" s="13" t="s">
        <v>1179</v>
      </c>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row>
    <row r="77" spans="1:110" ht="14.4">
      <c r="A77" s="3"/>
      <c r="C77" s="11"/>
      <c r="D77" s="1" t="s">
        <v>582</v>
      </c>
      <c r="E77" s="1" t="s">
        <v>1175</v>
      </c>
      <c r="F77" s="3"/>
      <c r="H77" s="11" t="s">
        <v>102</v>
      </c>
      <c r="I77" s="11"/>
      <c r="J77" s="1" t="s">
        <v>1046</v>
      </c>
      <c r="K77" s="3"/>
      <c r="L77" s="11"/>
      <c r="M77" s="11"/>
      <c r="N77" s="3" t="s">
        <v>1061</v>
      </c>
      <c r="O77" s="3" t="s">
        <v>1166</v>
      </c>
      <c r="P77" s="3" t="s">
        <v>440</v>
      </c>
      <c r="R77" s="13" t="s">
        <v>1180</v>
      </c>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row>
    <row r="78" spans="1:110" ht="14.4">
      <c r="A78" s="3"/>
      <c r="C78" s="11"/>
      <c r="D78" s="1" t="s">
        <v>566</v>
      </c>
      <c r="E78" s="1" t="s">
        <v>1175</v>
      </c>
      <c r="F78" s="3"/>
      <c r="H78" s="11" t="s">
        <v>102</v>
      </c>
      <c r="I78" s="11"/>
      <c r="J78" s="1" t="s">
        <v>1046</v>
      </c>
      <c r="K78" s="3"/>
      <c r="L78" s="11"/>
      <c r="M78" s="11"/>
      <c r="N78" s="3" t="s">
        <v>1061</v>
      </c>
      <c r="O78" s="3" t="s">
        <v>1166</v>
      </c>
      <c r="P78" s="3" t="s">
        <v>440</v>
      </c>
      <c r="R78" s="13" t="s">
        <v>1181</v>
      </c>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row>
    <row r="79" spans="1:110" ht="14.4">
      <c r="A79" s="3"/>
      <c r="C79" s="11"/>
      <c r="D79" s="1" t="s">
        <v>523</v>
      </c>
      <c r="E79" s="1" t="s">
        <v>1182</v>
      </c>
      <c r="F79" s="3"/>
      <c r="H79" s="11" t="s">
        <v>102</v>
      </c>
      <c r="I79" s="11"/>
      <c r="J79" s="1" t="s">
        <v>1046</v>
      </c>
      <c r="K79" s="3"/>
      <c r="L79" s="11"/>
      <c r="M79" s="11"/>
      <c r="N79" s="3" t="s">
        <v>1061</v>
      </c>
      <c r="O79" s="3" t="s">
        <v>1166</v>
      </c>
      <c r="P79" s="3" t="s">
        <v>440</v>
      </c>
      <c r="R79" s="13" t="s">
        <v>1183</v>
      </c>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row>
    <row r="80" spans="1:110" ht="14.4">
      <c r="A80" s="3"/>
      <c r="C80" s="11"/>
      <c r="D80" s="1" t="s">
        <v>511</v>
      </c>
      <c r="E80" s="1" t="s">
        <v>1182</v>
      </c>
      <c r="F80" s="3"/>
      <c r="H80" s="11" t="s">
        <v>102</v>
      </c>
      <c r="I80" s="11"/>
      <c r="J80" s="1" t="s">
        <v>1046</v>
      </c>
      <c r="K80" s="3"/>
      <c r="L80" s="11"/>
      <c r="M80" s="11"/>
      <c r="N80" s="3" t="s">
        <v>1061</v>
      </c>
      <c r="O80" s="3" t="s">
        <v>1166</v>
      </c>
      <c r="P80" s="3" t="s">
        <v>440</v>
      </c>
      <c r="R80" s="13" t="s">
        <v>1184</v>
      </c>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row>
    <row r="81" spans="1:110" ht="14.4">
      <c r="A81" s="3"/>
      <c r="C81" s="11"/>
      <c r="D81" s="3" t="s">
        <v>499</v>
      </c>
      <c r="E81" s="3"/>
      <c r="F81" s="3"/>
      <c r="H81" s="11" t="s">
        <v>102</v>
      </c>
      <c r="I81" s="11"/>
      <c r="J81" s="1" t="s">
        <v>1046</v>
      </c>
      <c r="K81" s="3"/>
      <c r="L81" s="11"/>
      <c r="M81" s="11"/>
      <c r="N81" s="3" t="s">
        <v>1095</v>
      </c>
      <c r="O81" s="3" t="s">
        <v>1185</v>
      </c>
      <c r="P81" s="3" t="s">
        <v>441</v>
      </c>
      <c r="R81" s="13" t="s">
        <v>1186</v>
      </c>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row>
    <row r="82" spans="1:110" ht="14.4">
      <c r="A82" s="3"/>
      <c r="C82" s="11"/>
      <c r="D82" s="1" t="s">
        <v>562</v>
      </c>
      <c r="E82" s="3"/>
      <c r="F82" s="3"/>
      <c r="H82" s="11" t="s">
        <v>102</v>
      </c>
      <c r="I82" s="11"/>
      <c r="J82" s="1" t="s">
        <v>1046</v>
      </c>
      <c r="K82" s="3"/>
      <c r="L82" s="11"/>
      <c r="M82" s="11"/>
      <c r="N82" s="3" t="s">
        <v>1095</v>
      </c>
      <c r="O82" s="3" t="s">
        <v>1185</v>
      </c>
      <c r="P82" s="3" t="s">
        <v>441</v>
      </c>
      <c r="R82" s="13" t="s">
        <v>1187</v>
      </c>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row>
    <row r="83" spans="1:110" ht="14.4">
      <c r="A83" s="3"/>
      <c r="C83" s="11"/>
      <c r="D83" s="1" t="s">
        <v>486</v>
      </c>
      <c r="E83" s="3"/>
      <c r="F83" s="3"/>
      <c r="H83" s="11" t="s">
        <v>102</v>
      </c>
      <c r="I83" s="11"/>
      <c r="J83" s="1" t="s">
        <v>1046</v>
      </c>
      <c r="K83" s="3"/>
      <c r="L83" s="11"/>
      <c r="M83" s="11"/>
      <c r="N83" s="3" t="s">
        <v>1095</v>
      </c>
      <c r="O83" s="3" t="s">
        <v>1185</v>
      </c>
      <c r="P83" s="3" t="s">
        <v>441</v>
      </c>
      <c r="R83" s="13" t="s">
        <v>1188</v>
      </c>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row>
    <row r="84" spans="1:110" ht="14.4">
      <c r="A84" s="3"/>
      <c r="C84" s="11"/>
      <c r="D84" s="1" t="s">
        <v>616</v>
      </c>
      <c r="E84" s="3"/>
      <c r="F84" s="3"/>
      <c r="H84" s="11" t="s">
        <v>102</v>
      </c>
      <c r="I84" s="11"/>
      <c r="J84" s="1" t="s">
        <v>1046</v>
      </c>
      <c r="K84" s="3"/>
      <c r="L84" s="11"/>
      <c r="M84" s="11"/>
      <c r="N84" s="3" t="s">
        <v>1095</v>
      </c>
      <c r="O84" s="3" t="s">
        <v>1185</v>
      </c>
      <c r="P84" s="3" t="s">
        <v>441</v>
      </c>
      <c r="R84" s="13" t="s">
        <v>1189</v>
      </c>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row>
    <row r="85" spans="1:110" ht="14.4">
      <c r="A85" s="3"/>
      <c r="C85" s="11"/>
      <c r="D85" s="1" t="s">
        <v>550</v>
      </c>
      <c r="E85" s="3"/>
      <c r="F85" s="3"/>
      <c r="H85" s="11" t="s">
        <v>102</v>
      </c>
      <c r="I85" s="11"/>
      <c r="J85" s="1" t="s">
        <v>1046</v>
      </c>
      <c r="K85" s="3"/>
      <c r="L85" s="11"/>
      <c r="M85" s="11"/>
      <c r="N85" s="3" t="s">
        <v>1095</v>
      </c>
      <c r="O85" s="3" t="s">
        <v>1185</v>
      </c>
      <c r="P85" s="3" t="s">
        <v>441</v>
      </c>
      <c r="R85" s="13" t="s">
        <v>1190</v>
      </c>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row>
    <row r="86" spans="1:110" ht="14.4">
      <c r="A86" s="3"/>
      <c r="C86" s="11"/>
      <c r="D86" s="1" t="s">
        <v>599</v>
      </c>
      <c r="E86" s="3"/>
      <c r="F86" s="3"/>
      <c r="H86" s="11" t="s">
        <v>102</v>
      </c>
      <c r="I86" s="11"/>
      <c r="J86" s="1" t="s">
        <v>1046</v>
      </c>
      <c r="K86" s="3"/>
      <c r="L86" s="11"/>
      <c r="M86" s="11"/>
      <c r="N86" s="3" t="s">
        <v>1095</v>
      </c>
      <c r="O86" s="3" t="s">
        <v>1185</v>
      </c>
      <c r="P86" s="3" t="s">
        <v>441</v>
      </c>
      <c r="R86" s="13" t="s">
        <v>1191</v>
      </c>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row>
    <row r="87" spans="1:110" ht="14.4">
      <c r="A87" s="3"/>
      <c r="C87" s="11"/>
      <c r="D87" s="1" t="s">
        <v>601</v>
      </c>
      <c r="E87" s="3"/>
      <c r="F87" s="3"/>
      <c r="H87" s="11" t="s">
        <v>102</v>
      </c>
      <c r="I87" s="11"/>
      <c r="J87" s="1" t="s">
        <v>1046</v>
      </c>
      <c r="K87" s="3"/>
      <c r="L87" s="11"/>
      <c r="M87" s="11"/>
      <c r="N87" s="3" t="s">
        <v>1095</v>
      </c>
      <c r="O87" s="3" t="s">
        <v>1185</v>
      </c>
      <c r="P87" s="3" t="s">
        <v>441</v>
      </c>
      <c r="R87" s="13" t="s">
        <v>1192</v>
      </c>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row>
    <row r="88" spans="1:110" ht="14.4">
      <c r="A88" s="3"/>
      <c r="C88" s="11"/>
      <c r="D88" s="1" t="s">
        <v>571</v>
      </c>
      <c r="E88" s="3"/>
      <c r="F88" s="3"/>
      <c r="H88" s="11" t="s">
        <v>102</v>
      </c>
      <c r="I88" s="11"/>
      <c r="J88" s="1" t="s">
        <v>1046</v>
      </c>
      <c r="K88" s="3"/>
      <c r="L88" s="11"/>
      <c r="M88" s="11"/>
      <c r="N88" s="3" t="s">
        <v>1095</v>
      </c>
      <c r="O88" s="3" t="s">
        <v>1185</v>
      </c>
      <c r="P88" s="3" t="s">
        <v>441</v>
      </c>
      <c r="R88" s="13" t="s">
        <v>1193</v>
      </c>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row>
    <row r="89" spans="1:110" ht="14.4">
      <c r="A89" s="3"/>
      <c r="C89" s="11"/>
      <c r="D89" s="1" t="s">
        <v>572</v>
      </c>
      <c r="E89" s="3"/>
      <c r="F89" s="3"/>
      <c r="H89" s="11" t="s">
        <v>102</v>
      </c>
      <c r="I89" s="11"/>
      <c r="J89" s="1" t="s">
        <v>1046</v>
      </c>
      <c r="K89" s="3"/>
      <c r="L89" s="11"/>
      <c r="M89" s="11"/>
      <c r="N89" s="3" t="s">
        <v>1095</v>
      </c>
      <c r="O89" s="3" t="s">
        <v>1185</v>
      </c>
      <c r="P89" s="3" t="s">
        <v>441</v>
      </c>
      <c r="R89" s="13" t="s">
        <v>1194</v>
      </c>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row>
    <row r="90" spans="1:110" ht="14.4">
      <c r="A90" s="3"/>
      <c r="C90" s="11"/>
      <c r="D90" s="1" t="s">
        <v>567</v>
      </c>
      <c r="E90" s="3"/>
      <c r="F90" s="3"/>
      <c r="H90" s="11" t="s">
        <v>102</v>
      </c>
      <c r="I90" s="11"/>
      <c r="J90" s="1" t="s">
        <v>1046</v>
      </c>
      <c r="K90" s="3"/>
      <c r="L90" s="11"/>
      <c r="M90" s="11"/>
      <c r="N90" s="3" t="s">
        <v>1095</v>
      </c>
      <c r="O90" s="3" t="s">
        <v>1185</v>
      </c>
      <c r="P90" s="3" t="s">
        <v>441</v>
      </c>
      <c r="R90" s="13" t="s">
        <v>1195</v>
      </c>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row>
    <row r="91" spans="1:110" ht="14.4">
      <c r="A91" s="3"/>
      <c r="C91" s="11"/>
      <c r="D91" s="1" t="s">
        <v>558</v>
      </c>
      <c r="E91" s="3"/>
      <c r="F91" s="3"/>
      <c r="H91" s="11" t="s">
        <v>102</v>
      </c>
      <c r="I91" s="11"/>
      <c r="J91" s="1" t="s">
        <v>1046</v>
      </c>
      <c r="K91" s="3"/>
      <c r="L91" s="11"/>
      <c r="M91" s="11"/>
      <c r="N91" s="3" t="s">
        <v>1095</v>
      </c>
      <c r="O91" s="3" t="s">
        <v>1185</v>
      </c>
      <c r="P91" s="3" t="s">
        <v>441</v>
      </c>
      <c r="R91" s="13" t="s">
        <v>1196</v>
      </c>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row>
    <row r="92" spans="1:110" ht="14.4">
      <c r="A92" s="3"/>
      <c r="C92" s="11"/>
      <c r="D92" s="1" t="s">
        <v>610</v>
      </c>
      <c r="E92" s="3"/>
      <c r="F92" s="3"/>
      <c r="H92" s="11" t="s">
        <v>102</v>
      </c>
      <c r="I92" s="11"/>
      <c r="J92" s="1" t="s">
        <v>1046</v>
      </c>
      <c r="K92" s="3"/>
      <c r="L92" s="11"/>
      <c r="M92" s="11"/>
      <c r="N92" s="3" t="s">
        <v>1095</v>
      </c>
      <c r="O92" s="3" t="s">
        <v>1185</v>
      </c>
      <c r="P92" s="3" t="s">
        <v>441</v>
      </c>
      <c r="R92" s="13" t="s">
        <v>1197</v>
      </c>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row>
    <row r="93" spans="1:110" ht="14.4">
      <c r="A93" s="3"/>
      <c r="C93" s="11"/>
      <c r="D93" s="1" t="s">
        <v>609</v>
      </c>
      <c r="E93" s="3"/>
      <c r="F93" s="3"/>
      <c r="H93" s="11" t="s">
        <v>102</v>
      </c>
      <c r="I93" s="11"/>
      <c r="J93" s="1" t="s">
        <v>1046</v>
      </c>
      <c r="K93" s="3"/>
      <c r="L93" s="11"/>
      <c r="M93" s="11"/>
      <c r="N93" s="3" t="s">
        <v>1095</v>
      </c>
      <c r="O93" s="3" t="s">
        <v>1185</v>
      </c>
      <c r="P93" s="3" t="s">
        <v>441</v>
      </c>
      <c r="R93" s="13" t="s">
        <v>1198</v>
      </c>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row>
    <row r="94" spans="1:110" ht="14.4">
      <c r="A94" s="3"/>
      <c r="C94" s="11"/>
      <c r="D94" s="1" t="s">
        <v>578</v>
      </c>
      <c r="E94" s="3"/>
      <c r="F94" s="3"/>
      <c r="H94" s="11" t="s">
        <v>102</v>
      </c>
      <c r="I94" s="11"/>
      <c r="J94" s="1" t="s">
        <v>1046</v>
      </c>
      <c r="K94" s="3"/>
      <c r="L94" s="11"/>
      <c r="M94" s="11"/>
      <c r="N94" s="3" t="s">
        <v>1095</v>
      </c>
      <c r="O94" s="3" t="s">
        <v>1185</v>
      </c>
      <c r="P94" s="3" t="s">
        <v>441</v>
      </c>
      <c r="R94" s="13" t="s">
        <v>1199</v>
      </c>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row>
    <row r="95" spans="1:110" ht="14.4">
      <c r="A95" s="3"/>
      <c r="C95" s="11"/>
      <c r="D95" s="1" t="s">
        <v>590</v>
      </c>
      <c r="E95" s="3"/>
      <c r="F95" s="3"/>
      <c r="H95" s="11" t="s">
        <v>102</v>
      </c>
      <c r="I95" s="11"/>
      <c r="J95" s="1" t="s">
        <v>1046</v>
      </c>
      <c r="K95" s="3"/>
      <c r="L95" s="11"/>
      <c r="M95" s="11"/>
      <c r="N95" s="3" t="s">
        <v>1095</v>
      </c>
      <c r="O95" s="3" t="s">
        <v>1185</v>
      </c>
      <c r="P95" s="3" t="s">
        <v>441</v>
      </c>
      <c r="R95" s="13" t="s">
        <v>1200</v>
      </c>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row>
    <row r="96" spans="1:110" ht="14.4">
      <c r="A96" s="3"/>
      <c r="C96" s="11"/>
      <c r="D96" s="1" t="s">
        <v>592</v>
      </c>
      <c r="E96" s="3"/>
      <c r="F96" s="3"/>
      <c r="H96" s="11" t="s">
        <v>102</v>
      </c>
      <c r="I96" s="11"/>
      <c r="J96" s="1" t="s">
        <v>1046</v>
      </c>
      <c r="K96" s="3"/>
      <c r="L96" s="11"/>
      <c r="M96" s="11"/>
      <c r="N96" s="3" t="s">
        <v>1095</v>
      </c>
      <c r="O96" s="3" t="s">
        <v>1185</v>
      </c>
      <c r="P96" s="3" t="s">
        <v>441</v>
      </c>
      <c r="R96" s="13" t="s">
        <v>1201</v>
      </c>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row>
    <row r="97" spans="1:110" ht="14.4">
      <c r="A97" s="3"/>
      <c r="C97" s="11"/>
      <c r="D97" s="1" t="s">
        <v>964</v>
      </c>
      <c r="E97" s="3"/>
      <c r="F97" s="3"/>
      <c r="H97" s="11" t="s">
        <v>1045</v>
      </c>
      <c r="I97" s="1" t="s">
        <v>1046</v>
      </c>
      <c r="J97" s="1" t="s">
        <v>1202</v>
      </c>
      <c r="K97" s="1" t="s">
        <v>1046</v>
      </c>
      <c r="L97" s="1" t="s">
        <v>1046</v>
      </c>
      <c r="M97" s="13" t="s">
        <v>1203</v>
      </c>
      <c r="N97" s="3" t="s">
        <v>1095</v>
      </c>
      <c r="O97" s="3" t="s">
        <v>1185</v>
      </c>
      <c r="P97" s="3" t="s">
        <v>441</v>
      </c>
      <c r="R97" s="13" t="s">
        <v>1204</v>
      </c>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row>
    <row r="98" spans="1:110" ht="14.4">
      <c r="A98" s="3"/>
      <c r="C98" s="11"/>
      <c r="D98" s="1" t="s">
        <v>738</v>
      </c>
      <c r="E98" s="3"/>
      <c r="F98" s="3"/>
      <c r="H98" s="11" t="s">
        <v>1045</v>
      </c>
      <c r="I98" s="1" t="s">
        <v>1046</v>
      </c>
      <c r="J98" s="1" t="s">
        <v>1205</v>
      </c>
      <c r="K98" s="1" t="s">
        <v>1046</v>
      </c>
      <c r="L98" s="1" t="s">
        <v>1046</v>
      </c>
      <c r="M98" s="1"/>
      <c r="N98" s="3" t="s">
        <v>1061</v>
      </c>
      <c r="O98" s="3" t="s">
        <v>1206</v>
      </c>
      <c r="P98" s="3" t="s">
        <v>442</v>
      </c>
      <c r="R98" s="13" t="s">
        <v>1207</v>
      </c>
      <c r="S98" s="3"/>
      <c r="T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row>
    <row r="99" spans="1:110" ht="14.4">
      <c r="A99" s="3"/>
      <c r="C99" s="11"/>
      <c r="D99" s="3" t="s">
        <v>813</v>
      </c>
      <c r="E99" s="3" t="s">
        <v>765</v>
      </c>
      <c r="F99" s="3"/>
      <c r="H99" s="11" t="s">
        <v>1045</v>
      </c>
      <c r="I99" s="1" t="s">
        <v>1046</v>
      </c>
      <c r="J99" s="6" t="s">
        <v>1208</v>
      </c>
      <c r="K99" s="1" t="s">
        <v>1046</v>
      </c>
      <c r="L99" s="1" t="s">
        <v>1046</v>
      </c>
      <c r="M99" s="11"/>
      <c r="N99" s="3" t="s">
        <v>1061</v>
      </c>
      <c r="O99" s="3" t="s">
        <v>1206</v>
      </c>
      <c r="P99" s="3" t="s">
        <v>442</v>
      </c>
      <c r="R99" s="13" t="s">
        <v>1209</v>
      </c>
      <c r="S99" s="3"/>
      <c r="T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row>
    <row r="100" spans="1:110" ht="14.4">
      <c r="A100" s="3"/>
      <c r="C100" s="11"/>
      <c r="D100" s="3" t="s">
        <v>817</v>
      </c>
      <c r="E100" s="3" t="s">
        <v>765</v>
      </c>
      <c r="F100" s="3"/>
      <c r="H100" s="11" t="s">
        <v>1045</v>
      </c>
      <c r="I100" s="1" t="s">
        <v>1046</v>
      </c>
      <c r="J100" s="6" t="s">
        <v>1208</v>
      </c>
      <c r="K100" s="1" t="s">
        <v>1046</v>
      </c>
      <c r="L100" s="1" t="s">
        <v>1046</v>
      </c>
      <c r="M100" s="11"/>
      <c r="N100" s="3" t="s">
        <v>1061</v>
      </c>
      <c r="O100" s="3" t="s">
        <v>1206</v>
      </c>
      <c r="P100" s="3" t="s">
        <v>442</v>
      </c>
      <c r="R100" s="13" t="s">
        <v>1210</v>
      </c>
      <c r="S100" s="3"/>
      <c r="T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row>
    <row r="101" spans="1:110" ht="14.4">
      <c r="A101" s="3"/>
      <c r="C101" s="11"/>
      <c r="D101" s="3" t="s">
        <v>787</v>
      </c>
      <c r="E101" s="3" t="s">
        <v>765</v>
      </c>
      <c r="F101" s="3"/>
      <c r="H101" s="11" t="s">
        <v>1045</v>
      </c>
      <c r="I101" s="1" t="s">
        <v>1046</v>
      </c>
      <c r="J101" s="6" t="s">
        <v>1208</v>
      </c>
      <c r="K101" s="1" t="s">
        <v>1046</v>
      </c>
      <c r="L101" s="1" t="s">
        <v>1046</v>
      </c>
      <c r="M101" s="11"/>
      <c r="N101" s="3" t="s">
        <v>1061</v>
      </c>
      <c r="O101" s="3" t="s">
        <v>1206</v>
      </c>
      <c r="P101" s="3" t="s">
        <v>442</v>
      </c>
      <c r="R101" s="13" t="s">
        <v>1211</v>
      </c>
      <c r="S101" s="3"/>
      <c r="T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row>
    <row r="102" spans="1:110" ht="14.4">
      <c r="A102" s="3"/>
      <c r="C102" s="11"/>
      <c r="D102" s="3" t="s">
        <v>790</v>
      </c>
      <c r="E102" s="3" t="s">
        <v>765</v>
      </c>
      <c r="F102" s="3"/>
      <c r="H102" s="11" t="s">
        <v>1045</v>
      </c>
      <c r="I102" s="1" t="s">
        <v>1046</v>
      </c>
      <c r="J102" s="6" t="s">
        <v>1208</v>
      </c>
      <c r="K102" s="1" t="s">
        <v>1046</v>
      </c>
      <c r="L102" s="1" t="s">
        <v>1046</v>
      </c>
      <c r="M102" s="11"/>
      <c r="N102" s="3" t="s">
        <v>1061</v>
      </c>
      <c r="O102" s="3" t="s">
        <v>1206</v>
      </c>
      <c r="P102" s="3" t="s">
        <v>442</v>
      </c>
      <c r="R102" s="13" t="s">
        <v>1212</v>
      </c>
      <c r="S102" s="3"/>
      <c r="T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row>
    <row r="103" spans="1:110" ht="14.4">
      <c r="A103" s="3"/>
      <c r="C103" s="11"/>
      <c r="D103" s="3" t="s">
        <v>808</v>
      </c>
      <c r="E103" s="3" t="s">
        <v>765</v>
      </c>
      <c r="F103" s="3"/>
      <c r="H103" s="11" t="s">
        <v>1045</v>
      </c>
      <c r="I103" s="1" t="s">
        <v>1046</v>
      </c>
      <c r="J103" s="6" t="s">
        <v>1208</v>
      </c>
      <c r="K103" s="1" t="s">
        <v>1046</v>
      </c>
      <c r="L103" s="1" t="s">
        <v>1046</v>
      </c>
      <c r="M103" s="11"/>
      <c r="N103" s="3" t="s">
        <v>1061</v>
      </c>
      <c r="O103" s="3" t="s">
        <v>1206</v>
      </c>
      <c r="P103" s="3" t="s">
        <v>442</v>
      </c>
      <c r="R103" s="13" t="s">
        <v>1213</v>
      </c>
      <c r="S103" s="3"/>
      <c r="T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row>
    <row r="104" spans="1:110" ht="14.4">
      <c r="A104" s="3"/>
      <c r="C104" s="11"/>
      <c r="D104" s="3" t="s">
        <v>800</v>
      </c>
      <c r="E104" s="3" t="s">
        <v>765</v>
      </c>
      <c r="F104" s="3"/>
      <c r="H104" s="11" t="s">
        <v>1045</v>
      </c>
      <c r="I104" s="1" t="s">
        <v>1046</v>
      </c>
      <c r="J104" s="6" t="s">
        <v>1208</v>
      </c>
      <c r="K104" s="1" t="s">
        <v>1046</v>
      </c>
      <c r="L104" s="1" t="s">
        <v>1046</v>
      </c>
      <c r="M104" s="11"/>
      <c r="N104" s="3" t="s">
        <v>1061</v>
      </c>
      <c r="O104" s="3" t="s">
        <v>1206</v>
      </c>
      <c r="P104" s="3" t="s">
        <v>442</v>
      </c>
      <c r="R104" s="13" t="s">
        <v>1214</v>
      </c>
      <c r="S104" s="3"/>
      <c r="T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row>
    <row r="105" spans="1:110" ht="14.4">
      <c r="A105" s="3"/>
      <c r="C105" s="11"/>
      <c r="D105" s="1" t="s">
        <v>849</v>
      </c>
      <c r="E105" s="1" t="s">
        <v>835</v>
      </c>
      <c r="F105" s="3"/>
      <c r="H105" s="11" t="s">
        <v>1045</v>
      </c>
      <c r="I105" s="1" t="s">
        <v>1046</v>
      </c>
      <c r="J105" s="6" t="s">
        <v>1208</v>
      </c>
      <c r="K105" s="1" t="s">
        <v>1046</v>
      </c>
      <c r="L105" s="1" t="s">
        <v>1046</v>
      </c>
      <c r="M105" s="11"/>
      <c r="N105" s="3" t="s">
        <v>1061</v>
      </c>
      <c r="O105" s="3" t="s">
        <v>1206</v>
      </c>
      <c r="P105" s="3" t="s">
        <v>442</v>
      </c>
      <c r="R105" s="13" t="s">
        <v>1215</v>
      </c>
      <c r="S105" s="3"/>
      <c r="T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row>
    <row r="106" spans="1:110" ht="14.4">
      <c r="A106" s="3"/>
      <c r="C106" s="11"/>
      <c r="D106" s="1" t="s">
        <v>853</v>
      </c>
      <c r="E106" s="1" t="s">
        <v>835</v>
      </c>
      <c r="F106" s="3"/>
      <c r="H106" s="11" t="s">
        <v>1045</v>
      </c>
      <c r="I106" s="1" t="s">
        <v>1046</v>
      </c>
      <c r="J106" s="6" t="s">
        <v>1208</v>
      </c>
      <c r="K106" s="1" t="s">
        <v>1046</v>
      </c>
      <c r="L106" s="1" t="s">
        <v>1046</v>
      </c>
      <c r="M106" s="11"/>
      <c r="N106" s="3" t="s">
        <v>1061</v>
      </c>
      <c r="O106" s="3" t="s">
        <v>1206</v>
      </c>
      <c r="P106" s="3" t="s">
        <v>442</v>
      </c>
      <c r="R106" s="13" t="s">
        <v>1216</v>
      </c>
      <c r="S106" s="3"/>
      <c r="T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row>
    <row r="107" spans="1:110" ht="14.4">
      <c r="A107" s="3"/>
      <c r="C107" s="11"/>
      <c r="D107" s="1" t="s">
        <v>838</v>
      </c>
      <c r="E107" s="1" t="s">
        <v>835</v>
      </c>
      <c r="F107" s="3"/>
      <c r="H107" s="11" t="s">
        <v>1045</v>
      </c>
      <c r="I107" s="1" t="s">
        <v>1046</v>
      </c>
      <c r="J107" s="6" t="s">
        <v>1208</v>
      </c>
      <c r="K107" s="1" t="s">
        <v>1046</v>
      </c>
      <c r="L107" s="1" t="s">
        <v>1046</v>
      </c>
      <c r="M107" s="11"/>
      <c r="N107" s="3" t="s">
        <v>1061</v>
      </c>
      <c r="O107" s="3" t="s">
        <v>1206</v>
      </c>
      <c r="P107" s="3" t="s">
        <v>442</v>
      </c>
      <c r="R107" s="13" t="s">
        <v>1217</v>
      </c>
      <c r="S107" s="3"/>
      <c r="T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row>
    <row r="108" spans="1:110" ht="14.4">
      <c r="A108" s="3"/>
      <c r="C108" s="11"/>
      <c r="D108" s="1" t="s">
        <v>839</v>
      </c>
      <c r="E108" s="1" t="s">
        <v>835</v>
      </c>
      <c r="F108" s="3"/>
      <c r="H108" s="11" t="s">
        <v>1045</v>
      </c>
      <c r="I108" s="1" t="s">
        <v>1046</v>
      </c>
      <c r="J108" s="6" t="s">
        <v>1208</v>
      </c>
      <c r="K108" s="1" t="s">
        <v>1046</v>
      </c>
      <c r="L108" s="1" t="s">
        <v>1046</v>
      </c>
      <c r="M108" s="11"/>
      <c r="N108" s="3" t="s">
        <v>1061</v>
      </c>
      <c r="O108" s="3" t="s">
        <v>1206</v>
      </c>
      <c r="P108" s="3" t="s">
        <v>442</v>
      </c>
      <c r="R108" s="13" t="s">
        <v>1218</v>
      </c>
      <c r="S108" s="3"/>
      <c r="T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row>
    <row r="109" spans="1:110" ht="14.4">
      <c r="A109" s="3"/>
      <c r="C109" s="11"/>
      <c r="D109" s="1" t="s">
        <v>840</v>
      </c>
      <c r="E109" s="1" t="s">
        <v>835</v>
      </c>
      <c r="F109" s="3"/>
      <c r="H109" s="11" t="s">
        <v>1045</v>
      </c>
      <c r="I109" s="1" t="s">
        <v>1046</v>
      </c>
      <c r="J109" s="6" t="s">
        <v>1208</v>
      </c>
      <c r="K109" s="1" t="s">
        <v>1046</v>
      </c>
      <c r="L109" s="1" t="s">
        <v>1046</v>
      </c>
      <c r="M109" s="11"/>
      <c r="N109" s="3" t="s">
        <v>1061</v>
      </c>
      <c r="O109" s="3" t="s">
        <v>1206</v>
      </c>
      <c r="P109" s="3" t="s">
        <v>442</v>
      </c>
      <c r="R109" s="13" t="s">
        <v>1219</v>
      </c>
      <c r="S109" s="3"/>
      <c r="T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row>
    <row r="110" spans="1:110" ht="14.4">
      <c r="A110" s="3"/>
      <c r="C110" s="11"/>
      <c r="D110" s="1" t="s">
        <v>841</v>
      </c>
      <c r="E110" s="1" t="s">
        <v>835</v>
      </c>
      <c r="F110" s="3"/>
      <c r="H110" s="11" t="s">
        <v>1045</v>
      </c>
      <c r="I110" s="1" t="s">
        <v>1046</v>
      </c>
      <c r="J110" s="6" t="s">
        <v>1208</v>
      </c>
      <c r="K110" s="1" t="s">
        <v>1046</v>
      </c>
      <c r="L110" s="1" t="s">
        <v>1046</v>
      </c>
      <c r="M110" s="11"/>
      <c r="N110" s="3" t="s">
        <v>1061</v>
      </c>
      <c r="O110" s="3" t="s">
        <v>1206</v>
      </c>
      <c r="P110" s="3" t="s">
        <v>442</v>
      </c>
      <c r="R110" s="13" t="s">
        <v>1220</v>
      </c>
      <c r="S110" s="3"/>
      <c r="T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row>
    <row r="111" spans="1:110" ht="14.4">
      <c r="A111" s="3"/>
      <c r="C111" s="11"/>
      <c r="D111" s="1" t="s">
        <v>740</v>
      </c>
      <c r="E111" s="1" t="s">
        <v>737</v>
      </c>
      <c r="F111" s="3"/>
      <c r="H111" s="11" t="s">
        <v>1045</v>
      </c>
      <c r="I111" s="1" t="s">
        <v>1046</v>
      </c>
      <c r="J111" s="6" t="s">
        <v>1208</v>
      </c>
      <c r="K111" s="1" t="s">
        <v>1046</v>
      </c>
      <c r="L111" s="1" t="s">
        <v>1046</v>
      </c>
      <c r="M111" s="11"/>
      <c r="N111" s="3" t="s">
        <v>1061</v>
      </c>
      <c r="O111" s="3" t="s">
        <v>1206</v>
      </c>
      <c r="P111" s="3" t="s">
        <v>442</v>
      </c>
      <c r="R111" s="13" t="s">
        <v>1221</v>
      </c>
      <c r="S111" s="3"/>
      <c r="T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row>
    <row r="112" spans="1:110" ht="14.4">
      <c r="A112" s="3"/>
      <c r="C112" s="11"/>
      <c r="D112" s="1" t="s">
        <v>743</v>
      </c>
      <c r="E112" s="1" t="s">
        <v>737</v>
      </c>
      <c r="F112" s="3"/>
      <c r="H112" s="11" t="s">
        <v>1045</v>
      </c>
      <c r="I112" s="1" t="s">
        <v>1046</v>
      </c>
      <c r="J112" s="6" t="s">
        <v>1208</v>
      </c>
      <c r="K112" s="1" t="s">
        <v>1046</v>
      </c>
      <c r="L112" s="1" t="s">
        <v>1046</v>
      </c>
      <c r="M112" s="11"/>
      <c r="N112" s="3" t="s">
        <v>1061</v>
      </c>
      <c r="O112" s="3" t="s">
        <v>1206</v>
      </c>
      <c r="P112" s="3" t="s">
        <v>442</v>
      </c>
      <c r="R112" s="13" t="s">
        <v>1222</v>
      </c>
      <c r="S112" s="3"/>
      <c r="T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row>
    <row r="113" spans="1:110" ht="14.4">
      <c r="A113" s="3"/>
      <c r="C113" s="11"/>
      <c r="D113" s="1" t="s">
        <v>747</v>
      </c>
      <c r="E113" s="1" t="s">
        <v>737</v>
      </c>
      <c r="F113" s="3"/>
      <c r="H113" s="11" t="s">
        <v>1045</v>
      </c>
      <c r="I113" s="1" t="s">
        <v>1046</v>
      </c>
      <c r="J113" s="6" t="s">
        <v>1208</v>
      </c>
      <c r="K113" s="1" t="s">
        <v>1046</v>
      </c>
      <c r="L113" s="1" t="s">
        <v>1046</v>
      </c>
      <c r="M113" s="11"/>
      <c r="N113" s="3" t="s">
        <v>1061</v>
      </c>
      <c r="O113" s="3" t="s">
        <v>1206</v>
      </c>
      <c r="P113" s="3" t="s">
        <v>442</v>
      </c>
      <c r="R113" s="13" t="s">
        <v>1223</v>
      </c>
      <c r="S113" s="3"/>
      <c r="T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row>
    <row r="114" spans="1:110" ht="14.4">
      <c r="A114" s="3"/>
      <c r="C114" s="11"/>
      <c r="D114" s="1" t="s">
        <v>749</v>
      </c>
      <c r="E114" s="1" t="s">
        <v>737</v>
      </c>
      <c r="F114" s="3"/>
      <c r="H114" s="11" t="s">
        <v>1045</v>
      </c>
      <c r="I114" s="1" t="s">
        <v>1046</v>
      </c>
      <c r="J114" s="6" t="s">
        <v>1208</v>
      </c>
      <c r="K114" s="1" t="s">
        <v>1046</v>
      </c>
      <c r="L114" s="1" t="s">
        <v>1046</v>
      </c>
      <c r="M114" s="11"/>
      <c r="N114" s="3" t="s">
        <v>1061</v>
      </c>
      <c r="O114" s="3" t="s">
        <v>1206</v>
      </c>
      <c r="P114" s="3" t="s">
        <v>442</v>
      </c>
      <c r="R114" s="13" t="s">
        <v>1224</v>
      </c>
      <c r="S114" s="3"/>
      <c r="T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row>
    <row r="115" spans="1:110" ht="14.4">
      <c r="A115" s="3"/>
      <c r="C115" s="11"/>
      <c r="D115" s="1" t="s">
        <v>470</v>
      </c>
      <c r="E115" s="1" t="s">
        <v>1172</v>
      </c>
      <c r="F115" s="3"/>
      <c r="H115" s="11" t="s">
        <v>102</v>
      </c>
      <c r="I115" s="11"/>
      <c r="J115" s="1" t="s">
        <v>1046</v>
      </c>
      <c r="K115" s="3"/>
      <c r="L115" s="11"/>
      <c r="M115" s="11"/>
      <c r="N115" s="3" t="s">
        <v>1061</v>
      </c>
      <c r="O115" s="3" t="s">
        <v>1206</v>
      </c>
      <c r="P115" s="3" t="s">
        <v>442</v>
      </c>
      <c r="R115" s="13" t="s">
        <v>1225</v>
      </c>
      <c r="S115" s="3"/>
      <c r="T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row>
    <row r="116" spans="1:110" ht="14.4">
      <c r="A116" s="3"/>
      <c r="C116" s="11"/>
      <c r="D116" s="1" t="s">
        <v>497</v>
      </c>
      <c r="E116" s="1" t="s">
        <v>1172</v>
      </c>
      <c r="F116" s="3"/>
      <c r="H116" s="11" t="s">
        <v>102</v>
      </c>
      <c r="I116" s="11"/>
      <c r="J116" s="1" t="s">
        <v>1046</v>
      </c>
      <c r="K116" s="3"/>
      <c r="L116" s="11"/>
      <c r="M116" s="11"/>
      <c r="N116" s="3" t="s">
        <v>1061</v>
      </c>
      <c r="O116" s="3" t="s">
        <v>1206</v>
      </c>
      <c r="P116" s="3" t="s">
        <v>442</v>
      </c>
      <c r="R116" s="13" t="s">
        <v>1226</v>
      </c>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row>
    <row r="117" spans="1:110" ht="14.4">
      <c r="A117" s="3"/>
      <c r="C117" s="11"/>
      <c r="D117" s="1" t="s">
        <v>560</v>
      </c>
      <c r="E117" s="1" t="s">
        <v>1175</v>
      </c>
      <c r="F117" s="3"/>
      <c r="H117" s="11" t="s">
        <v>102</v>
      </c>
      <c r="I117" s="11"/>
      <c r="J117" s="1" t="s">
        <v>1046</v>
      </c>
      <c r="K117" s="3"/>
      <c r="L117" s="11"/>
      <c r="M117" s="11"/>
      <c r="N117" s="3" t="s">
        <v>1061</v>
      </c>
      <c r="O117" s="3" t="s">
        <v>1206</v>
      </c>
      <c r="P117" s="3" t="s">
        <v>442</v>
      </c>
      <c r="R117" s="13" t="s">
        <v>1227</v>
      </c>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row>
    <row r="118" spans="1:110" ht="14.4">
      <c r="A118" s="3"/>
      <c r="C118" s="11"/>
      <c r="D118" s="1" t="s">
        <v>573</v>
      </c>
      <c r="E118" s="1" t="s">
        <v>1175</v>
      </c>
      <c r="F118" s="3"/>
      <c r="H118" s="11" t="s">
        <v>102</v>
      </c>
      <c r="I118" s="11"/>
      <c r="J118" s="1" t="s">
        <v>1046</v>
      </c>
      <c r="K118" s="3"/>
      <c r="L118" s="11"/>
      <c r="M118" s="11"/>
      <c r="N118" s="3" t="s">
        <v>1061</v>
      </c>
      <c r="O118" s="3" t="s">
        <v>1206</v>
      </c>
      <c r="P118" s="3" t="s">
        <v>442</v>
      </c>
      <c r="R118" s="13" t="s">
        <v>1228</v>
      </c>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row>
    <row r="119" spans="1:110" ht="14.4">
      <c r="A119" s="3"/>
      <c r="C119" s="11"/>
      <c r="D119" s="3" t="s">
        <v>580</v>
      </c>
      <c r="E119" s="1" t="s">
        <v>1175</v>
      </c>
      <c r="F119" s="3"/>
      <c r="H119" s="11" t="s">
        <v>102</v>
      </c>
      <c r="I119" s="11"/>
      <c r="J119" s="1" t="s">
        <v>1046</v>
      </c>
      <c r="K119" s="3"/>
      <c r="L119" s="11"/>
      <c r="M119" s="11"/>
      <c r="N119" s="3" t="s">
        <v>1061</v>
      </c>
      <c r="O119" s="3" t="s">
        <v>1206</v>
      </c>
      <c r="P119" s="3" t="s">
        <v>442</v>
      </c>
      <c r="R119" s="13" t="s">
        <v>1229</v>
      </c>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row>
    <row r="120" spans="1:110" ht="14.4">
      <c r="A120" s="3"/>
      <c r="C120" s="11"/>
      <c r="D120" s="3" t="s">
        <v>585</v>
      </c>
      <c r="E120" s="1" t="s">
        <v>1175</v>
      </c>
      <c r="F120" s="3"/>
      <c r="H120" s="11" t="s">
        <v>102</v>
      </c>
      <c r="I120" s="11"/>
      <c r="J120" s="1" t="s">
        <v>1046</v>
      </c>
      <c r="K120" s="3"/>
      <c r="L120" s="11"/>
      <c r="M120" s="11"/>
      <c r="N120" s="3" t="s">
        <v>1061</v>
      </c>
      <c r="O120" s="3" t="s">
        <v>1206</v>
      </c>
      <c r="P120" s="3" t="s">
        <v>442</v>
      </c>
      <c r="R120" s="13" t="s">
        <v>1230</v>
      </c>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row>
    <row r="121" spans="1:110" ht="14.4">
      <c r="A121" s="3"/>
      <c r="C121" s="11"/>
      <c r="D121" s="3" t="s">
        <v>582</v>
      </c>
      <c r="E121" s="1" t="s">
        <v>1175</v>
      </c>
      <c r="F121" s="3"/>
      <c r="H121" s="11" t="s">
        <v>102</v>
      </c>
      <c r="I121" s="11"/>
      <c r="J121" s="1" t="s">
        <v>1046</v>
      </c>
      <c r="K121" s="3"/>
      <c r="L121" s="11"/>
      <c r="M121" s="11"/>
      <c r="N121" s="3" t="s">
        <v>1061</v>
      </c>
      <c r="O121" s="3" t="s">
        <v>1206</v>
      </c>
      <c r="P121" s="3" t="s">
        <v>442</v>
      </c>
      <c r="R121" s="13" t="s">
        <v>1231</v>
      </c>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row>
    <row r="122" spans="1:110" ht="14.4">
      <c r="A122" s="3"/>
      <c r="C122" s="11"/>
      <c r="D122" s="3" t="s">
        <v>566</v>
      </c>
      <c r="E122" s="1" t="s">
        <v>1175</v>
      </c>
      <c r="F122" s="3"/>
      <c r="H122" s="11" t="s">
        <v>102</v>
      </c>
      <c r="I122" s="11"/>
      <c r="J122" s="1" t="s">
        <v>1046</v>
      </c>
      <c r="K122" s="3"/>
      <c r="L122" s="11"/>
      <c r="M122" s="11"/>
      <c r="N122" s="3" t="s">
        <v>1061</v>
      </c>
      <c r="O122" s="3" t="s">
        <v>1206</v>
      </c>
      <c r="P122" s="3" t="s">
        <v>442</v>
      </c>
      <c r="R122" s="13" t="s">
        <v>1232</v>
      </c>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row>
    <row r="123" spans="1:110" ht="14.4">
      <c r="A123" s="3"/>
      <c r="C123" s="11"/>
      <c r="D123" s="3" t="s">
        <v>518</v>
      </c>
      <c r="E123" s="1" t="s">
        <v>1233</v>
      </c>
      <c r="F123" s="3"/>
      <c r="H123" s="11" t="s">
        <v>102</v>
      </c>
      <c r="I123" s="11"/>
      <c r="J123" s="1" t="s">
        <v>1046</v>
      </c>
      <c r="K123" s="3"/>
      <c r="L123" s="11"/>
      <c r="M123" s="11"/>
      <c r="N123" s="3" t="s">
        <v>1061</v>
      </c>
      <c r="O123" s="3" t="s">
        <v>1206</v>
      </c>
      <c r="P123" s="3" t="s">
        <v>442</v>
      </c>
      <c r="R123" s="13" t="s">
        <v>1234</v>
      </c>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row>
    <row r="124" spans="1:110" ht="14.4">
      <c r="A124" s="3"/>
      <c r="C124" s="11"/>
      <c r="D124" s="3" t="s">
        <v>511</v>
      </c>
      <c r="E124" s="1" t="s">
        <v>1233</v>
      </c>
      <c r="F124" s="3"/>
      <c r="H124" s="11" t="s">
        <v>102</v>
      </c>
      <c r="I124" s="11"/>
      <c r="J124" s="1" t="s">
        <v>1046</v>
      </c>
      <c r="K124" s="3"/>
      <c r="L124" s="11"/>
      <c r="M124" s="11"/>
      <c r="N124" s="3" t="s">
        <v>1061</v>
      </c>
      <c r="O124" s="3" t="s">
        <v>1206</v>
      </c>
      <c r="P124" s="3" t="s">
        <v>442</v>
      </c>
      <c r="R124" s="13" t="s">
        <v>1235</v>
      </c>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row>
    <row r="125" spans="1:110" ht="14.4">
      <c r="A125" s="3"/>
      <c r="C125" s="11"/>
      <c r="D125" s="3" t="s">
        <v>497</v>
      </c>
      <c r="E125" s="3"/>
      <c r="F125" s="3"/>
      <c r="H125" s="11" t="s">
        <v>102</v>
      </c>
      <c r="I125" s="11"/>
      <c r="J125" s="1" t="s">
        <v>1046</v>
      </c>
      <c r="K125" s="3"/>
      <c r="L125" s="11"/>
      <c r="M125" s="11"/>
      <c r="N125" s="3" t="s">
        <v>1061</v>
      </c>
      <c r="O125" s="3" t="s">
        <v>1236</v>
      </c>
      <c r="P125" s="3" t="s">
        <v>443</v>
      </c>
      <c r="R125" s="13" t="s">
        <v>1237</v>
      </c>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row>
    <row r="126" spans="1:110" ht="14.4">
      <c r="A126" s="3"/>
      <c r="C126" s="11"/>
      <c r="D126" s="1" t="s">
        <v>471</v>
      </c>
      <c r="E126" s="3"/>
      <c r="F126" s="3"/>
      <c r="H126" s="11" t="s">
        <v>102</v>
      </c>
      <c r="I126" s="11"/>
      <c r="J126" s="1" t="s">
        <v>1046</v>
      </c>
      <c r="K126" s="3"/>
      <c r="L126" s="11"/>
      <c r="M126" s="11"/>
      <c r="N126" s="3" t="s">
        <v>1061</v>
      </c>
      <c r="O126" s="3" t="s">
        <v>1236</v>
      </c>
      <c r="P126" s="3" t="s">
        <v>443</v>
      </c>
      <c r="R126" s="13" t="s">
        <v>1238</v>
      </c>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row>
    <row r="127" spans="1:110" ht="14.4">
      <c r="A127" s="3"/>
      <c r="C127" s="11"/>
      <c r="D127" s="1" t="s">
        <v>765</v>
      </c>
      <c r="E127" s="3"/>
      <c r="F127" s="3"/>
      <c r="H127" s="11" t="s">
        <v>1045</v>
      </c>
      <c r="I127" s="1" t="s">
        <v>1046</v>
      </c>
      <c r="J127" s="6" t="s">
        <v>1239</v>
      </c>
      <c r="K127" s="1" t="s">
        <v>1046</v>
      </c>
      <c r="L127" s="1" t="s">
        <v>1046</v>
      </c>
      <c r="M127" s="11"/>
      <c r="N127" s="3" t="s">
        <v>1061</v>
      </c>
      <c r="O127" s="3" t="s">
        <v>1236</v>
      </c>
      <c r="P127" s="3" t="s">
        <v>443</v>
      </c>
      <c r="R127" s="13" t="s">
        <v>1240</v>
      </c>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row>
    <row r="128" spans="1:110" ht="14.4">
      <c r="A128" s="3"/>
      <c r="C128" s="11"/>
      <c r="D128" s="1" t="s">
        <v>868</v>
      </c>
      <c r="E128" s="3"/>
      <c r="F128" s="3"/>
      <c r="H128" s="11" t="s">
        <v>1045</v>
      </c>
      <c r="I128" s="1" t="s">
        <v>1046</v>
      </c>
      <c r="J128" s="6" t="s">
        <v>1241</v>
      </c>
      <c r="K128" s="1" t="s">
        <v>1046</v>
      </c>
      <c r="L128" s="1" t="s">
        <v>1046</v>
      </c>
      <c r="M128" s="11"/>
      <c r="N128" s="3" t="s">
        <v>1061</v>
      </c>
      <c r="O128" s="3" t="s">
        <v>1236</v>
      </c>
      <c r="P128" s="3" t="s">
        <v>443</v>
      </c>
      <c r="R128" s="13" t="s">
        <v>1242</v>
      </c>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row>
    <row r="129" spans="1:110" ht="14.4">
      <c r="A129" s="3"/>
      <c r="C129" s="11"/>
      <c r="D129" s="3" t="s">
        <v>965</v>
      </c>
      <c r="E129" s="3"/>
      <c r="F129" s="3"/>
      <c r="H129" s="11" t="s">
        <v>1045</v>
      </c>
      <c r="I129" s="1" t="s">
        <v>1046</v>
      </c>
      <c r="J129" s="6" t="s">
        <v>1243</v>
      </c>
      <c r="K129" s="1" t="s">
        <v>1046</v>
      </c>
      <c r="L129" s="1" t="s">
        <v>1046</v>
      </c>
      <c r="M129" s="11"/>
      <c r="N129" s="3" t="s">
        <v>1061</v>
      </c>
      <c r="O129" s="3" t="s">
        <v>1244</v>
      </c>
      <c r="P129" s="1" t="s">
        <v>444</v>
      </c>
      <c r="R129" s="13" t="s">
        <v>1245</v>
      </c>
      <c r="S129" s="3"/>
      <c r="T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row>
    <row r="130" spans="1:110" ht="14.4">
      <c r="A130" s="3"/>
      <c r="C130" s="11"/>
      <c r="D130" s="3" t="s">
        <v>765</v>
      </c>
      <c r="E130" s="3"/>
      <c r="F130" s="3"/>
      <c r="H130" s="11" t="s">
        <v>1045</v>
      </c>
      <c r="I130" s="1" t="s">
        <v>1046</v>
      </c>
      <c r="J130" s="6" t="s">
        <v>1246</v>
      </c>
      <c r="K130" s="1" t="s">
        <v>1046</v>
      </c>
      <c r="L130" s="1" t="s">
        <v>1046</v>
      </c>
      <c r="M130" s="11"/>
      <c r="N130" s="3" t="s">
        <v>1061</v>
      </c>
      <c r="O130" s="3" t="s">
        <v>1244</v>
      </c>
      <c r="P130" s="1" t="s">
        <v>444</v>
      </c>
      <c r="R130" s="13" t="s">
        <v>1247</v>
      </c>
      <c r="S130" s="3"/>
      <c r="T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row>
    <row r="131" spans="1:110" ht="14.4">
      <c r="A131" s="3"/>
      <c r="C131" s="11"/>
      <c r="D131" s="1" t="s">
        <v>976</v>
      </c>
      <c r="E131" s="3"/>
      <c r="F131" s="3"/>
      <c r="H131" s="11" t="s">
        <v>102</v>
      </c>
      <c r="I131" s="11"/>
      <c r="J131" s="1" t="s">
        <v>1046</v>
      </c>
      <c r="K131" s="3"/>
      <c r="L131" s="11"/>
      <c r="M131" s="11"/>
      <c r="N131" s="3" t="s">
        <v>1061</v>
      </c>
      <c r="O131" s="3" t="s">
        <v>1244</v>
      </c>
      <c r="P131" s="1" t="s">
        <v>444</v>
      </c>
      <c r="R131" s="13" t="s">
        <v>1248</v>
      </c>
      <c r="S131" s="3"/>
      <c r="T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row>
    <row r="132" spans="1:110" ht="14.4">
      <c r="A132" s="3"/>
      <c r="C132" s="11"/>
      <c r="D132" s="1" t="s">
        <v>497</v>
      </c>
      <c r="E132" s="3"/>
      <c r="F132" s="3"/>
      <c r="H132" s="11" t="s">
        <v>102</v>
      </c>
      <c r="I132" s="11"/>
      <c r="J132" s="1" t="s">
        <v>1046</v>
      </c>
      <c r="K132" s="3"/>
      <c r="L132" s="11"/>
      <c r="M132" s="11"/>
      <c r="N132" s="3" t="s">
        <v>1061</v>
      </c>
      <c r="O132" s="3" t="s">
        <v>1244</v>
      </c>
      <c r="P132" s="1" t="s">
        <v>444</v>
      </c>
      <c r="R132" s="13" t="s">
        <v>1249</v>
      </c>
      <c r="S132" s="3"/>
      <c r="T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row>
    <row r="133" spans="1:110" ht="14.4">
      <c r="A133" s="3"/>
      <c r="C133" s="11"/>
      <c r="D133" s="1" t="s">
        <v>523</v>
      </c>
      <c r="E133" s="3"/>
      <c r="F133" s="3"/>
      <c r="H133" s="11" t="s">
        <v>102</v>
      </c>
      <c r="I133" s="11"/>
      <c r="J133" s="1" t="s">
        <v>1046</v>
      </c>
      <c r="K133" s="3"/>
      <c r="L133" s="11"/>
      <c r="M133" s="11"/>
      <c r="N133" s="3" t="s">
        <v>1061</v>
      </c>
      <c r="O133" s="3" t="s">
        <v>1244</v>
      </c>
      <c r="P133" s="1" t="s">
        <v>444</v>
      </c>
      <c r="R133" s="13" t="s">
        <v>1250</v>
      </c>
      <c r="S133" s="3"/>
      <c r="T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row>
    <row r="134" spans="1:110" ht="14.4">
      <c r="A134" s="3"/>
      <c r="C134" s="11"/>
      <c r="D134" s="1" t="s">
        <v>516</v>
      </c>
      <c r="E134" s="3"/>
      <c r="F134" s="3"/>
      <c r="H134" s="11" t="s">
        <v>102</v>
      </c>
      <c r="I134" s="11"/>
      <c r="J134" s="1" t="s">
        <v>1046</v>
      </c>
      <c r="K134" s="3"/>
      <c r="L134" s="11"/>
      <c r="M134" s="11"/>
      <c r="N134" s="3" t="s">
        <v>1061</v>
      </c>
      <c r="O134" s="3" t="s">
        <v>1244</v>
      </c>
      <c r="P134" s="1" t="s">
        <v>444</v>
      </c>
      <c r="R134" s="13" t="s">
        <v>1251</v>
      </c>
      <c r="S134" s="3"/>
      <c r="T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row>
    <row r="135" spans="1:110" ht="14.4">
      <c r="A135" s="3"/>
      <c r="C135" s="11"/>
      <c r="D135" s="3" t="s">
        <v>500</v>
      </c>
      <c r="E135" s="3"/>
      <c r="F135" s="3"/>
      <c r="H135" s="11" t="s">
        <v>102</v>
      </c>
      <c r="I135" s="11"/>
      <c r="J135" s="1" t="s">
        <v>1046</v>
      </c>
      <c r="K135" s="3"/>
      <c r="L135" s="11"/>
      <c r="M135" s="11"/>
      <c r="N135" s="3" t="s">
        <v>1061</v>
      </c>
      <c r="O135" s="3" t="s">
        <v>1252</v>
      </c>
      <c r="P135" s="3" t="s">
        <v>445</v>
      </c>
      <c r="R135" s="13" t="s">
        <v>1253</v>
      </c>
      <c r="S135" s="3"/>
      <c r="T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row>
    <row r="136" spans="1:110" ht="14.4">
      <c r="A136" s="3"/>
      <c r="C136" s="11"/>
      <c r="D136" s="3" t="s">
        <v>531</v>
      </c>
      <c r="E136" s="3"/>
      <c r="F136" s="3"/>
      <c r="H136" s="11" t="s">
        <v>102</v>
      </c>
      <c r="I136" s="11"/>
      <c r="J136" s="1" t="s">
        <v>1046</v>
      </c>
      <c r="K136" s="3"/>
      <c r="L136" s="11"/>
      <c r="M136" s="11"/>
      <c r="N136" s="3" t="s">
        <v>1061</v>
      </c>
      <c r="O136" s="3" t="s">
        <v>1252</v>
      </c>
      <c r="P136" s="3" t="s">
        <v>445</v>
      </c>
      <c r="R136" s="13" t="s">
        <v>1254</v>
      </c>
      <c r="S136" s="3"/>
      <c r="T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row>
    <row r="137" spans="1:110" ht="14.4">
      <c r="A137" s="3"/>
      <c r="C137" s="11"/>
      <c r="D137" s="3" t="s">
        <v>535</v>
      </c>
      <c r="E137" s="3"/>
      <c r="F137" s="3"/>
      <c r="H137" s="11" t="s">
        <v>102</v>
      </c>
      <c r="I137" s="11"/>
      <c r="J137" s="1" t="s">
        <v>1046</v>
      </c>
      <c r="K137" s="3"/>
      <c r="L137" s="11"/>
      <c r="M137" s="11"/>
      <c r="N137" s="3" t="s">
        <v>1061</v>
      </c>
      <c r="O137" s="3" t="s">
        <v>1252</v>
      </c>
      <c r="P137" s="3" t="s">
        <v>445</v>
      </c>
      <c r="R137" s="13" t="s">
        <v>1255</v>
      </c>
      <c r="S137" s="3"/>
      <c r="T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row>
    <row r="138" spans="1:110" ht="14.4">
      <c r="A138" s="3"/>
      <c r="C138" s="11"/>
      <c r="D138" s="1" t="s">
        <v>511</v>
      </c>
      <c r="E138" s="3"/>
      <c r="F138" s="3"/>
      <c r="H138" s="11" t="s">
        <v>102</v>
      </c>
      <c r="I138" s="11"/>
      <c r="J138" s="1" t="s">
        <v>1046</v>
      </c>
      <c r="K138" s="3"/>
      <c r="L138" s="11"/>
      <c r="M138" s="11"/>
      <c r="N138" s="3" t="s">
        <v>1061</v>
      </c>
      <c r="O138" s="3" t="s">
        <v>1252</v>
      </c>
      <c r="P138" s="3" t="s">
        <v>445</v>
      </c>
      <c r="R138" s="13" t="s">
        <v>1256</v>
      </c>
      <c r="S138" s="3"/>
      <c r="T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row>
    <row r="139" spans="1:110" ht="14.4">
      <c r="A139" s="3"/>
      <c r="C139" s="11"/>
      <c r="D139" s="1" t="s">
        <v>522</v>
      </c>
      <c r="E139" s="3"/>
      <c r="F139" s="3"/>
      <c r="H139" s="11" t="s">
        <v>102</v>
      </c>
      <c r="I139" s="11"/>
      <c r="J139" s="1" t="s">
        <v>1046</v>
      </c>
      <c r="K139" s="3"/>
      <c r="L139" s="11"/>
      <c r="M139" s="11"/>
      <c r="N139" s="3" t="s">
        <v>1061</v>
      </c>
      <c r="O139" s="3" t="s">
        <v>1252</v>
      </c>
      <c r="P139" s="3" t="s">
        <v>445</v>
      </c>
      <c r="R139" s="13" t="s">
        <v>1257</v>
      </c>
      <c r="S139" s="3"/>
      <c r="T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row>
    <row r="140" spans="1:110" ht="14.4">
      <c r="A140" s="3"/>
      <c r="C140" s="11"/>
      <c r="D140" s="1" t="s">
        <v>472</v>
      </c>
      <c r="E140" s="3"/>
      <c r="F140" s="3"/>
      <c r="H140" s="11" t="s">
        <v>102</v>
      </c>
      <c r="I140" s="11"/>
      <c r="J140" s="1" t="s">
        <v>1046</v>
      </c>
      <c r="K140" s="3"/>
      <c r="L140" s="11"/>
      <c r="M140" s="11"/>
      <c r="N140" s="3" t="s">
        <v>1061</v>
      </c>
      <c r="O140" s="3" t="s">
        <v>1252</v>
      </c>
      <c r="P140" s="3" t="s">
        <v>445</v>
      </c>
      <c r="R140" s="13" t="s">
        <v>1258</v>
      </c>
      <c r="S140" s="3"/>
      <c r="T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row>
    <row r="141" spans="1:110" ht="14.4">
      <c r="A141" s="3"/>
      <c r="C141" s="11"/>
      <c r="D141" s="1" t="s">
        <v>765</v>
      </c>
      <c r="F141" s="3"/>
      <c r="H141" s="11" t="s">
        <v>1045</v>
      </c>
      <c r="I141" s="1" t="s">
        <v>1046</v>
      </c>
      <c r="J141" s="3" t="s">
        <v>1259</v>
      </c>
      <c r="K141" s="1" t="s">
        <v>1046</v>
      </c>
      <c r="L141" s="1" t="s">
        <v>1046</v>
      </c>
      <c r="M141" s="11"/>
      <c r="N141" s="3" t="s">
        <v>1061</v>
      </c>
      <c r="O141" s="3" t="s">
        <v>1252</v>
      </c>
      <c r="P141" s="3" t="s">
        <v>445</v>
      </c>
      <c r="R141" s="13" t="s">
        <v>1260</v>
      </c>
      <c r="S141" s="3"/>
      <c r="T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row>
    <row r="142" spans="1:110" ht="14.4">
      <c r="A142" s="3"/>
      <c r="C142" s="11"/>
      <c r="D142" s="3" t="s">
        <v>1008</v>
      </c>
      <c r="E142" s="3"/>
      <c r="F142" s="3"/>
      <c r="H142" s="11" t="s">
        <v>1045</v>
      </c>
      <c r="I142" s="1" t="s">
        <v>1046</v>
      </c>
      <c r="J142" s="6" t="s">
        <v>1261</v>
      </c>
      <c r="K142" s="1" t="s">
        <v>1046</v>
      </c>
      <c r="L142" s="1" t="s">
        <v>1046</v>
      </c>
      <c r="M142" s="11"/>
      <c r="N142" s="3" t="s">
        <v>1061</v>
      </c>
      <c r="O142" s="3" t="s">
        <v>1262</v>
      </c>
      <c r="P142" s="3" t="s">
        <v>446</v>
      </c>
      <c r="R142" s="13" t="s">
        <v>1263</v>
      </c>
      <c r="S142" s="3"/>
      <c r="T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row>
    <row r="143" spans="1:110" ht="14.4">
      <c r="A143" s="3"/>
      <c r="C143" s="11"/>
      <c r="D143" s="1" t="s">
        <v>897</v>
      </c>
      <c r="E143" s="3"/>
      <c r="F143" s="3"/>
      <c r="H143" s="11" t="s">
        <v>1045</v>
      </c>
      <c r="I143" s="1" t="s">
        <v>1046</v>
      </c>
      <c r="J143" s="6" t="s">
        <v>1264</v>
      </c>
      <c r="K143" s="1" t="s">
        <v>1046</v>
      </c>
      <c r="L143" s="1" t="s">
        <v>1046</v>
      </c>
      <c r="M143" s="11"/>
      <c r="N143" s="3" t="s">
        <v>1061</v>
      </c>
      <c r="O143" s="3" t="s">
        <v>1262</v>
      </c>
      <c r="P143" s="3" t="s">
        <v>446</v>
      </c>
      <c r="R143" s="13" t="s">
        <v>1265</v>
      </c>
      <c r="S143" s="3"/>
      <c r="T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row>
    <row r="144" spans="1:110" ht="14.4">
      <c r="A144" s="3"/>
      <c r="C144" s="11"/>
      <c r="D144" s="7" t="s">
        <v>782</v>
      </c>
      <c r="E144" s="3"/>
      <c r="F144" s="3"/>
      <c r="H144" s="11" t="s">
        <v>1045</v>
      </c>
      <c r="I144" s="1" t="s">
        <v>1046</v>
      </c>
      <c r="J144" s="6" t="s">
        <v>1266</v>
      </c>
      <c r="K144" s="1" t="s">
        <v>1046</v>
      </c>
      <c r="L144" s="1" t="s">
        <v>1046</v>
      </c>
      <c r="M144" s="11"/>
      <c r="N144" s="3" t="s">
        <v>1061</v>
      </c>
      <c r="O144" s="3" t="s">
        <v>1262</v>
      </c>
      <c r="P144" s="3" t="s">
        <v>446</v>
      </c>
      <c r="R144" s="13" t="s">
        <v>1267</v>
      </c>
      <c r="S144" s="3"/>
      <c r="T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row>
    <row r="145" spans="1:110" ht="14.4">
      <c r="A145" s="3"/>
      <c r="C145" s="11"/>
      <c r="D145" s="1" t="s">
        <v>738</v>
      </c>
      <c r="E145" s="3"/>
      <c r="F145" s="3"/>
      <c r="H145" s="11" t="s">
        <v>1045</v>
      </c>
      <c r="I145" s="1" t="s">
        <v>1046</v>
      </c>
      <c r="J145" s="6" t="s">
        <v>1268</v>
      </c>
      <c r="K145" s="1" t="s">
        <v>1046</v>
      </c>
      <c r="L145" s="1" t="s">
        <v>1046</v>
      </c>
      <c r="M145" s="11"/>
      <c r="N145" s="3" t="s">
        <v>1061</v>
      </c>
      <c r="O145" s="3" t="s">
        <v>1262</v>
      </c>
      <c r="P145" s="3" t="s">
        <v>446</v>
      </c>
      <c r="R145" s="13" t="s">
        <v>1269</v>
      </c>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row>
    <row r="146" spans="1:110" ht="14.4">
      <c r="A146" s="3"/>
      <c r="C146" s="11"/>
      <c r="D146" s="1" t="s">
        <v>631</v>
      </c>
      <c r="E146" s="3"/>
      <c r="F146" s="3"/>
      <c r="H146" s="11" t="s">
        <v>102</v>
      </c>
      <c r="I146" s="11" t="s">
        <v>1270</v>
      </c>
      <c r="J146" s="1" t="s">
        <v>1046</v>
      </c>
      <c r="K146" s="3">
        <v>3</v>
      </c>
      <c r="L146" s="11">
        <v>1</v>
      </c>
      <c r="M146" s="11"/>
      <c r="N146" s="3" t="s">
        <v>1061</v>
      </c>
      <c r="O146" s="3" t="s">
        <v>1262</v>
      </c>
      <c r="P146" s="3" t="s">
        <v>446</v>
      </c>
      <c r="R146" s="13" t="s">
        <v>1271</v>
      </c>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row>
    <row r="147" spans="1:110" ht="14.4">
      <c r="A147" s="3"/>
      <c r="C147" s="11"/>
      <c r="D147" s="1" t="s">
        <v>932</v>
      </c>
      <c r="E147" s="3"/>
      <c r="F147" s="3"/>
      <c r="H147" s="11" t="s">
        <v>1045</v>
      </c>
      <c r="I147" s="1" t="s">
        <v>1046</v>
      </c>
      <c r="J147" s="6" t="s">
        <v>1272</v>
      </c>
      <c r="K147" s="1" t="s">
        <v>1046</v>
      </c>
      <c r="L147" s="1" t="s">
        <v>1046</v>
      </c>
      <c r="M147" s="11"/>
      <c r="N147" s="3" t="s">
        <v>1061</v>
      </c>
      <c r="O147" s="3" t="s">
        <v>1262</v>
      </c>
      <c r="P147" s="3" t="s">
        <v>446</v>
      </c>
      <c r="R147" s="13" t="s">
        <v>1273</v>
      </c>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row>
    <row r="148" spans="1:110" ht="14.4">
      <c r="A148" s="3"/>
      <c r="C148" s="11"/>
      <c r="D148" s="1" t="s">
        <v>469</v>
      </c>
      <c r="E148" s="3"/>
      <c r="F148" s="3"/>
      <c r="H148" s="11" t="s">
        <v>102</v>
      </c>
      <c r="I148" s="11"/>
      <c r="J148" s="1" t="s">
        <v>1046</v>
      </c>
      <c r="K148" s="3"/>
      <c r="L148" s="11"/>
      <c r="M148" s="11"/>
      <c r="N148" s="3" t="s">
        <v>1061</v>
      </c>
      <c r="O148" s="3" t="s">
        <v>1262</v>
      </c>
      <c r="P148" s="3" t="s">
        <v>446</v>
      </c>
      <c r="R148" s="13" t="s">
        <v>1274</v>
      </c>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row>
    <row r="149" spans="1:110" ht="14.4">
      <c r="A149" s="3"/>
      <c r="C149" s="11"/>
      <c r="D149" s="1" t="s">
        <v>873</v>
      </c>
      <c r="E149" s="3"/>
      <c r="F149" s="3"/>
      <c r="H149" s="11" t="s">
        <v>102</v>
      </c>
      <c r="I149" s="11" t="s">
        <v>1275</v>
      </c>
      <c r="J149" s="1" t="s">
        <v>1046</v>
      </c>
      <c r="K149" s="3"/>
      <c r="L149" s="11"/>
      <c r="M149" s="11"/>
      <c r="N149" s="3" t="s">
        <v>1061</v>
      </c>
      <c r="O149" s="3" t="s">
        <v>1262</v>
      </c>
      <c r="P149" s="3" t="s">
        <v>446</v>
      </c>
      <c r="R149" s="13" t="s">
        <v>1276</v>
      </c>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row>
    <row r="150" spans="1:110" ht="14.4">
      <c r="A150" s="3"/>
      <c r="C150" s="11"/>
      <c r="D150" s="1" t="s">
        <v>730</v>
      </c>
      <c r="E150" s="3"/>
      <c r="F150" s="3"/>
      <c r="H150" s="11" t="s">
        <v>1045</v>
      </c>
      <c r="I150" s="1" t="s">
        <v>1046</v>
      </c>
      <c r="J150" s="6" t="s">
        <v>1277</v>
      </c>
      <c r="K150" s="1" t="s">
        <v>1046</v>
      </c>
      <c r="L150" s="1" t="s">
        <v>1046</v>
      </c>
      <c r="M150" s="11"/>
      <c r="N150" s="3" t="s">
        <v>1061</v>
      </c>
      <c r="O150" s="3" t="s">
        <v>1262</v>
      </c>
      <c r="P150" s="3" t="s">
        <v>446</v>
      </c>
      <c r="R150" s="13" t="s">
        <v>1278</v>
      </c>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row>
    <row r="151" spans="1:110" ht="14.4">
      <c r="A151" s="3"/>
      <c r="C151" s="11"/>
      <c r="D151" s="1" t="s">
        <v>665</v>
      </c>
      <c r="E151" s="1" t="s">
        <v>1279</v>
      </c>
      <c r="F151" s="3"/>
      <c r="H151" s="11" t="s">
        <v>1045</v>
      </c>
      <c r="I151" s="1" t="s">
        <v>1046</v>
      </c>
      <c r="J151" s="6" t="s">
        <v>1280</v>
      </c>
      <c r="K151" s="1" t="s">
        <v>1046</v>
      </c>
      <c r="L151" s="1" t="s">
        <v>1046</v>
      </c>
      <c r="M151" s="11"/>
      <c r="N151" s="3" t="s">
        <v>1061</v>
      </c>
      <c r="O151" s="3" t="s">
        <v>1262</v>
      </c>
      <c r="P151" s="3" t="s">
        <v>446</v>
      </c>
      <c r="R151" s="13" t="s">
        <v>1281</v>
      </c>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row>
    <row r="152" spans="1:110" ht="14.4">
      <c r="A152" s="3"/>
      <c r="C152" s="11"/>
      <c r="D152" s="3" t="s">
        <v>469</v>
      </c>
      <c r="E152" s="3"/>
      <c r="F152" s="3"/>
      <c r="H152" s="11" t="s">
        <v>102</v>
      </c>
      <c r="I152" s="11"/>
      <c r="J152" s="1" t="s">
        <v>1046</v>
      </c>
      <c r="K152" s="3"/>
      <c r="L152" s="11"/>
      <c r="M152" s="11"/>
      <c r="N152" s="3" t="s">
        <v>1061</v>
      </c>
      <c r="O152" s="3" t="s">
        <v>1282</v>
      </c>
      <c r="P152" s="3" t="s">
        <v>447</v>
      </c>
      <c r="R152" s="13" t="s">
        <v>1283</v>
      </c>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row>
    <row r="153" spans="1:110" ht="14.4">
      <c r="A153" s="3"/>
      <c r="C153" s="11"/>
      <c r="D153" s="1" t="s">
        <v>767</v>
      </c>
      <c r="E153" s="3"/>
      <c r="F153" s="3"/>
      <c r="H153" s="11" t="s">
        <v>1045</v>
      </c>
      <c r="I153" s="1" t="s">
        <v>1046</v>
      </c>
      <c r="J153" s="1" t="s">
        <v>1122</v>
      </c>
      <c r="K153" s="1" t="s">
        <v>1046</v>
      </c>
      <c r="L153" s="1" t="s">
        <v>1046</v>
      </c>
      <c r="M153" s="11"/>
      <c r="N153" s="3" t="s">
        <v>1061</v>
      </c>
      <c r="O153" s="3" t="s">
        <v>1282</v>
      </c>
      <c r="P153" s="3" t="s">
        <v>447</v>
      </c>
      <c r="R153" s="13" t="s">
        <v>1284</v>
      </c>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row>
    <row r="154" spans="1:110" ht="14.4">
      <c r="A154" s="3"/>
      <c r="C154" s="11"/>
      <c r="D154" s="1" t="s">
        <v>780</v>
      </c>
      <c r="E154" s="3"/>
      <c r="F154" s="3"/>
      <c r="H154" s="11" t="s">
        <v>1045</v>
      </c>
      <c r="I154" s="1" t="s">
        <v>1046</v>
      </c>
      <c r="J154" s="6" t="s">
        <v>1285</v>
      </c>
      <c r="K154" s="1" t="s">
        <v>1046</v>
      </c>
      <c r="L154" s="1" t="s">
        <v>1046</v>
      </c>
      <c r="M154" s="6" t="s">
        <v>1286</v>
      </c>
      <c r="N154" s="3" t="s">
        <v>1061</v>
      </c>
      <c r="O154" s="3" t="s">
        <v>1282</v>
      </c>
      <c r="P154" s="3" t="s">
        <v>447</v>
      </c>
      <c r="R154" s="13" t="s">
        <v>1287</v>
      </c>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row>
    <row r="155" spans="1:110" ht="14.4">
      <c r="A155" s="3"/>
      <c r="C155" s="11"/>
      <c r="D155" s="1" t="s">
        <v>833</v>
      </c>
      <c r="E155" s="3"/>
      <c r="F155" s="3"/>
      <c r="H155" s="11" t="s">
        <v>1045</v>
      </c>
      <c r="I155" s="1" t="s">
        <v>1046</v>
      </c>
      <c r="J155" s="6" t="s">
        <v>1288</v>
      </c>
      <c r="K155" s="1" t="s">
        <v>1046</v>
      </c>
      <c r="L155" s="1" t="s">
        <v>1046</v>
      </c>
      <c r="M155" s="6" t="s">
        <v>1289</v>
      </c>
      <c r="N155" s="3" t="s">
        <v>1061</v>
      </c>
      <c r="O155" s="3" t="s">
        <v>1282</v>
      </c>
      <c r="P155" s="3" t="s">
        <v>447</v>
      </c>
      <c r="R155" s="13" t="s">
        <v>1290</v>
      </c>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row>
    <row r="156" spans="1:110" ht="14.4">
      <c r="A156" s="3"/>
      <c r="C156" s="11"/>
      <c r="D156" s="1" t="s">
        <v>875</v>
      </c>
      <c r="E156" s="3"/>
      <c r="F156" s="3"/>
      <c r="H156" s="11" t="s">
        <v>1045</v>
      </c>
      <c r="I156" s="1" t="s">
        <v>1046</v>
      </c>
      <c r="J156" s="6" t="s">
        <v>1124</v>
      </c>
      <c r="K156" s="1" t="s">
        <v>1046</v>
      </c>
      <c r="L156" s="1" t="s">
        <v>1046</v>
      </c>
      <c r="M156" s="6" t="s">
        <v>1291</v>
      </c>
      <c r="N156" s="3" t="s">
        <v>1061</v>
      </c>
      <c r="O156" s="3" t="s">
        <v>1282</v>
      </c>
      <c r="P156" s="3" t="s">
        <v>447</v>
      </c>
      <c r="R156" s="13" t="s">
        <v>1292</v>
      </c>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row>
    <row r="157" spans="1:110" ht="14.4">
      <c r="A157" s="3"/>
      <c r="C157" s="11"/>
      <c r="D157" s="1" t="s">
        <v>522</v>
      </c>
      <c r="E157" s="1" t="s">
        <v>1128</v>
      </c>
      <c r="F157" s="3"/>
      <c r="H157" s="11" t="s">
        <v>102</v>
      </c>
      <c r="I157" s="11"/>
      <c r="J157" s="1" t="s">
        <v>1046</v>
      </c>
      <c r="K157" s="3"/>
      <c r="L157" s="11"/>
      <c r="M157" s="6" t="s">
        <v>1293</v>
      </c>
      <c r="N157" s="3" t="s">
        <v>1061</v>
      </c>
      <c r="O157" s="3" t="s">
        <v>1282</v>
      </c>
      <c r="P157" s="3" t="s">
        <v>447</v>
      </c>
      <c r="R157" s="13" t="s">
        <v>1294</v>
      </c>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row>
    <row r="158" spans="1:110" ht="14.4">
      <c r="A158" s="3"/>
      <c r="C158" s="11"/>
      <c r="D158" s="1" t="s">
        <v>516</v>
      </c>
      <c r="E158" s="1" t="s">
        <v>1128</v>
      </c>
      <c r="F158" s="3"/>
      <c r="H158" s="11" t="s">
        <v>102</v>
      </c>
      <c r="I158" s="11"/>
      <c r="J158" s="1" t="s">
        <v>1046</v>
      </c>
      <c r="K158" s="3"/>
      <c r="L158" s="11"/>
      <c r="M158" s="6" t="s">
        <v>1293</v>
      </c>
      <c r="N158" s="3" t="s">
        <v>1061</v>
      </c>
      <c r="O158" s="3" t="s">
        <v>1282</v>
      </c>
      <c r="P158" s="3" t="s">
        <v>447</v>
      </c>
      <c r="R158" s="13" t="s">
        <v>1295</v>
      </c>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row>
    <row r="159" spans="1:110" ht="14.4">
      <c r="A159" s="3"/>
      <c r="C159" s="11"/>
      <c r="D159" s="3" t="s">
        <v>764</v>
      </c>
      <c r="E159" s="3"/>
      <c r="F159" s="3"/>
      <c r="H159" s="11" t="s">
        <v>1045</v>
      </c>
      <c r="I159" s="1" t="s">
        <v>1046</v>
      </c>
      <c r="J159" s="6" t="s">
        <v>1296</v>
      </c>
      <c r="K159" s="1" t="s">
        <v>1046</v>
      </c>
      <c r="L159" s="1" t="s">
        <v>1046</v>
      </c>
      <c r="M159" s="6"/>
      <c r="N159" s="3" t="s">
        <v>1061</v>
      </c>
      <c r="O159" s="3" t="s">
        <v>1297</v>
      </c>
      <c r="P159" s="3" t="s">
        <v>448</v>
      </c>
      <c r="R159" s="13" t="s">
        <v>1298</v>
      </c>
      <c r="S159" s="3"/>
      <c r="T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row>
    <row r="160" spans="1:110" ht="14.4">
      <c r="A160" s="3"/>
      <c r="C160" s="11"/>
      <c r="D160" s="1" t="s">
        <v>836</v>
      </c>
      <c r="E160" s="3"/>
      <c r="F160" s="3"/>
      <c r="H160" s="11" t="s">
        <v>1045</v>
      </c>
      <c r="I160" s="1" t="s">
        <v>1046</v>
      </c>
      <c r="J160" s="6" t="s">
        <v>1299</v>
      </c>
      <c r="K160" s="1" t="s">
        <v>1046</v>
      </c>
      <c r="L160" s="1" t="s">
        <v>1046</v>
      </c>
      <c r="M160" s="6"/>
      <c r="N160" s="3" t="s">
        <v>1061</v>
      </c>
      <c r="O160" s="3" t="s">
        <v>1297</v>
      </c>
      <c r="P160" s="3" t="s">
        <v>448</v>
      </c>
      <c r="R160" s="13" t="s">
        <v>1300</v>
      </c>
      <c r="S160" s="3"/>
      <c r="T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row>
    <row r="161" spans="1:110" ht="14.4">
      <c r="A161" s="3"/>
      <c r="C161" s="11"/>
      <c r="D161" s="1" t="s">
        <v>734</v>
      </c>
      <c r="E161" s="3"/>
      <c r="F161" s="3"/>
      <c r="H161" s="11" t="s">
        <v>1045</v>
      </c>
      <c r="I161" s="1" t="s">
        <v>1046</v>
      </c>
      <c r="J161" s="6" t="s">
        <v>1301</v>
      </c>
      <c r="K161" s="1" t="s">
        <v>1046</v>
      </c>
      <c r="L161" s="1" t="s">
        <v>1046</v>
      </c>
      <c r="M161" s="6"/>
      <c r="N161" s="3" t="s">
        <v>1061</v>
      </c>
      <c r="O161" s="3" t="s">
        <v>1297</v>
      </c>
      <c r="P161" s="3" t="s">
        <v>448</v>
      </c>
      <c r="R161" s="13" t="s">
        <v>1302</v>
      </c>
      <c r="S161" s="3"/>
      <c r="T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row>
    <row r="162" spans="1:110" ht="14.4">
      <c r="A162" s="3"/>
      <c r="C162" s="11"/>
      <c r="D162" s="1" t="s">
        <v>933</v>
      </c>
      <c r="E162" s="3"/>
      <c r="F162" s="3"/>
      <c r="H162" s="11" t="s">
        <v>1045</v>
      </c>
      <c r="I162" s="1" t="s">
        <v>1046</v>
      </c>
      <c r="J162" s="6" t="s">
        <v>1303</v>
      </c>
      <c r="K162" s="1" t="s">
        <v>1046</v>
      </c>
      <c r="L162" s="1" t="s">
        <v>1046</v>
      </c>
      <c r="M162" s="6"/>
      <c r="N162" s="3" t="s">
        <v>1061</v>
      </c>
      <c r="O162" s="3" t="s">
        <v>1297</v>
      </c>
      <c r="P162" s="3" t="s">
        <v>448</v>
      </c>
      <c r="R162" s="13" t="s">
        <v>1304</v>
      </c>
      <c r="S162" s="3"/>
      <c r="T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row>
    <row r="163" spans="1:110" ht="14.4">
      <c r="A163" s="3"/>
      <c r="C163" s="11"/>
      <c r="D163" s="1" t="s">
        <v>473</v>
      </c>
      <c r="E163" s="3"/>
      <c r="F163" s="3"/>
      <c r="H163" s="11" t="s">
        <v>102</v>
      </c>
      <c r="I163" s="11"/>
      <c r="J163" s="1" t="s">
        <v>1046</v>
      </c>
      <c r="K163" s="3"/>
      <c r="L163" s="11"/>
      <c r="M163" s="6"/>
      <c r="N163" s="3" t="s">
        <v>1061</v>
      </c>
      <c r="O163" s="3" t="s">
        <v>1297</v>
      </c>
      <c r="P163" s="3" t="s">
        <v>448</v>
      </c>
      <c r="R163" s="13" t="s">
        <v>1305</v>
      </c>
      <c r="S163" s="3"/>
      <c r="T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row>
    <row r="164" spans="1:110" ht="14.4">
      <c r="A164" s="3"/>
      <c r="C164" s="11"/>
      <c r="D164" s="1" t="s">
        <v>492</v>
      </c>
      <c r="E164" s="3"/>
      <c r="F164" s="3"/>
      <c r="H164" s="11" t="s">
        <v>102</v>
      </c>
      <c r="I164" s="11"/>
      <c r="J164" s="1" t="s">
        <v>1046</v>
      </c>
      <c r="K164" s="3"/>
      <c r="L164" s="11"/>
      <c r="M164" s="6"/>
      <c r="N164" s="3" t="s">
        <v>1061</v>
      </c>
      <c r="O164" s="3" t="s">
        <v>1297</v>
      </c>
      <c r="P164" s="3" t="s">
        <v>448</v>
      </c>
      <c r="R164" s="13" t="s">
        <v>1306</v>
      </c>
      <c r="S164" s="3"/>
      <c r="T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row>
    <row r="165" spans="1:110" ht="14.4">
      <c r="A165" s="3"/>
      <c r="C165" s="11"/>
      <c r="D165" s="1" t="s">
        <v>563</v>
      </c>
      <c r="E165" s="3"/>
      <c r="F165" s="3"/>
      <c r="H165" s="11" t="s">
        <v>102</v>
      </c>
      <c r="I165" s="11"/>
      <c r="J165" s="1" t="s">
        <v>1046</v>
      </c>
      <c r="K165" s="3"/>
      <c r="L165" s="11"/>
      <c r="M165" s="6"/>
      <c r="N165" s="3" t="s">
        <v>1061</v>
      </c>
      <c r="O165" s="3" t="s">
        <v>1297</v>
      </c>
      <c r="P165" s="3" t="s">
        <v>448</v>
      </c>
      <c r="R165" s="13" t="s">
        <v>1307</v>
      </c>
      <c r="S165" s="3"/>
      <c r="T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row>
    <row r="166" spans="1:110" ht="14.4">
      <c r="A166" s="3"/>
      <c r="C166" s="11"/>
      <c r="D166" s="1" t="s">
        <v>574</v>
      </c>
      <c r="E166" s="3"/>
      <c r="F166" s="3"/>
      <c r="H166" s="11" t="s">
        <v>102</v>
      </c>
      <c r="I166" s="11"/>
      <c r="J166" s="1" t="s">
        <v>1046</v>
      </c>
      <c r="K166" s="3"/>
      <c r="L166" s="11"/>
      <c r="M166" s="6"/>
      <c r="N166" s="3" t="s">
        <v>1061</v>
      </c>
      <c r="O166" s="3" t="s">
        <v>1297</v>
      </c>
      <c r="P166" s="3" t="s">
        <v>448</v>
      </c>
      <c r="R166" s="13" t="s">
        <v>1308</v>
      </c>
      <c r="S166" s="3"/>
      <c r="T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row>
    <row r="167" spans="1:110" ht="14.4">
      <c r="A167" s="3"/>
      <c r="C167" s="11"/>
      <c r="D167" s="1" t="s">
        <v>579</v>
      </c>
      <c r="E167" s="3"/>
      <c r="F167" s="3"/>
      <c r="H167" s="11" t="s">
        <v>102</v>
      </c>
      <c r="I167" s="11"/>
      <c r="J167" s="1" t="s">
        <v>1046</v>
      </c>
      <c r="K167" s="3"/>
      <c r="L167" s="11"/>
      <c r="M167" s="6"/>
      <c r="N167" s="3" t="s">
        <v>1061</v>
      </c>
      <c r="O167" s="3" t="s">
        <v>1297</v>
      </c>
      <c r="P167" s="3" t="s">
        <v>448</v>
      </c>
      <c r="R167" s="13" t="s">
        <v>1309</v>
      </c>
      <c r="S167" s="3"/>
      <c r="T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row>
    <row r="168" spans="1:110" ht="14.4">
      <c r="A168" s="3"/>
      <c r="C168" s="11"/>
      <c r="D168" s="1" t="s">
        <v>586</v>
      </c>
      <c r="E168" s="3"/>
      <c r="F168" s="3"/>
      <c r="H168" s="11" t="s">
        <v>102</v>
      </c>
      <c r="I168" s="11"/>
      <c r="J168" s="1" t="s">
        <v>1046</v>
      </c>
      <c r="K168" s="3"/>
      <c r="L168" s="11"/>
      <c r="M168" s="6"/>
      <c r="N168" s="3" t="s">
        <v>1061</v>
      </c>
      <c r="O168" s="3" t="s">
        <v>1297</v>
      </c>
      <c r="P168" s="3" t="s">
        <v>448</v>
      </c>
      <c r="R168" s="13" t="s">
        <v>1310</v>
      </c>
      <c r="S168" s="3"/>
      <c r="T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row>
    <row r="169" spans="1:110" ht="14.4">
      <c r="A169" s="3"/>
      <c r="C169" s="11"/>
      <c r="D169" s="1" t="s">
        <v>583</v>
      </c>
      <c r="E169" s="3"/>
      <c r="F169" s="3"/>
      <c r="H169" s="11" t="s">
        <v>102</v>
      </c>
      <c r="I169" s="11"/>
      <c r="J169" s="1" t="s">
        <v>1046</v>
      </c>
      <c r="K169" s="3"/>
      <c r="L169" s="11"/>
      <c r="M169" s="6"/>
      <c r="N169" s="3" t="s">
        <v>1061</v>
      </c>
      <c r="O169" s="3" t="s">
        <v>1297</v>
      </c>
      <c r="P169" s="3" t="s">
        <v>448</v>
      </c>
      <c r="R169" s="13" t="s">
        <v>1311</v>
      </c>
      <c r="S169" s="3"/>
      <c r="T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row>
    <row r="170" spans="1:110" ht="14.4">
      <c r="A170" s="3"/>
      <c r="C170" s="11"/>
      <c r="D170" s="1" t="s">
        <v>568</v>
      </c>
      <c r="E170" s="3"/>
      <c r="F170" s="3"/>
      <c r="H170" s="11" t="s">
        <v>102</v>
      </c>
      <c r="I170" s="11"/>
      <c r="J170" s="1" t="s">
        <v>1046</v>
      </c>
      <c r="K170" s="3"/>
      <c r="L170" s="11"/>
      <c r="M170" s="6"/>
      <c r="N170" s="3" t="s">
        <v>1061</v>
      </c>
      <c r="O170" s="3" t="s">
        <v>1297</v>
      </c>
      <c r="P170" s="3" t="s">
        <v>448</v>
      </c>
      <c r="R170" s="13" t="s">
        <v>1312</v>
      </c>
      <c r="S170" s="3"/>
      <c r="T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row>
    <row r="171" spans="1:110" ht="14.4">
      <c r="A171" s="3"/>
      <c r="C171" s="11"/>
      <c r="D171" s="1" t="s">
        <v>507</v>
      </c>
      <c r="E171" s="3"/>
      <c r="F171" s="3"/>
      <c r="H171" s="11" t="s">
        <v>102</v>
      </c>
      <c r="I171" s="11"/>
      <c r="J171" s="1" t="s">
        <v>1046</v>
      </c>
      <c r="K171" s="3"/>
      <c r="L171" s="11"/>
      <c r="M171" s="6"/>
      <c r="N171" s="3" t="s">
        <v>1061</v>
      </c>
      <c r="O171" s="3" t="s">
        <v>1297</v>
      </c>
      <c r="P171" s="3" t="s">
        <v>448</v>
      </c>
      <c r="R171" s="13" t="s">
        <v>1313</v>
      </c>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row>
    <row r="172" spans="1:110" ht="14.4">
      <c r="A172" s="3"/>
      <c r="C172" s="11"/>
      <c r="D172" s="1" t="s">
        <v>518</v>
      </c>
      <c r="E172" s="3"/>
      <c r="F172" s="3"/>
      <c r="H172" s="11" t="s">
        <v>102</v>
      </c>
      <c r="I172" s="11"/>
      <c r="J172" s="1" t="s">
        <v>1046</v>
      </c>
      <c r="K172" s="3"/>
      <c r="L172" s="11"/>
      <c r="M172" s="6"/>
      <c r="N172" s="3" t="s">
        <v>1061</v>
      </c>
      <c r="O172" s="3" t="s">
        <v>1297</v>
      </c>
      <c r="P172" s="3" t="s">
        <v>448</v>
      </c>
      <c r="R172" s="13" t="s">
        <v>1314</v>
      </c>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row>
    <row r="173" spans="1:110" ht="14.4">
      <c r="A173" s="3"/>
      <c r="C173" s="11"/>
      <c r="D173" s="3" t="s">
        <v>769</v>
      </c>
      <c r="E173" s="3" t="s">
        <v>764</v>
      </c>
      <c r="F173" s="3"/>
      <c r="H173" s="11" t="s">
        <v>1045</v>
      </c>
      <c r="I173" s="1" t="s">
        <v>1046</v>
      </c>
      <c r="J173" s="1" t="s">
        <v>1083</v>
      </c>
      <c r="K173" s="1" t="s">
        <v>1046</v>
      </c>
      <c r="L173" s="1" t="s">
        <v>1046</v>
      </c>
      <c r="M173" s="11"/>
      <c r="N173" s="3" t="s">
        <v>1061</v>
      </c>
      <c r="O173" s="3" t="s">
        <v>1315</v>
      </c>
      <c r="P173" s="3" t="s">
        <v>449</v>
      </c>
      <c r="R173" s="13" t="s">
        <v>1316</v>
      </c>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row>
    <row r="174" spans="1:110" ht="14.4">
      <c r="A174" s="3"/>
      <c r="C174" s="11"/>
      <c r="D174" s="1" t="s">
        <v>497</v>
      </c>
      <c r="E174" s="3"/>
      <c r="F174" s="3"/>
      <c r="H174" s="11" t="s">
        <v>102</v>
      </c>
      <c r="I174" s="11"/>
      <c r="J174" s="1" t="s">
        <v>1046</v>
      </c>
      <c r="K174" s="3"/>
      <c r="L174" s="11"/>
      <c r="M174" s="11"/>
      <c r="N174" s="3" t="s">
        <v>1061</v>
      </c>
      <c r="O174" s="3" t="s">
        <v>1315</v>
      </c>
      <c r="P174" s="3" t="s">
        <v>449</v>
      </c>
      <c r="R174" s="13" t="s">
        <v>1317</v>
      </c>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row>
    <row r="175" spans="1:110" ht="14.4">
      <c r="A175" s="3"/>
      <c r="C175" s="11"/>
      <c r="D175" s="1" t="s">
        <v>560</v>
      </c>
      <c r="E175" s="3"/>
      <c r="F175" s="3"/>
      <c r="H175" s="11" t="s">
        <v>102</v>
      </c>
      <c r="I175" s="11"/>
      <c r="J175" s="1" t="s">
        <v>1046</v>
      </c>
      <c r="K175" s="3"/>
      <c r="L175" s="11"/>
      <c r="M175" s="11"/>
      <c r="N175" s="3" t="s">
        <v>1061</v>
      </c>
      <c r="O175" s="3" t="s">
        <v>1315</v>
      </c>
      <c r="P175" s="3" t="s">
        <v>449</v>
      </c>
      <c r="R175" s="13" t="s">
        <v>1318</v>
      </c>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row>
    <row r="176" spans="1:110" ht="14.4">
      <c r="A176" s="3"/>
      <c r="C176" s="11"/>
      <c r="D176" s="1" t="s">
        <v>573</v>
      </c>
      <c r="E176" s="3"/>
      <c r="F176" s="3"/>
      <c r="H176" s="11" t="s">
        <v>102</v>
      </c>
      <c r="I176" s="11"/>
      <c r="J176" s="1" t="s">
        <v>1046</v>
      </c>
      <c r="K176" s="3"/>
      <c r="L176" s="11"/>
      <c r="M176" s="11"/>
      <c r="N176" s="3" t="s">
        <v>1061</v>
      </c>
      <c r="O176" s="3" t="s">
        <v>1315</v>
      </c>
      <c r="P176" s="3" t="s">
        <v>449</v>
      </c>
      <c r="R176" s="13" t="s">
        <v>1319</v>
      </c>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row>
    <row r="177" spans="1:110" ht="14.4">
      <c r="A177" s="3"/>
      <c r="C177" s="11"/>
      <c r="D177" s="1" t="s">
        <v>575</v>
      </c>
      <c r="E177" s="3"/>
      <c r="F177" s="3"/>
      <c r="H177" s="11" t="s">
        <v>102</v>
      </c>
      <c r="I177" s="11"/>
      <c r="J177" s="1" t="s">
        <v>1046</v>
      </c>
      <c r="K177" s="3"/>
      <c r="L177" s="11"/>
      <c r="M177" s="11"/>
      <c r="N177" s="3" t="s">
        <v>1061</v>
      </c>
      <c r="O177" s="3" t="s">
        <v>1315</v>
      </c>
      <c r="P177" s="3" t="s">
        <v>449</v>
      </c>
      <c r="R177" s="13" t="s">
        <v>1320</v>
      </c>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row>
    <row r="178" spans="1:110" ht="14.4">
      <c r="A178" s="3"/>
      <c r="C178" s="11"/>
      <c r="D178" s="1" t="s">
        <v>581</v>
      </c>
      <c r="E178" s="3"/>
      <c r="F178" s="3"/>
      <c r="H178" s="11" t="s">
        <v>102</v>
      </c>
      <c r="I178" s="11"/>
      <c r="J178" s="1" t="s">
        <v>1046</v>
      </c>
      <c r="K178" s="3"/>
      <c r="L178" s="11"/>
      <c r="M178" s="11"/>
      <c r="N178" s="3" t="s">
        <v>1061</v>
      </c>
      <c r="O178" s="3" t="s">
        <v>1315</v>
      </c>
      <c r="P178" s="3" t="s">
        <v>449</v>
      </c>
      <c r="R178" s="13" t="s">
        <v>1321</v>
      </c>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row>
    <row r="179" spans="1:110" ht="14.4">
      <c r="A179" s="3"/>
      <c r="C179" s="11"/>
      <c r="D179" s="1" t="s">
        <v>566</v>
      </c>
      <c r="E179" s="3"/>
      <c r="F179" s="3"/>
      <c r="H179" s="11" t="s">
        <v>102</v>
      </c>
      <c r="I179" s="11"/>
      <c r="J179" s="1" t="s">
        <v>1046</v>
      </c>
      <c r="K179" s="3"/>
      <c r="L179" s="11"/>
      <c r="M179" s="11"/>
      <c r="N179" s="3" t="s">
        <v>1061</v>
      </c>
      <c r="O179" s="3" t="s">
        <v>1315</v>
      </c>
      <c r="P179" s="3" t="s">
        <v>449</v>
      </c>
      <c r="R179" s="13" t="s">
        <v>1322</v>
      </c>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row>
    <row r="180" spans="1:110" ht="14.4">
      <c r="A180" s="3"/>
      <c r="C180" s="11"/>
      <c r="D180" s="1" t="s">
        <v>584</v>
      </c>
      <c r="E180" s="3"/>
      <c r="F180" s="3"/>
      <c r="H180" s="11" t="s">
        <v>102</v>
      </c>
      <c r="I180" s="11"/>
      <c r="J180" s="1" t="s">
        <v>1046</v>
      </c>
      <c r="K180" s="3"/>
      <c r="L180" s="11"/>
      <c r="M180" s="11"/>
      <c r="N180" s="3" t="s">
        <v>1061</v>
      </c>
      <c r="O180" s="3" t="s">
        <v>1315</v>
      </c>
      <c r="P180" s="3" t="s">
        <v>449</v>
      </c>
      <c r="R180" s="13" t="s">
        <v>1323</v>
      </c>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row>
    <row r="181" spans="1:110" ht="14.4">
      <c r="A181" s="3"/>
      <c r="C181" s="11"/>
      <c r="D181" s="3" t="s">
        <v>764</v>
      </c>
      <c r="E181" s="3"/>
      <c r="F181" s="3"/>
      <c r="H181" s="11" t="s">
        <v>1045</v>
      </c>
      <c r="I181" s="1" t="s">
        <v>1046</v>
      </c>
      <c r="J181" s="6" t="s">
        <v>1296</v>
      </c>
      <c r="K181" s="1" t="s">
        <v>1046</v>
      </c>
      <c r="L181" s="1" t="s">
        <v>1046</v>
      </c>
      <c r="M181" s="6"/>
      <c r="N181" s="3" t="s">
        <v>1061</v>
      </c>
      <c r="O181" s="3" t="s">
        <v>1324</v>
      </c>
      <c r="P181" s="3" t="s">
        <v>448</v>
      </c>
      <c r="R181" s="13" t="s">
        <v>1325</v>
      </c>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row>
    <row r="182" spans="1:110" ht="14.4">
      <c r="A182" s="3"/>
      <c r="C182" s="11"/>
      <c r="D182" s="1" t="s">
        <v>836</v>
      </c>
      <c r="E182" s="3"/>
      <c r="F182" s="3"/>
      <c r="H182" s="11" t="s">
        <v>1045</v>
      </c>
      <c r="I182" s="1" t="s">
        <v>1046</v>
      </c>
      <c r="J182" s="6" t="s">
        <v>1299</v>
      </c>
      <c r="K182" s="1" t="s">
        <v>1046</v>
      </c>
      <c r="L182" s="1" t="s">
        <v>1046</v>
      </c>
      <c r="M182" s="6"/>
      <c r="N182" s="3" t="s">
        <v>1061</v>
      </c>
      <c r="O182" s="3" t="s">
        <v>1324</v>
      </c>
      <c r="P182" s="3" t="s">
        <v>448</v>
      </c>
      <c r="R182" s="13" t="s">
        <v>1326</v>
      </c>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row>
    <row r="183" spans="1:110" ht="14.4">
      <c r="A183" s="3"/>
      <c r="C183" s="11"/>
      <c r="D183" s="1" t="s">
        <v>734</v>
      </c>
      <c r="E183" s="3"/>
      <c r="F183" s="3"/>
      <c r="H183" s="11" t="s">
        <v>1045</v>
      </c>
      <c r="I183" s="1" t="s">
        <v>1046</v>
      </c>
      <c r="J183" s="6" t="s">
        <v>1301</v>
      </c>
      <c r="K183" s="1" t="s">
        <v>1046</v>
      </c>
      <c r="L183" s="1" t="s">
        <v>1046</v>
      </c>
      <c r="M183" s="6"/>
      <c r="N183" s="3" t="s">
        <v>1061</v>
      </c>
      <c r="O183" s="3" t="s">
        <v>1324</v>
      </c>
      <c r="P183" s="3" t="s">
        <v>448</v>
      </c>
      <c r="R183" s="13" t="s">
        <v>1327</v>
      </c>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row>
    <row r="184" spans="1:110" ht="14.4">
      <c r="A184" s="3"/>
      <c r="C184" s="11"/>
      <c r="D184" s="1" t="s">
        <v>933</v>
      </c>
      <c r="E184" s="3"/>
      <c r="F184" s="3"/>
      <c r="H184" s="11" t="s">
        <v>1045</v>
      </c>
      <c r="I184" s="1" t="s">
        <v>1046</v>
      </c>
      <c r="J184" s="6" t="s">
        <v>1303</v>
      </c>
      <c r="K184" s="1" t="s">
        <v>1046</v>
      </c>
      <c r="L184" s="1" t="s">
        <v>1046</v>
      </c>
      <c r="M184" s="6"/>
      <c r="N184" s="3" t="s">
        <v>1061</v>
      </c>
      <c r="O184" s="3" t="s">
        <v>1324</v>
      </c>
      <c r="P184" s="3" t="s">
        <v>448</v>
      </c>
      <c r="R184" s="13" t="s">
        <v>1328</v>
      </c>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row>
    <row r="185" spans="1:110" ht="14.4">
      <c r="A185" s="3"/>
      <c r="C185" s="11"/>
      <c r="D185" s="1" t="s">
        <v>473</v>
      </c>
      <c r="E185" s="3"/>
      <c r="F185" s="3"/>
      <c r="H185" s="11" t="s">
        <v>102</v>
      </c>
      <c r="I185" s="11"/>
      <c r="J185" s="1" t="s">
        <v>1046</v>
      </c>
      <c r="K185" s="3"/>
      <c r="L185" s="11"/>
      <c r="M185" s="6"/>
      <c r="N185" s="3" t="s">
        <v>1061</v>
      </c>
      <c r="O185" s="3" t="s">
        <v>1324</v>
      </c>
      <c r="P185" s="3" t="s">
        <v>448</v>
      </c>
      <c r="R185" s="13" t="s">
        <v>1329</v>
      </c>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row>
    <row r="186" spans="1:110" ht="14.4">
      <c r="A186" s="3"/>
      <c r="C186" s="11"/>
      <c r="D186" s="1" t="s">
        <v>492</v>
      </c>
      <c r="E186" s="3"/>
      <c r="F186" s="3"/>
      <c r="H186" s="11" t="s">
        <v>102</v>
      </c>
      <c r="I186" s="11"/>
      <c r="J186" s="1" t="s">
        <v>1046</v>
      </c>
      <c r="K186" s="3"/>
      <c r="L186" s="11"/>
      <c r="M186" s="6"/>
      <c r="N186" s="3" t="s">
        <v>1061</v>
      </c>
      <c r="O186" s="3" t="s">
        <v>1324</v>
      </c>
      <c r="P186" s="3" t="s">
        <v>448</v>
      </c>
      <c r="R186" s="13" t="s">
        <v>1330</v>
      </c>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row>
    <row r="187" spans="1:110" ht="14.4">
      <c r="A187" s="3"/>
      <c r="C187" s="11"/>
      <c r="D187" s="1" t="s">
        <v>563</v>
      </c>
      <c r="E187" s="3"/>
      <c r="F187" s="3"/>
      <c r="H187" s="11" t="s">
        <v>102</v>
      </c>
      <c r="I187" s="11"/>
      <c r="J187" s="1" t="s">
        <v>1046</v>
      </c>
      <c r="K187" s="3"/>
      <c r="L187" s="11"/>
      <c r="M187" s="6"/>
      <c r="N187" s="3" t="s">
        <v>1061</v>
      </c>
      <c r="O187" s="3" t="s">
        <v>1324</v>
      </c>
      <c r="P187" s="3" t="s">
        <v>448</v>
      </c>
      <c r="R187" s="13" t="s">
        <v>1331</v>
      </c>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row>
    <row r="188" spans="1:110" ht="14.4">
      <c r="A188" s="3"/>
      <c r="C188" s="11"/>
      <c r="D188" s="1" t="s">
        <v>574</v>
      </c>
      <c r="E188" s="3"/>
      <c r="F188" s="3"/>
      <c r="H188" s="11" t="s">
        <v>102</v>
      </c>
      <c r="I188" s="11"/>
      <c r="J188" s="1" t="s">
        <v>1046</v>
      </c>
      <c r="K188" s="3"/>
      <c r="L188" s="11"/>
      <c r="M188" s="6"/>
      <c r="N188" s="3" t="s">
        <v>1061</v>
      </c>
      <c r="O188" s="3" t="s">
        <v>1324</v>
      </c>
      <c r="P188" s="3" t="s">
        <v>448</v>
      </c>
      <c r="R188" s="13" t="s">
        <v>1332</v>
      </c>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row>
    <row r="189" spans="1:110" ht="14.4">
      <c r="A189" s="3"/>
      <c r="C189" s="11"/>
      <c r="D189" s="1" t="s">
        <v>579</v>
      </c>
      <c r="E189" s="3"/>
      <c r="F189" s="3"/>
      <c r="H189" s="11" t="s">
        <v>102</v>
      </c>
      <c r="I189" s="11"/>
      <c r="J189" s="1" t="s">
        <v>1046</v>
      </c>
      <c r="K189" s="3"/>
      <c r="L189" s="11"/>
      <c r="M189" s="6"/>
      <c r="N189" s="3" t="s">
        <v>1061</v>
      </c>
      <c r="O189" s="3" t="s">
        <v>1324</v>
      </c>
      <c r="P189" s="3" t="s">
        <v>448</v>
      </c>
      <c r="R189" s="13" t="s">
        <v>1333</v>
      </c>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row>
    <row r="190" spans="1:110" ht="14.4">
      <c r="A190" s="3"/>
      <c r="C190" s="11"/>
      <c r="D190" s="1" t="s">
        <v>586</v>
      </c>
      <c r="E190" s="3"/>
      <c r="F190" s="3"/>
      <c r="H190" s="11" t="s">
        <v>102</v>
      </c>
      <c r="I190" s="11"/>
      <c r="J190" s="1" t="s">
        <v>1046</v>
      </c>
      <c r="K190" s="3"/>
      <c r="L190" s="11"/>
      <c r="M190" s="6"/>
      <c r="N190" s="3" t="s">
        <v>1061</v>
      </c>
      <c r="O190" s="3" t="s">
        <v>1324</v>
      </c>
      <c r="P190" s="3" t="s">
        <v>448</v>
      </c>
      <c r="R190" s="13" t="s">
        <v>1334</v>
      </c>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row>
    <row r="191" spans="1:110" ht="14.4">
      <c r="A191" s="3"/>
      <c r="C191" s="11"/>
      <c r="D191" s="1" t="s">
        <v>583</v>
      </c>
      <c r="E191" s="3"/>
      <c r="F191" s="3"/>
      <c r="H191" s="11" t="s">
        <v>102</v>
      </c>
      <c r="I191" s="11"/>
      <c r="J191" s="1" t="s">
        <v>1046</v>
      </c>
      <c r="K191" s="3"/>
      <c r="L191" s="11"/>
      <c r="M191" s="6"/>
      <c r="N191" s="3" t="s">
        <v>1061</v>
      </c>
      <c r="O191" s="3" t="s">
        <v>1324</v>
      </c>
      <c r="P191" s="3" t="s">
        <v>448</v>
      </c>
      <c r="R191" s="13" t="s">
        <v>1335</v>
      </c>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row>
    <row r="192" spans="1:110" ht="14.4">
      <c r="A192" s="3"/>
      <c r="C192" s="11"/>
      <c r="D192" s="1" t="s">
        <v>568</v>
      </c>
      <c r="E192" s="3"/>
      <c r="F192" s="3"/>
      <c r="H192" s="11" t="s">
        <v>102</v>
      </c>
      <c r="I192" s="11"/>
      <c r="J192" s="1" t="s">
        <v>1046</v>
      </c>
      <c r="K192" s="3"/>
      <c r="L192" s="11"/>
      <c r="M192" s="6"/>
      <c r="N192" s="3" t="s">
        <v>1061</v>
      </c>
      <c r="O192" s="3" t="s">
        <v>1324</v>
      </c>
      <c r="P192" s="3" t="s">
        <v>448</v>
      </c>
      <c r="R192" s="13" t="s">
        <v>1336</v>
      </c>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row>
    <row r="193" spans="1:110" ht="14.4">
      <c r="A193" s="3"/>
      <c r="C193" s="11"/>
      <c r="D193" s="1" t="s">
        <v>507</v>
      </c>
      <c r="E193" s="3"/>
      <c r="F193" s="3"/>
      <c r="H193" s="11" t="s">
        <v>102</v>
      </c>
      <c r="I193" s="11"/>
      <c r="J193" s="1" t="s">
        <v>1046</v>
      </c>
      <c r="K193" s="3"/>
      <c r="L193" s="11"/>
      <c r="M193" s="6"/>
      <c r="N193" s="3" t="s">
        <v>1061</v>
      </c>
      <c r="O193" s="3" t="s">
        <v>1324</v>
      </c>
      <c r="P193" s="3" t="s">
        <v>448</v>
      </c>
      <c r="R193" s="13" t="s">
        <v>1337</v>
      </c>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row>
    <row r="194" spans="1:110" ht="14.4">
      <c r="A194" s="3"/>
      <c r="C194" s="11"/>
      <c r="D194" s="1" t="s">
        <v>518</v>
      </c>
      <c r="E194" s="3"/>
      <c r="F194" s="3"/>
      <c r="H194" s="11" t="s">
        <v>102</v>
      </c>
      <c r="I194" s="11"/>
      <c r="J194" s="1" t="s">
        <v>1046</v>
      </c>
      <c r="K194" s="3"/>
      <c r="L194" s="11"/>
      <c r="M194" s="6"/>
      <c r="N194" s="3" t="s">
        <v>1061</v>
      </c>
      <c r="O194" s="3" t="s">
        <v>1324</v>
      </c>
      <c r="P194" s="3" t="s">
        <v>448</v>
      </c>
      <c r="R194" s="13" t="s">
        <v>1338</v>
      </c>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row>
    <row r="195" spans="1:110" ht="14.4">
      <c r="A195" s="3"/>
      <c r="C195" s="11"/>
      <c r="D195" s="3" t="s">
        <v>837</v>
      </c>
      <c r="E195" s="3"/>
      <c r="F195" s="3"/>
      <c r="H195" s="11" t="s">
        <v>1045</v>
      </c>
      <c r="I195" s="1" t="s">
        <v>1046</v>
      </c>
      <c r="J195" s="6" t="s">
        <v>1339</v>
      </c>
      <c r="K195" s="1" t="s">
        <v>1046</v>
      </c>
      <c r="L195" s="1" t="s">
        <v>1046</v>
      </c>
      <c r="M195" s="11"/>
      <c r="N195" s="3" t="s">
        <v>1061</v>
      </c>
      <c r="O195" s="3" t="s">
        <v>1340</v>
      </c>
      <c r="P195" s="3" t="s">
        <v>450</v>
      </c>
      <c r="R195" s="13" t="s">
        <v>1341</v>
      </c>
      <c r="S195" s="3"/>
      <c r="T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row>
    <row r="196" spans="1:110" ht="14.4">
      <c r="A196" s="3"/>
      <c r="C196" s="11"/>
      <c r="D196" s="1" t="s">
        <v>758</v>
      </c>
      <c r="E196" s="3"/>
      <c r="F196" s="3"/>
      <c r="H196" s="11" t="s">
        <v>102</v>
      </c>
      <c r="I196" s="11"/>
      <c r="J196" s="1" t="s">
        <v>1046</v>
      </c>
      <c r="K196" s="3"/>
      <c r="L196" s="11"/>
      <c r="M196" s="1" t="s">
        <v>1342</v>
      </c>
      <c r="N196" s="3" t="s">
        <v>1061</v>
      </c>
      <c r="O196" s="3" t="s">
        <v>1340</v>
      </c>
      <c r="P196" s="3" t="s">
        <v>450</v>
      </c>
      <c r="R196" s="13" t="s">
        <v>1343</v>
      </c>
      <c r="S196" s="3"/>
      <c r="T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row>
    <row r="197" spans="1:110" ht="14.4">
      <c r="A197" s="3"/>
      <c r="C197" s="11"/>
      <c r="D197" s="3" t="s">
        <v>770</v>
      </c>
      <c r="E197" s="3"/>
      <c r="F197" s="3"/>
      <c r="H197" s="11" t="s">
        <v>1045</v>
      </c>
      <c r="I197" s="1" t="s">
        <v>1046</v>
      </c>
      <c r="J197" s="6" t="s">
        <v>1344</v>
      </c>
      <c r="K197" s="1" t="s">
        <v>1046</v>
      </c>
      <c r="L197" s="1" t="s">
        <v>1046</v>
      </c>
      <c r="M197" s="11"/>
      <c r="N197" s="3" t="s">
        <v>1061</v>
      </c>
      <c r="O197" s="3" t="s">
        <v>1345</v>
      </c>
      <c r="P197" s="3" t="s">
        <v>451</v>
      </c>
      <c r="R197" s="13" t="s">
        <v>1346</v>
      </c>
      <c r="S197" s="3"/>
      <c r="T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row>
    <row r="198" spans="1:110" ht="14.4">
      <c r="A198" s="3"/>
      <c r="C198" s="11"/>
      <c r="D198" s="6" t="s">
        <v>497</v>
      </c>
      <c r="E198" s="3"/>
      <c r="F198" s="3"/>
      <c r="H198" s="11" t="s">
        <v>102</v>
      </c>
      <c r="I198" s="11"/>
      <c r="J198" s="1" t="s">
        <v>1046</v>
      </c>
      <c r="K198" s="3"/>
      <c r="L198" s="11"/>
      <c r="M198" s="11"/>
      <c r="N198" s="3" t="s">
        <v>1061</v>
      </c>
      <c r="O198" s="3" t="s">
        <v>1345</v>
      </c>
      <c r="P198" s="3" t="s">
        <v>451</v>
      </c>
      <c r="R198" s="13" t="s">
        <v>1347</v>
      </c>
      <c r="S198" s="3"/>
      <c r="T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row>
    <row r="199" spans="1:110" ht="14.4">
      <c r="A199" s="3"/>
      <c r="C199" s="11"/>
      <c r="D199" s="1" t="s">
        <v>560</v>
      </c>
      <c r="E199" s="3"/>
      <c r="F199" s="3"/>
      <c r="H199" s="11" t="s">
        <v>102</v>
      </c>
      <c r="I199" s="11"/>
      <c r="J199" s="1" t="s">
        <v>1046</v>
      </c>
      <c r="K199" s="3"/>
      <c r="L199" s="11"/>
      <c r="M199" s="11"/>
      <c r="N199" s="3" t="s">
        <v>1061</v>
      </c>
      <c r="O199" s="3" t="s">
        <v>1345</v>
      </c>
      <c r="P199" s="3" t="s">
        <v>451</v>
      </c>
      <c r="R199" s="13" t="s">
        <v>1348</v>
      </c>
      <c r="S199" s="3"/>
      <c r="T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row>
    <row r="200" spans="1:110" ht="14.4">
      <c r="A200" s="3"/>
      <c r="C200" s="11"/>
      <c r="D200" s="1" t="s">
        <v>573</v>
      </c>
      <c r="E200" s="3"/>
      <c r="F200" s="3"/>
      <c r="H200" s="11" t="s">
        <v>102</v>
      </c>
      <c r="I200" s="11"/>
      <c r="J200" s="1" t="s">
        <v>1046</v>
      </c>
      <c r="K200" s="3"/>
      <c r="L200" s="11"/>
      <c r="M200" s="11"/>
      <c r="N200" s="3" t="s">
        <v>1061</v>
      </c>
      <c r="O200" s="3" t="s">
        <v>1345</v>
      </c>
      <c r="P200" s="3" t="s">
        <v>451</v>
      </c>
      <c r="R200" s="13" t="s">
        <v>1349</v>
      </c>
      <c r="S200" s="3"/>
      <c r="T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row>
    <row r="201" spans="1:110" ht="14.4">
      <c r="A201" s="3"/>
      <c r="C201" s="11"/>
      <c r="D201" s="1" t="s">
        <v>575</v>
      </c>
      <c r="E201" s="3"/>
      <c r="F201" s="3"/>
      <c r="H201" s="11" t="s">
        <v>102</v>
      </c>
      <c r="I201" s="11"/>
      <c r="J201" s="1" t="s">
        <v>1046</v>
      </c>
      <c r="K201" s="3"/>
      <c r="L201" s="11"/>
      <c r="M201" s="11"/>
      <c r="N201" s="3" t="s">
        <v>1061</v>
      </c>
      <c r="O201" s="3" t="s">
        <v>1345</v>
      </c>
      <c r="P201" s="3" t="s">
        <v>451</v>
      </c>
      <c r="R201" s="13" t="s">
        <v>1350</v>
      </c>
      <c r="S201" s="3"/>
      <c r="T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row>
    <row r="202" spans="1:110" ht="14.4">
      <c r="A202" s="3"/>
      <c r="C202" s="11"/>
      <c r="D202" s="1" t="s">
        <v>581</v>
      </c>
      <c r="E202" s="3"/>
      <c r="F202" s="3"/>
      <c r="H202" s="11" t="s">
        <v>102</v>
      </c>
      <c r="I202" s="11"/>
      <c r="J202" s="1" t="s">
        <v>1046</v>
      </c>
      <c r="K202" s="3"/>
      <c r="L202" s="11"/>
      <c r="M202" s="11"/>
      <c r="N202" s="3" t="s">
        <v>1061</v>
      </c>
      <c r="O202" s="3" t="s">
        <v>1345</v>
      </c>
      <c r="P202" s="3" t="s">
        <v>451</v>
      </c>
      <c r="R202" s="13" t="s">
        <v>1351</v>
      </c>
      <c r="S202" s="3"/>
      <c r="T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row>
    <row r="203" spans="1:110" ht="14.4">
      <c r="A203" s="3"/>
      <c r="C203" s="11"/>
      <c r="D203" s="1" t="s">
        <v>566</v>
      </c>
      <c r="E203" s="3"/>
      <c r="F203" s="3"/>
      <c r="H203" s="11" t="s">
        <v>102</v>
      </c>
      <c r="I203" s="11"/>
      <c r="J203" s="1" t="s">
        <v>1046</v>
      </c>
      <c r="K203" s="3"/>
      <c r="L203" s="11"/>
      <c r="M203" s="11"/>
      <c r="N203" s="3" t="s">
        <v>1061</v>
      </c>
      <c r="O203" s="3" t="s">
        <v>1345</v>
      </c>
      <c r="P203" s="3" t="s">
        <v>451</v>
      </c>
      <c r="R203" s="13" t="s">
        <v>1352</v>
      </c>
      <c r="S203" s="3"/>
      <c r="T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row>
    <row r="204" spans="1:110" ht="14.4">
      <c r="A204" s="3"/>
      <c r="C204" s="11"/>
      <c r="D204" s="1" t="s">
        <v>584</v>
      </c>
      <c r="E204" s="3"/>
      <c r="F204" s="3"/>
      <c r="H204" s="11" t="s">
        <v>102</v>
      </c>
      <c r="I204" s="11"/>
      <c r="J204" s="1" t="s">
        <v>1046</v>
      </c>
      <c r="K204" s="3"/>
      <c r="L204" s="11"/>
      <c r="M204" s="11"/>
      <c r="N204" s="3" t="s">
        <v>1061</v>
      </c>
      <c r="O204" s="3" t="s">
        <v>1345</v>
      </c>
      <c r="P204" s="3" t="s">
        <v>451</v>
      </c>
      <c r="R204" s="13" t="s">
        <v>1353</v>
      </c>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row>
    <row r="205" spans="1:110" ht="14.4">
      <c r="A205" s="3"/>
      <c r="C205" s="11"/>
      <c r="D205" s="3" t="s">
        <v>497</v>
      </c>
      <c r="E205" s="3"/>
      <c r="F205" s="3"/>
      <c r="H205" s="11" t="s">
        <v>102</v>
      </c>
      <c r="I205" s="11" t="s">
        <v>1354</v>
      </c>
      <c r="J205" s="1" t="s">
        <v>1046</v>
      </c>
      <c r="K205" s="3"/>
      <c r="L205" s="11"/>
      <c r="M205" s="11"/>
      <c r="N205" s="3" t="s">
        <v>1061</v>
      </c>
      <c r="O205" s="3" t="s">
        <v>1355</v>
      </c>
      <c r="P205" s="3" t="s">
        <v>452</v>
      </c>
      <c r="R205" s="13" t="s">
        <v>1356</v>
      </c>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row>
    <row r="206" spans="1:110" ht="14.4">
      <c r="A206" s="3"/>
      <c r="C206" s="11"/>
      <c r="D206" s="3" t="s">
        <v>513</v>
      </c>
      <c r="E206" s="3"/>
      <c r="F206" s="3"/>
      <c r="H206" s="11" t="s">
        <v>102</v>
      </c>
      <c r="I206" s="11"/>
      <c r="J206" s="1" t="s">
        <v>1046</v>
      </c>
      <c r="K206" s="3"/>
      <c r="L206" s="11"/>
      <c r="M206" s="11"/>
      <c r="N206" s="3" t="s">
        <v>1061</v>
      </c>
      <c r="O206" s="3" t="s">
        <v>1355</v>
      </c>
      <c r="P206" s="3" t="s">
        <v>452</v>
      </c>
      <c r="R206" s="13" t="s">
        <v>1357</v>
      </c>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row>
    <row r="207" spans="1:110" ht="14.4">
      <c r="A207" s="3"/>
      <c r="C207" s="11"/>
      <c r="D207" s="1" t="s">
        <v>524</v>
      </c>
      <c r="E207" s="3"/>
      <c r="F207" s="3"/>
      <c r="H207" s="11" t="s">
        <v>102</v>
      </c>
      <c r="I207" s="11"/>
      <c r="J207" s="1" t="s">
        <v>1046</v>
      </c>
      <c r="K207" s="3"/>
      <c r="L207" s="11"/>
      <c r="M207" s="11"/>
      <c r="N207" s="3" t="s">
        <v>1061</v>
      </c>
      <c r="O207" s="3" t="s">
        <v>1355</v>
      </c>
      <c r="P207" s="3" t="s">
        <v>452</v>
      </c>
      <c r="R207" s="13" t="s">
        <v>1358</v>
      </c>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row>
    <row r="208" spans="1:110" ht="14.4">
      <c r="A208" s="3"/>
      <c r="C208" s="11"/>
      <c r="D208" s="1" t="s">
        <v>469</v>
      </c>
      <c r="E208" s="3"/>
      <c r="F208" s="3"/>
      <c r="H208" s="11" t="s">
        <v>102</v>
      </c>
      <c r="I208" s="11" t="s">
        <v>1136</v>
      </c>
      <c r="J208" s="1" t="s">
        <v>1046</v>
      </c>
      <c r="K208" s="3"/>
      <c r="L208" s="11"/>
      <c r="M208" s="11"/>
      <c r="N208" s="3" t="s">
        <v>1061</v>
      </c>
      <c r="O208" s="3" t="s">
        <v>1355</v>
      </c>
      <c r="P208" s="3" t="s">
        <v>452</v>
      </c>
      <c r="R208" s="13" t="s">
        <v>1359</v>
      </c>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row>
    <row r="209" spans="1:110" ht="14.4">
      <c r="A209" s="3"/>
      <c r="C209" s="11"/>
      <c r="D209" s="1" t="s">
        <v>966</v>
      </c>
      <c r="E209" s="3"/>
      <c r="F209" s="3"/>
      <c r="H209" s="11" t="s">
        <v>1045</v>
      </c>
      <c r="I209" s="1" t="s">
        <v>1046</v>
      </c>
      <c r="J209" s="6" t="s">
        <v>1360</v>
      </c>
      <c r="K209" s="1" t="s">
        <v>1046</v>
      </c>
      <c r="L209" s="1" t="s">
        <v>1046</v>
      </c>
      <c r="M209" s="11"/>
      <c r="N209" s="3" t="s">
        <v>1061</v>
      </c>
      <c r="O209" s="3" t="s">
        <v>1355</v>
      </c>
      <c r="P209" s="3" t="s">
        <v>452</v>
      </c>
      <c r="R209" s="13" t="s">
        <v>1361</v>
      </c>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row>
    <row r="210" spans="1:110" ht="14.4">
      <c r="A210" s="3"/>
      <c r="C210" s="11"/>
      <c r="D210" s="1" t="s">
        <v>771</v>
      </c>
      <c r="E210" s="3"/>
      <c r="F210" s="3"/>
      <c r="H210" s="11" t="s">
        <v>1045</v>
      </c>
      <c r="I210" s="1" t="s">
        <v>1046</v>
      </c>
      <c r="J210" s="1" t="s">
        <v>1362</v>
      </c>
      <c r="K210" s="1" t="s">
        <v>1046</v>
      </c>
      <c r="L210" s="1" t="s">
        <v>1046</v>
      </c>
      <c r="M210" s="11"/>
      <c r="N210" s="3" t="s">
        <v>1061</v>
      </c>
      <c r="O210" s="3" t="s">
        <v>1363</v>
      </c>
      <c r="P210" s="3" t="s">
        <v>453</v>
      </c>
      <c r="R210" s="13" t="s">
        <v>1364</v>
      </c>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row>
    <row r="211" spans="1:110" ht="14.4">
      <c r="A211" s="3"/>
      <c r="C211" s="11"/>
      <c r="D211" s="3" t="s">
        <v>764</v>
      </c>
      <c r="E211" s="3"/>
      <c r="F211" s="3"/>
      <c r="H211" s="11" t="s">
        <v>1045</v>
      </c>
      <c r="I211" s="1" t="s">
        <v>1046</v>
      </c>
      <c r="J211" s="1" t="s">
        <v>1365</v>
      </c>
      <c r="K211" s="1" t="s">
        <v>1046</v>
      </c>
      <c r="L211" s="1" t="s">
        <v>1046</v>
      </c>
      <c r="M211" s="11"/>
      <c r="N211" s="3" t="s">
        <v>1049</v>
      </c>
      <c r="O211" s="3" t="s">
        <v>1366</v>
      </c>
      <c r="P211" s="3" t="s">
        <v>454</v>
      </c>
      <c r="R211" s="13" t="s">
        <v>1367</v>
      </c>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row>
    <row r="212" spans="1:110" ht="14.4">
      <c r="A212" s="3"/>
      <c r="C212" s="11"/>
      <c r="D212" s="6" t="s">
        <v>511</v>
      </c>
      <c r="E212" s="3"/>
      <c r="F212" s="3"/>
      <c r="H212" s="11" t="s">
        <v>102</v>
      </c>
      <c r="I212" s="11"/>
      <c r="J212" s="1" t="s">
        <v>1046</v>
      </c>
      <c r="K212" s="3"/>
      <c r="L212" s="11"/>
      <c r="M212" s="11"/>
      <c r="N212" s="3" t="s">
        <v>1049</v>
      </c>
      <c r="O212" s="3" t="s">
        <v>1366</v>
      </c>
      <c r="P212" s="3" t="s">
        <v>454</v>
      </c>
      <c r="R212" s="13" t="s">
        <v>1368</v>
      </c>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row>
    <row r="213" spans="1:110" ht="14.4">
      <c r="A213" s="3"/>
      <c r="C213" s="11"/>
      <c r="D213" s="1" t="s">
        <v>522</v>
      </c>
      <c r="E213" s="3"/>
      <c r="F213" s="3"/>
      <c r="H213" s="11" t="s">
        <v>102</v>
      </c>
      <c r="I213" s="11"/>
      <c r="J213" s="1" t="s">
        <v>1046</v>
      </c>
      <c r="K213" s="3"/>
      <c r="L213" s="11"/>
      <c r="M213" s="11"/>
      <c r="N213" s="3" t="s">
        <v>1049</v>
      </c>
      <c r="O213" s="3" t="s">
        <v>1366</v>
      </c>
      <c r="P213" s="3" t="s">
        <v>454</v>
      </c>
      <c r="R213" s="13" t="s">
        <v>1369</v>
      </c>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row>
    <row r="214" spans="1:110" ht="14.4">
      <c r="A214" s="3"/>
      <c r="C214" s="11"/>
      <c r="D214" s="1" t="s">
        <v>528</v>
      </c>
      <c r="E214" s="3"/>
      <c r="F214" s="3"/>
      <c r="H214" s="11" t="s">
        <v>102</v>
      </c>
      <c r="I214" s="11"/>
      <c r="J214" s="1" t="s">
        <v>1046</v>
      </c>
      <c r="K214" s="3"/>
      <c r="L214" s="11"/>
      <c r="M214" s="11"/>
      <c r="N214" s="3" t="s">
        <v>1049</v>
      </c>
      <c r="O214" s="3" t="s">
        <v>1366</v>
      </c>
      <c r="P214" s="3" t="s">
        <v>454</v>
      </c>
      <c r="R214" s="13" t="s">
        <v>1370</v>
      </c>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row>
    <row r="215" spans="1:110" ht="14.4">
      <c r="A215" s="3"/>
      <c r="C215" s="11"/>
      <c r="D215" s="3" t="s">
        <v>769</v>
      </c>
      <c r="E215" s="3"/>
      <c r="F215" s="3"/>
      <c r="H215" s="11" t="s">
        <v>1045</v>
      </c>
      <c r="I215" s="1" t="s">
        <v>1046</v>
      </c>
      <c r="J215" s="6" t="s">
        <v>1371</v>
      </c>
      <c r="K215" s="1" t="s">
        <v>1046</v>
      </c>
      <c r="L215" s="1" t="s">
        <v>1046</v>
      </c>
      <c r="M215" s="11"/>
      <c r="N215" s="3" t="s">
        <v>1372</v>
      </c>
      <c r="O215" s="3" t="s">
        <v>1373</v>
      </c>
      <c r="P215" s="3" t="s">
        <v>455</v>
      </c>
      <c r="R215" s="13" t="s">
        <v>1374</v>
      </c>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row>
    <row r="216" spans="1:110" ht="14.4">
      <c r="A216" s="3"/>
      <c r="C216" s="11"/>
      <c r="D216" s="3" t="s">
        <v>772</v>
      </c>
      <c r="E216" s="3"/>
      <c r="F216" s="3"/>
      <c r="H216" s="11" t="s">
        <v>1045</v>
      </c>
      <c r="I216" s="1" t="s">
        <v>1046</v>
      </c>
      <c r="J216" s="6" t="s">
        <v>1375</v>
      </c>
      <c r="K216" s="1" t="s">
        <v>1046</v>
      </c>
      <c r="L216" s="1" t="s">
        <v>1046</v>
      </c>
      <c r="M216" s="11"/>
      <c r="N216" s="3" t="s">
        <v>1061</v>
      </c>
      <c r="O216" s="3" t="s">
        <v>1376</v>
      </c>
      <c r="P216" s="3" t="s">
        <v>456</v>
      </c>
      <c r="R216" s="13" t="s">
        <v>1377</v>
      </c>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row>
    <row r="217" spans="1:110" ht="14.4">
      <c r="A217" s="3"/>
      <c r="C217" s="11"/>
      <c r="D217" s="1" t="s">
        <v>475</v>
      </c>
      <c r="E217" s="3"/>
      <c r="F217" s="3"/>
      <c r="H217" s="11" t="s">
        <v>102</v>
      </c>
      <c r="I217" s="11" t="s">
        <v>1136</v>
      </c>
      <c r="J217" s="1" t="s">
        <v>1046</v>
      </c>
      <c r="K217" s="3"/>
      <c r="L217" s="11"/>
      <c r="M217" s="1" t="s">
        <v>1378</v>
      </c>
      <c r="N217" s="3" t="s">
        <v>1061</v>
      </c>
      <c r="O217" s="3" t="s">
        <v>1376</v>
      </c>
      <c r="P217" s="3" t="s">
        <v>456</v>
      </c>
      <c r="R217" s="13" t="s">
        <v>1379</v>
      </c>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row>
    <row r="218" spans="1:110" ht="14.4">
      <c r="A218" s="3"/>
      <c r="C218" s="11"/>
      <c r="D218" s="1" t="s">
        <v>487</v>
      </c>
      <c r="E218" s="3"/>
      <c r="F218" s="3"/>
      <c r="H218" s="11" t="s">
        <v>102</v>
      </c>
      <c r="I218" s="11"/>
      <c r="J218" s="1" t="s">
        <v>1046</v>
      </c>
      <c r="K218" s="3"/>
      <c r="L218" s="11"/>
      <c r="M218" s="11"/>
      <c r="N218" s="3" t="s">
        <v>1061</v>
      </c>
      <c r="O218" s="3" t="s">
        <v>1376</v>
      </c>
      <c r="P218" s="3" t="s">
        <v>456</v>
      </c>
      <c r="R218" s="13" t="s">
        <v>1380</v>
      </c>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row>
    <row r="219" spans="1:110" ht="14.4">
      <c r="A219" s="3"/>
      <c r="C219" s="11"/>
      <c r="D219" s="1" t="s">
        <v>617</v>
      </c>
      <c r="E219" s="3"/>
      <c r="F219" s="3"/>
      <c r="H219" s="11" t="s">
        <v>102</v>
      </c>
      <c r="I219" s="11"/>
      <c r="J219" s="1" t="s">
        <v>1046</v>
      </c>
      <c r="K219" s="3"/>
      <c r="L219" s="11"/>
      <c r="M219" s="11"/>
      <c r="N219" s="3" t="s">
        <v>1061</v>
      </c>
      <c r="O219" s="3" t="s">
        <v>1376</v>
      </c>
      <c r="P219" s="3" t="s">
        <v>456</v>
      </c>
      <c r="R219" s="13" t="s">
        <v>1381</v>
      </c>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row>
    <row r="220" spans="1:110" ht="14.4">
      <c r="A220" s="3"/>
      <c r="C220" s="11"/>
      <c r="D220" s="1" t="s">
        <v>545</v>
      </c>
      <c r="E220" s="3"/>
      <c r="F220" s="3"/>
      <c r="H220" s="11" t="s">
        <v>102</v>
      </c>
      <c r="I220" s="11"/>
      <c r="J220" s="1" t="s">
        <v>1046</v>
      </c>
      <c r="K220" s="3"/>
      <c r="L220" s="11"/>
      <c r="M220" s="11"/>
      <c r="N220" s="3" t="s">
        <v>1061</v>
      </c>
      <c r="O220" s="3" t="s">
        <v>1376</v>
      </c>
      <c r="P220" s="3" t="s">
        <v>456</v>
      </c>
      <c r="R220" s="13" t="s">
        <v>1382</v>
      </c>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row>
    <row r="221" spans="1:110" ht="14.4">
      <c r="A221" s="3"/>
      <c r="C221" s="11"/>
      <c r="D221" s="1" t="s">
        <v>551</v>
      </c>
      <c r="E221" s="3"/>
      <c r="F221" s="3"/>
      <c r="H221" s="11" t="s">
        <v>102</v>
      </c>
      <c r="I221" s="11"/>
      <c r="J221" s="1" t="s">
        <v>1046</v>
      </c>
      <c r="K221" s="3"/>
      <c r="L221" s="11"/>
      <c r="M221" s="11"/>
      <c r="N221" s="3" t="s">
        <v>1061</v>
      </c>
      <c r="O221" s="3" t="s">
        <v>1376</v>
      </c>
      <c r="P221" s="3" t="s">
        <v>456</v>
      </c>
      <c r="R221" s="13" t="s">
        <v>1383</v>
      </c>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row>
    <row r="222" spans="1:110" ht="14.4">
      <c r="A222" s="3"/>
      <c r="C222" s="11"/>
      <c r="D222" s="1" t="s">
        <v>497</v>
      </c>
      <c r="E222" s="3"/>
      <c r="F222" s="3"/>
      <c r="H222" s="11" t="s">
        <v>102</v>
      </c>
      <c r="I222" s="11"/>
      <c r="J222" s="1" t="s">
        <v>1046</v>
      </c>
      <c r="K222" s="3"/>
      <c r="L222" s="11"/>
      <c r="M222" s="11"/>
      <c r="N222" s="3" t="s">
        <v>1061</v>
      </c>
      <c r="O222" s="3" t="s">
        <v>1376</v>
      </c>
      <c r="P222" s="3" t="s">
        <v>456</v>
      </c>
      <c r="R222" s="13" t="s">
        <v>1384</v>
      </c>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row>
    <row r="223" spans="1:110" ht="14.4">
      <c r="A223" s="3"/>
      <c r="C223" s="11"/>
      <c r="D223" s="3" t="s">
        <v>765</v>
      </c>
      <c r="E223" s="3"/>
      <c r="F223" s="3"/>
      <c r="H223" s="11" t="s">
        <v>1045</v>
      </c>
      <c r="I223" s="1" t="s">
        <v>1046</v>
      </c>
      <c r="J223" s="1" t="s">
        <v>1385</v>
      </c>
      <c r="K223" s="1" t="s">
        <v>1046</v>
      </c>
      <c r="L223" s="1" t="s">
        <v>1046</v>
      </c>
      <c r="M223" s="11"/>
      <c r="N223" s="3" t="s">
        <v>1061</v>
      </c>
      <c r="O223" s="3" t="s">
        <v>1386</v>
      </c>
      <c r="P223" s="3" t="s">
        <v>457</v>
      </c>
      <c r="R223" s="13" t="s">
        <v>1387</v>
      </c>
      <c r="S223" s="3"/>
      <c r="T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row>
    <row r="224" spans="1:110" ht="14.4">
      <c r="A224" s="3"/>
      <c r="C224" s="11"/>
      <c r="D224" s="1" t="s">
        <v>835</v>
      </c>
      <c r="E224" s="3"/>
      <c r="F224" s="3"/>
      <c r="H224" s="11" t="s">
        <v>1045</v>
      </c>
      <c r="I224" s="1" t="s">
        <v>1046</v>
      </c>
      <c r="J224" s="1" t="s">
        <v>1388</v>
      </c>
      <c r="K224" s="1" t="s">
        <v>1046</v>
      </c>
      <c r="L224" s="1" t="s">
        <v>1046</v>
      </c>
      <c r="M224" s="11"/>
      <c r="N224" s="3" t="s">
        <v>1061</v>
      </c>
      <c r="O224" s="3" t="s">
        <v>1386</v>
      </c>
      <c r="P224" s="3" t="s">
        <v>457</v>
      </c>
      <c r="R224" s="13" t="s">
        <v>1389</v>
      </c>
      <c r="S224" s="3"/>
      <c r="T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row>
    <row r="225" spans="1:110" ht="14.4">
      <c r="A225" s="3"/>
      <c r="C225" s="11"/>
      <c r="D225" s="1" t="s">
        <v>739</v>
      </c>
      <c r="E225" s="3"/>
      <c r="F225" s="3"/>
      <c r="H225" s="11" t="s">
        <v>1045</v>
      </c>
      <c r="I225" s="1" t="s">
        <v>1046</v>
      </c>
      <c r="J225" s="1" t="s">
        <v>1390</v>
      </c>
      <c r="K225" s="1" t="s">
        <v>1046</v>
      </c>
      <c r="L225" s="1" t="s">
        <v>1046</v>
      </c>
      <c r="M225" s="11"/>
      <c r="N225" s="3" t="s">
        <v>1061</v>
      </c>
      <c r="O225" s="3" t="s">
        <v>1386</v>
      </c>
      <c r="P225" s="3" t="s">
        <v>457</v>
      </c>
      <c r="R225" s="13" t="s">
        <v>1391</v>
      </c>
      <c r="S225" s="3"/>
      <c r="T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row>
    <row r="226" spans="1:110" ht="14.4">
      <c r="A226" s="3"/>
      <c r="C226" s="11"/>
      <c r="D226" s="1" t="s">
        <v>469</v>
      </c>
      <c r="E226" s="1" t="s">
        <v>1172</v>
      </c>
      <c r="F226" s="3"/>
      <c r="H226" s="11" t="s">
        <v>102</v>
      </c>
      <c r="I226" s="11"/>
      <c r="J226" s="1" t="s">
        <v>1046</v>
      </c>
      <c r="K226" s="3"/>
      <c r="L226" s="11"/>
      <c r="M226" s="11"/>
      <c r="N226" s="3" t="s">
        <v>1061</v>
      </c>
      <c r="O226" s="3" t="s">
        <v>1386</v>
      </c>
      <c r="P226" s="3" t="s">
        <v>457</v>
      </c>
      <c r="R226" s="13" t="s">
        <v>1392</v>
      </c>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row>
    <row r="227" spans="1:110" ht="14.4">
      <c r="A227" s="3"/>
      <c r="C227" s="11"/>
      <c r="D227" s="1" t="s">
        <v>497</v>
      </c>
      <c r="E227" s="1" t="s">
        <v>1172</v>
      </c>
      <c r="F227" s="3"/>
      <c r="H227" s="11" t="s">
        <v>102</v>
      </c>
      <c r="I227" s="11"/>
      <c r="J227" s="1" t="s">
        <v>1046</v>
      </c>
      <c r="K227" s="3"/>
      <c r="L227" s="11"/>
      <c r="M227" s="11"/>
      <c r="N227" s="3" t="s">
        <v>1061</v>
      </c>
      <c r="O227" s="3" t="s">
        <v>1386</v>
      </c>
      <c r="P227" s="3" t="s">
        <v>457</v>
      </c>
      <c r="R227" s="13" t="s">
        <v>1393</v>
      </c>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row>
    <row r="228" spans="1:110" ht="14.4">
      <c r="A228" s="3"/>
      <c r="C228" s="11"/>
      <c r="D228" s="1" t="s">
        <v>564</v>
      </c>
      <c r="E228" s="1" t="s">
        <v>1394</v>
      </c>
      <c r="F228" s="3"/>
      <c r="H228" s="11" t="s">
        <v>102</v>
      </c>
      <c r="I228" s="11"/>
      <c r="J228" s="1" t="s">
        <v>1046</v>
      </c>
      <c r="K228" s="3"/>
      <c r="L228" s="11"/>
      <c r="M228" s="11"/>
      <c r="N228" s="3" t="s">
        <v>1061</v>
      </c>
      <c r="O228" s="3" t="s">
        <v>1386</v>
      </c>
      <c r="P228" s="3" t="s">
        <v>457</v>
      </c>
      <c r="R228" s="13" t="s">
        <v>1395</v>
      </c>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row>
    <row r="229" spans="1:110" ht="14.4">
      <c r="A229" s="3"/>
      <c r="C229" s="11"/>
      <c r="D229" s="1" t="s">
        <v>573</v>
      </c>
      <c r="E229" s="1" t="s">
        <v>1394</v>
      </c>
      <c r="F229" s="3"/>
      <c r="H229" s="11" t="s">
        <v>102</v>
      </c>
      <c r="I229" s="11"/>
      <c r="J229" s="1" t="s">
        <v>1046</v>
      </c>
      <c r="K229" s="3"/>
      <c r="L229" s="11"/>
      <c r="M229" s="11"/>
      <c r="N229" s="3" t="s">
        <v>1061</v>
      </c>
      <c r="O229" s="3" t="s">
        <v>1386</v>
      </c>
      <c r="P229" s="3" t="s">
        <v>457</v>
      </c>
      <c r="R229" s="13" t="s">
        <v>1396</v>
      </c>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row>
    <row r="230" spans="1:110" ht="14.4">
      <c r="A230" s="3"/>
      <c r="C230" s="11"/>
      <c r="D230" s="1" t="s">
        <v>580</v>
      </c>
      <c r="E230" s="1" t="s">
        <v>1394</v>
      </c>
      <c r="F230" s="3"/>
      <c r="H230" s="11" t="s">
        <v>102</v>
      </c>
      <c r="I230" s="11"/>
      <c r="J230" s="1" t="s">
        <v>1046</v>
      </c>
      <c r="K230" s="3"/>
      <c r="L230" s="11"/>
      <c r="M230" s="11"/>
      <c r="N230" s="3" t="s">
        <v>1061</v>
      </c>
      <c r="O230" s="3" t="s">
        <v>1386</v>
      </c>
      <c r="P230" s="3" t="s">
        <v>457</v>
      </c>
      <c r="R230" s="13" t="s">
        <v>1397</v>
      </c>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row>
    <row r="231" spans="1:110" ht="14.4">
      <c r="A231" s="3"/>
      <c r="C231" s="11"/>
      <c r="D231" s="1" t="s">
        <v>585</v>
      </c>
      <c r="E231" s="1" t="s">
        <v>1394</v>
      </c>
      <c r="F231" s="3"/>
      <c r="H231" s="11" t="s">
        <v>102</v>
      </c>
      <c r="I231" s="11"/>
      <c r="J231" s="1" t="s">
        <v>1046</v>
      </c>
      <c r="K231" s="3"/>
      <c r="L231" s="11"/>
      <c r="M231" s="11"/>
      <c r="N231" s="3" t="s">
        <v>1061</v>
      </c>
      <c r="O231" s="3" t="s">
        <v>1386</v>
      </c>
      <c r="P231" s="3" t="s">
        <v>457</v>
      </c>
      <c r="R231" s="13" t="s">
        <v>1398</v>
      </c>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row>
    <row r="232" spans="1:110" ht="14.4">
      <c r="A232" s="3"/>
      <c r="C232" s="11"/>
      <c r="D232" s="1" t="s">
        <v>582</v>
      </c>
      <c r="E232" s="1" t="s">
        <v>1394</v>
      </c>
      <c r="F232" s="3"/>
      <c r="H232" s="11" t="s">
        <v>102</v>
      </c>
      <c r="I232" s="11"/>
      <c r="J232" s="1" t="s">
        <v>1046</v>
      </c>
      <c r="K232" s="3"/>
      <c r="L232" s="11"/>
      <c r="M232" s="11"/>
      <c r="N232" s="3" t="s">
        <v>1061</v>
      </c>
      <c r="O232" s="3" t="s">
        <v>1386</v>
      </c>
      <c r="P232" s="3" t="s">
        <v>457</v>
      </c>
      <c r="R232" s="13" t="s">
        <v>1399</v>
      </c>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row>
    <row r="233" spans="1:110" ht="14.4">
      <c r="A233" s="3"/>
      <c r="C233" s="11"/>
      <c r="D233" s="1" t="s">
        <v>566</v>
      </c>
      <c r="E233" s="1" t="s">
        <v>1394</v>
      </c>
      <c r="F233" s="3"/>
      <c r="H233" s="11" t="s">
        <v>102</v>
      </c>
      <c r="I233" s="11"/>
      <c r="J233" s="1" t="s">
        <v>1046</v>
      </c>
      <c r="K233" s="3"/>
      <c r="L233" s="11"/>
      <c r="M233" s="11"/>
      <c r="N233" s="3" t="s">
        <v>1061</v>
      </c>
      <c r="O233" s="3" t="s">
        <v>1386</v>
      </c>
      <c r="P233" s="3" t="s">
        <v>457</v>
      </c>
      <c r="R233" s="13" t="s">
        <v>1400</v>
      </c>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row>
    <row r="234" spans="1:110" ht="14.4">
      <c r="A234" s="3"/>
      <c r="C234" s="11"/>
      <c r="D234" s="1" t="s">
        <v>523</v>
      </c>
      <c r="E234" s="1" t="s">
        <v>1401</v>
      </c>
      <c r="F234" s="3"/>
      <c r="H234" s="11" t="s">
        <v>102</v>
      </c>
      <c r="I234" s="11"/>
      <c r="J234" s="1" t="s">
        <v>1046</v>
      </c>
      <c r="K234" s="3"/>
      <c r="L234" s="11"/>
      <c r="M234" s="11"/>
      <c r="N234" s="3" t="s">
        <v>1061</v>
      </c>
      <c r="O234" s="3" t="s">
        <v>1386</v>
      </c>
      <c r="P234" s="3" t="s">
        <v>457</v>
      </c>
      <c r="R234" s="13" t="s">
        <v>1402</v>
      </c>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row>
    <row r="235" spans="1:110" ht="14.4">
      <c r="A235" s="3"/>
      <c r="C235" s="11"/>
      <c r="D235" s="1" t="s">
        <v>511</v>
      </c>
      <c r="E235" s="1" t="s">
        <v>1401</v>
      </c>
      <c r="F235" s="3"/>
      <c r="H235" s="11" t="s">
        <v>102</v>
      </c>
      <c r="I235" s="11"/>
      <c r="J235" s="1" t="s">
        <v>1046</v>
      </c>
      <c r="K235" s="3"/>
      <c r="L235" s="11"/>
      <c r="M235" s="11"/>
      <c r="N235" s="3" t="s">
        <v>1061</v>
      </c>
      <c r="O235" s="3" t="s">
        <v>1386</v>
      </c>
      <c r="P235" s="3" t="s">
        <v>457</v>
      </c>
      <c r="R235" s="13" t="s">
        <v>1403</v>
      </c>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row>
    <row r="236" spans="1:110" ht="14.4">
      <c r="A236" s="3"/>
      <c r="C236" s="11"/>
      <c r="D236" s="3" t="s">
        <v>474</v>
      </c>
      <c r="E236" s="3"/>
      <c r="F236" s="3"/>
      <c r="H236" s="11" t="s">
        <v>102</v>
      </c>
      <c r="I236" s="11" t="s">
        <v>1136</v>
      </c>
      <c r="J236" s="1" t="s">
        <v>1046</v>
      </c>
      <c r="K236" s="3"/>
      <c r="L236" s="11"/>
      <c r="M236" s="6" t="s">
        <v>1404</v>
      </c>
      <c r="N236" s="3" t="s">
        <v>1061</v>
      </c>
      <c r="O236" s="3" t="s">
        <v>1405</v>
      </c>
      <c r="P236" s="3" t="s">
        <v>458</v>
      </c>
      <c r="R236" s="13" t="s">
        <v>1406</v>
      </c>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row>
    <row r="237" spans="1:110" ht="14.4">
      <c r="A237" s="3"/>
      <c r="C237" s="11"/>
      <c r="D237" s="1" t="s">
        <v>461</v>
      </c>
      <c r="E237" s="3"/>
      <c r="F237" s="3"/>
      <c r="H237" s="11" t="s">
        <v>102</v>
      </c>
      <c r="I237" s="11" t="s">
        <v>1407</v>
      </c>
      <c r="J237" s="1" t="s">
        <v>1046</v>
      </c>
      <c r="K237" s="3"/>
      <c r="L237" s="11"/>
      <c r="M237" s="6" t="s">
        <v>1408</v>
      </c>
      <c r="N237" s="3" t="s">
        <v>1061</v>
      </c>
      <c r="O237" s="3" t="s">
        <v>1405</v>
      </c>
      <c r="P237" s="3" t="s">
        <v>458</v>
      </c>
      <c r="R237" s="13" t="s">
        <v>1409</v>
      </c>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row>
    <row r="238" spans="1:110" ht="14.4">
      <c r="A238" s="3"/>
      <c r="C238" s="11"/>
      <c r="D238" s="1" t="s">
        <v>511</v>
      </c>
      <c r="E238" s="3"/>
      <c r="F238" s="3"/>
      <c r="H238" s="11" t="s">
        <v>102</v>
      </c>
      <c r="I238" s="11"/>
      <c r="J238" s="1" t="s">
        <v>1046</v>
      </c>
      <c r="L238" s="11"/>
      <c r="M238" s="3" t="s">
        <v>1410</v>
      </c>
      <c r="N238" s="3" t="s">
        <v>1061</v>
      </c>
      <c r="O238" s="3" t="s">
        <v>1405</v>
      </c>
      <c r="P238" s="3" t="s">
        <v>458</v>
      </c>
      <c r="R238" s="13" t="s">
        <v>1411</v>
      </c>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row>
    <row r="239" spans="1:110" ht="14.4">
      <c r="A239" s="3"/>
      <c r="C239" s="11"/>
      <c r="D239" s="1" t="s">
        <v>522</v>
      </c>
      <c r="E239" s="3"/>
      <c r="F239" s="3"/>
      <c r="H239" s="11" t="s">
        <v>102</v>
      </c>
      <c r="I239" s="11"/>
      <c r="J239" s="1" t="s">
        <v>1046</v>
      </c>
      <c r="L239" s="11"/>
      <c r="M239" s="3" t="s">
        <v>1410</v>
      </c>
      <c r="N239" s="3" t="s">
        <v>1061</v>
      </c>
      <c r="O239" s="3" t="s">
        <v>1405</v>
      </c>
      <c r="P239" s="3" t="s">
        <v>458</v>
      </c>
      <c r="R239" s="1"/>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row>
    <row r="240" spans="1:110" ht="14.4">
      <c r="A240" s="3"/>
      <c r="C240" s="11"/>
      <c r="D240" s="1" t="s">
        <v>788</v>
      </c>
      <c r="E240" s="1" t="s">
        <v>1412</v>
      </c>
      <c r="F240" s="3"/>
      <c r="H240" s="11" t="s">
        <v>102</v>
      </c>
      <c r="I240" s="11"/>
      <c r="J240" s="1" t="s">
        <v>1046</v>
      </c>
      <c r="K240" s="3"/>
      <c r="L240" s="11"/>
      <c r="M240" s="6" t="s">
        <v>1413</v>
      </c>
      <c r="N240" s="3" t="s">
        <v>1061</v>
      </c>
      <c r="O240" s="3" t="s">
        <v>1405</v>
      </c>
      <c r="P240" s="3" t="s">
        <v>458</v>
      </c>
      <c r="R240" s="13" t="s">
        <v>1414</v>
      </c>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row>
    <row r="241" spans="1:110" ht="14.4">
      <c r="A241" s="3"/>
      <c r="C241" s="11"/>
      <c r="D241" s="1" t="s">
        <v>801</v>
      </c>
      <c r="E241" s="1" t="s">
        <v>1412</v>
      </c>
      <c r="F241" s="3"/>
      <c r="H241" s="11" t="s">
        <v>102</v>
      </c>
      <c r="I241" s="11"/>
      <c r="J241" s="1" t="s">
        <v>1046</v>
      </c>
      <c r="K241" s="3"/>
      <c r="L241" s="11"/>
      <c r="M241" s="6" t="s">
        <v>1413</v>
      </c>
      <c r="N241" s="3" t="s">
        <v>1061</v>
      </c>
      <c r="O241" s="3" t="s">
        <v>1405</v>
      </c>
      <c r="P241" s="3" t="s">
        <v>458</v>
      </c>
      <c r="R241" s="13" t="s">
        <v>1415</v>
      </c>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row>
    <row r="242" spans="1:110" ht="14.4">
      <c r="A242" s="3"/>
      <c r="C242" s="11"/>
      <c r="D242" s="1" t="s">
        <v>803</v>
      </c>
      <c r="E242" s="1" t="s">
        <v>1412</v>
      </c>
      <c r="F242" s="3"/>
      <c r="H242" s="11" t="s">
        <v>102</v>
      </c>
      <c r="I242" s="11"/>
      <c r="J242" s="1" t="s">
        <v>1046</v>
      </c>
      <c r="K242" s="3"/>
      <c r="L242" s="11"/>
      <c r="M242" s="6" t="s">
        <v>1413</v>
      </c>
      <c r="N242" s="3" t="s">
        <v>1061</v>
      </c>
      <c r="O242" s="3" t="s">
        <v>1405</v>
      </c>
      <c r="P242" s="3" t="s">
        <v>458</v>
      </c>
      <c r="R242" s="13" t="s">
        <v>1416</v>
      </c>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row>
    <row r="243" spans="1:110" ht="14.4">
      <c r="A243" s="3"/>
      <c r="C243" s="11"/>
      <c r="D243" s="1" t="s">
        <v>814</v>
      </c>
      <c r="E243" s="1" t="s">
        <v>1412</v>
      </c>
      <c r="F243" s="3"/>
      <c r="H243" s="11" t="s">
        <v>102</v>
      </c>
      <c r="I243" s="11"/>
      <c r="J243" s="1" t="s">
        <v>1046</v>
      </c>
      <c r="K243" s="3"/>
      <c r="L243" s="11"/>
      <c r="M243" s="6" t="s">
        <v>1413</v>
      </c>
      <c r="N243" s="3" t="s">
        <v>1061</v>
      </c>
      <c r="O243" s="3" t="s">
        <v>1405</v>
      </c>
      <c r="P243" s="3" t="s">
        <v>458</v>
      </c>
      <c r="R243" s="13" t="s">
        <v>1417</v>
      </c>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row>
    <row r="244" spans="1:110" ht="14.4">
      <c r="A244" s="3"/>
      <c r="C244" s="11"/>
      <c r="D244" s="1" t="s">
        <v>818</v>
      </c>
      <c r="E244" s="1" t="s">
        <v>1412</v>
      </c>
      <c r="F244" s="3"/>
      <c r="H244" s="11" t="s">
        <v>102</v>
      </c>
      <c r="I244" s="11"/>
      <c r="J244" s="1" t="s">
        <v>1046</v>
      </c>
      <c r="K244" s="3"/>
      <c r="L244" s="11"/>
      <c r="M244" s="6" t="s">
        <v>1413</v>
      </c>
      <c r="N244" s="3" t="s">
        <v>1061</v>
      </c>
      <c r="O244" s="3" t="s">
        <v>1405</v>
      </c>
      <c r="P244" s="3" t="s">
        <v>458</v>
      </c>
      <c r="R244" s="13" t="s">
        <v>1418</v>
      </c>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row>
    <row r="245" spans="1:110" ht="14.4">
      <c r="A245" s="3"/>
      <c r="C245" s="11"/>
      <c r="D245" s="3" t="s">
        <v>474</v>
      </c>
      <c r="E245" s="3"/>
      <c r="F245" s="3"/>
      <c r="H245" s="11" t="s">
        <v>102</v>
      </c>
      <c r="I245" s="11" t="s">
        <v>1136</v>
      </c>
      <c r="J245" s="1" t="s">
        <v>1046</v>
      </c>
      <c r="K245" s="3"/>
      <c r="L245" s="11"/>
      <c r="M245" s="11"/>
      <c r="N245" s="3" t="s">
        <v>1061</v>
      </c>
      <c r="O245" s="3" t="s">
        <v>1419</v>
      </c>
      <c r="P245" s="3" t="s">
        <v>459</v>
      </c>
      <c r="R245" s="13" t="s">
        <v>1420</v>
      </c>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row>
    <row r="246" spans="1:110" ht="14.4">
      <c r="A246" s="3"/>
      <c r="B246" s="3"/>
      <c r="C246" s="3"/>
      <c r="D246" s="1" t="s">
        <v>760</v>
      </c>
      <c r="E246" s="3"/>
      <c r="F246" s="3"/>
      <c r="G246" s="3"/>
      <c r="H246" s="11" t="s">
        <v>1045</v>
      </c>
      <c r="I246" s="1" t="s">
        <v>1046</v>
      </c>
      <c r="J246" s="6" t="s">
        <v>1421</v>
      </c>
      <c r="K246" s="1" t="s">
        <v>1046</v>
      </c>
      <c r="L246" s="1" t="s">
        <v>1046</v>
      </c>
      <c r="M246" s="3"/>
      <c r="N246" s="3" t="s">
        <v>1061</v>
      </c>
      <c r="O246" s="3" t="s">
        <v>1419</v>
      </c>
      <c r="P246" s="3" t="s">
        <v>459</v>
      </c>
      <c r="R246" s="13" t="s">
        <v>1422</v>
      </c>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row>
    <row r="247" spans="1:110" ht="14.4">
      <c r="A247" s="3"/>
      <c r="D247" s="1" t="s">
        <v>525</v>
      </c>
      <c r="H247" s="11" t="s">
        <v>102</v>
      </c>
      <c r="J247" s="1" t="s">
        <v>1046</v>
      </c>
      <c r="N247" s="3" t="s">
        <v>1061</v>
      </c>
      <c r="O247" s="3" t="s">
        <v>1419</v>
      </c>
      <c r="P247" s="3" t="s">
        <v>459</v>
      </c>
      <c r="R247" s="13" t="s">
        <v>1423</v>
      </c>
    </row>
    <row r="248" spans="1:110" ht="14.4">
      <c r="D248" s="1" t="s">
        <v>934</v>
      </c>
      <c r="H248" s="11" t="s">
        <v>1045</v>
      </c>
      <c r="I248" s="1" t="s">
        <v>1046</v>
      </c>
      <c r="J248" s="10" t="s">
        <v>1424</v>
      </c>
      <c r="K248" s="1" t="s">
        <v>1046</v>
      </c>
      <c r="L248" s="1" t="s">
        <v>1046</v>
      </c>
      <c r="N248" s="3" t="s">
        <v>1061</v>
      </c>
      <c r="O248" s="3" t="s">
        <v>1419</v>
      </c>
      <c r="P248" s="3" t="s">
        <v>459</v>
      </c>
      <c r="R248" s="13" t="s">
        <v>1425</v>
      </c>
    </row>
    <row r="249" spans="1:110" ht="14.4">
      <c r="A249" s="1" t="s">
        <v>239</v>
      </c>
      <c r="B249" s="1" t="s">
        <v>240</v>
      </c>
      <c r="C249" s="1" t="s">
        <v>240</v>
      </c>
      <c r="D249" s="1" t="s">
        <v>242</v>
      </c>
      <c r="E249" s="1" t="s">
        <v>242</v>
      </c>
      <c r="F249" s="1" t="s">
        <v>242</v>
      </c>
      <c r="G249" s="1" t="s">
        <v>243</v>
      </c>
      <c r="H249" s="1" t="s">
        <v>242</v>
      </c>
      <c r="I249" s="1" t="s">
        <v>242</v>
      </c>
      <c r="J249" s="1" t="s">
        <v>242</v>
      </c>
      <c r="K249" s="1" t="s">
        <v>242</v>
      </c>
      <c r="L249" s="1" t="s">
        <v>242</v>
      </c>
      <c r="M249" s="1" t="s">
        <v>242</v>
      </c>
      <c r="N249" s="1" t="s">
        <v>240</v>
      </c>
      <c r="O249" s="1" t="s">
        <v>243</v>
      </c>
      <c r="AT249" s="1" t="s">
        <v>239</v>
      </c>
      <c r="AU249" s="1" t="s">
        <v>240</v>
      </c>
      <c r="AV249" s="1" t="s">
        <v>240</v>
      </c>
      <c r="AW249" s="1" t="s">
        <v>242</v>
      </c>
      <c r="AX249" s="1" t="s">
        <v>242</v>
      </c>
      <c r="AY249" s="1" t="s">
        <v>242</v>
      </c>
      <c r="AZ249" s="1" t="s">
        <v>243</v>
      </c>
      <c r="BA249" s="1" t="s">
        <v>242</v>
      </c>
      <c r="BB249" s="1" t="s">
        <v>242</v>
      </c>
      <c r="BC249" s="1" t="s">
        <v>242</v>
      </c>
      <c r="BD249" s="1" t="s">
        <v>242</v>
      </c>
      <c r="BE249" s="1" t="s">
        <v>242</v>
      </c>
      <c r="BF249" s="1" t="s">
        <v>242</v>
      </c>
      <c r="BG249" s="1" t="s">
        <v>240</v>
      </c>
      <c r="BH249" s="1" t="s">
        <v>243</v>
      </c>
      <c r="DD249" s="3"/>
      <c r="DE249" s="3"/>
      <c r="DF249" s="3"/>
    </row>
    <row r="250" spans="1:110" ht="14.4">
      <c r="A250" s="1" t="s">
        <v>244</v>
      </c>
      <c r="B250" s="2">
        <v>43405</v>
      </c>
      <c r="C250" s="2">
        <v>43405</v>
      </c>
      <c r="D250" s="2">
        <v>43032</v>
      </c>
      <c r="E250" s="2">
        <v>42971</v>
      </c>
      <c r="F250" s="2">
        <v>42971</v>
      </c>
      <c r="G250" s="2">
        <v>43361</v>
      </c>
      <c r="H250" s="2">
        <v>43005</v>
      </c>
      <c r="I250" s="2">
        <v>43032</v>
      </c>
      <c r="J250" s="2">
        <v>43005</v>
      </c>
      <c r="K250" s="2">
        <v>43005</v>
      </c>
      <c r="L250" s="2">
        <v>43005</v>
      </c>
      <c r="M250" s="2">
        <v>43005</v>
      </c>
      <c r="N250" s="2">
        <v>43405</v>
      </c>
      <c r="O250" s="2">
        <v>43361</v>
      </c>
      <c r="AA250" s="2"/>
      <c r="AB250" s="2"/>
      <c r="AC250" s="2"/>
      <c r="AD250" s="2"/>
      <c r="AE250" s="2"/>
      <c r="AF250" s="2"/>
      <c r="AG250" s="2"/>
      <c r="AH250" s="2"/>
      <c r="AI250" s="2"/>
      <c r="AJ250" s="2"/>
      <c r="AK250" s="2"/>
      <c r="AL250" s="2"/>
      <c r="AM250" s="2"/>
      <c r="AN250" s="2"/>
      <c r="AO250" s="2"/>
      <c r="AP250" s="2"/>
      <c r="AQ250" s="2"/>
      <c r="AR250" s="2"/>
      <c r="AS250" s="2"/>
      <c r="AT250" s="1" t="s">
        <v>244</v>
      </c>
      <c r="AU250" s="2">
        <v>43405</v>
      </c>
      <c r="AV250" s="2">
        <v>43405</v>
      </c>
      <c r="AW250" s="2">
        <v>43032</v>
      </c>
      <c r="AX250" s="2">
        <v>42971</v>
      </c>
      <c r="AY250" s="2">
        <v>42971</v>
      </c>
      <c r="AZ250" s="2">
        <v>43361</v>
      </c>
      <c r="BA250" s="2">
        <v>43005</v>
      </c>
      <c r="BB250" s="2">
        <v>43032</v>
      </c>
      <c r="BC250" s="2">
        <v>43005</v>
      </c>
      <c r="BD250" s="2">
        <v>43005</v>
      </c>
      <c r="BE250" s="2">
        <v>43005</v>
      </c>
      <c r="BF250" s="2">
        <v>43005</v>
      </c>
      <c r="BG250" s="2">
        <v>43405</v>
      </c>
      <c r="BH250" s="2">
        <v>43361</v>
      </c>
      <c r="BQ250" s="2"/>
      <c r="BR250" s="2"/>
      <c r="BS250" s="2"/>
      <c r="BT250" s="2"/>
      <c r="BU250" s="2"/>
      <c r="BV250" s="2"/>
      <c r="BW250" s="2"/>
      <c r="BX250" s="2"/>
      <c r="BY250" s="2"/>
      <c r="BZ250" s="2"/>
      <c r="CA250" s="2"/>
      <c r="CB250" s="2"/>
      <c r="CC250" s="2"/>
      <c r="CD250" s="2"/>
      <c r="CE250" s="2"/>
      <c r="CF250" s="2"/>
      <c r="CG250" s="2"/>
      <c r="CH250" s="2"/>
      <c r="CI250" s="2"/>
      <c r="DD250" s="3"/>
      <c r="DE250" s="3"/>
      <c r="DF250" s="3"/>
    </row>
    <row r="251" spans="1:110" ht="14.4">
      <c r="A251" s="1" t="s">
        <v>245</v>
      </c>
      <c r="E251" s="2">
        <v>43054</v>
      </c>
      <c r="F251" s="2">
        <v>43054</v>
      </c>
      <c r="H251" s="2">
        <v>43054</v>
      </c>
      <c r="I251" s="2">
        <v>43054</v>
      </c>
      <c r="J251" s="2">
        <v>43054</v>
      </c>
      <c r="M251" s="2">
        <v>43249</v>
      </c>
      <c r="AA251" s="2"/>
      <c r="AC251" s="2"/>
      <c r="AF251" s="2"/>
      <c r="AN251" s="2"/>
      <c r="AO251" s="2"/>
      <c r="AP251" s="2"/>
      <c r="AQ251" s="2"/>
      <c r="AR251" s="2"/>
      <c r="AS251" s="2"/>
      <c r="AT251" s="1" t="s">
        <v>245</v>
      </c>
      <c r="AX251" s="2">
        <v>43054</v>
      </c>
      <c r="AY251" s="2">
        <v>43054</v>
      </c>
      <c r="BA251" s="2">
        <v>43054</v>
      </c>
      <c r="BB251" s="2">
        <v>43054</v>
      </c>
      <c r="BC251" s="2">
        <v>43054</v>
      </c>
      <c r="BF251" s="2">
        <v>43249</v>
      </c>
      <c r="BQ251" s="2"/>
      <c r="BS251" s="2"/>
      <c r="BV251" s="2"/>
      <c r="CD251" s="2"/>
      <c r="CE251" s="2"/>
      <c r="CF251" s="2"/>
      <c r="CG251" s="2"/>
      <c r="CH251" s="2"/>
      <c r="CI251" s="2"/>
      <c r="DD251" s="3"/>
      <c r="DE251" s="3"/>
      <c r="DF251" s="3"/>
    </row>
    <row r="252" spans="1:110" ht="14.4">
      <c r="A252" s="1" t="s">
        <v>246</v>
      </c>
      <c r="B252" s="1" t="s">
        <v>247</v>
      </c>
      <c r="C252" s="1" t="s">
        <v>318</v>
      </c>
      <c r="D252" s="1" t="s">
        <v>319</v>
      </c>
      <c r="E252" s="1" t="s">
        <v>320</v>
      </c>
      <c r="F252" s="1" t="s">
        <v>321</v>
      </c>
      <c r="G252" s="1" t="s">
        <v>322</v>
      </c>
      <c r="H252" s="1" t="s">
        <v>323</v>
      </c>
      <c r="I252" s="1" t="s">
        <v>324</v>
      </c>
      <c r="J252" s="1" t="s">
        <v>325</v>
      </c>
      <c r="K252" s="1" t="s">
        <v>326</v>
      </c>
      <c r="L252" s="1" t="s">
        <v>327</v>
      </c>
      <c r="M252" s="1" t="s">
        <v>328</v>
      </c>
      <c r="N252" s="1" t="s">
        <v>329</v>
      </c>
      <c r="O252" s="1" t="s">
        <v>330</v>
      </c>
      <c r="AT252" s="1" t="s">
        <v>246</v>
      </c>
      <c r="AU252" s="1" t="s">
        <v>247</v>
      </c>
      <c r="AV252" s="1" t="s">
        <v>318</v>
      </c>
      <c r="AW252" s="1" t="s">
        <v>319</v>
      </c>
      <c r="AX252" s="1" t="s">
        <v>320</v>
      </c>
      <c r="AY252" s="1" t="s">
        <v>321</v>
      </c>
      <c r="AZ252" s="1" t="s">
        <v>322</v>
      </c>
      <c r="BA252" s="1" t="s">
        <v>323</v>
      </c>
      <c r="BB252" s="1" t="s">
        <v>324</v>
      </c>
      <c r="BC252" s="1" t="s">
        <v>325</v>
      </c>
      <c r="BD252" s="1" t="s">
        <v>326</v>
      </c>
      <c r="BE252" s="1" t="s">
        <v>327</v>
      </c>
      <c r="BF252" s="1" t="s">
        <v>328</v>
      </c>
      <c r="BG252" s="1" t="s">
        <v>329</v>
      </c>
      <c r="BH252" s="1" t="s">
        <v>330</v>
      </c>
      <c r="DD252" s="3"/>
      <c r="DE252" s="3"/>
      <c r="DF252" s="3"/>
    </row>
    <row r="253" spans="1:110" ht="14.4">
      <c r="A253" s="1" t="s">
        <v>335</v>
      </c>
      <c r="B253" s="1" t="s">
        <v>336</v>
      </c>
      <c r="C253" s="1" t="s">
        <v>403</v>
      </c>
      <c r="D253" s="1" t="s">
        <v>404</v>
      </c>
      <c r="E253" s="1" t="s">
        <v>405</v>
      </c>
      <c r="F253" s="1" t="s">
        <v>406</v>
      </c>
      <c r="G253" s="1" t="s">
        <v>407</v>
      </c>
      <c r="H253" s="1" t="s">
        <v>408</v>
      </c>
      <c r="I253" s="1" t="s">
        <v>409</v>
      </c>
      <c r="J253" s="1" t="s">
        <v>410</v>
      </c>
      <c r="K253" s="1" t="s">
        <v>411</v>
      </c>
      <c r="L253" s="1" t="s">
        <v>412</v>
      </c>
      <c r="M253" s="1" t="s">
        <v>413</v>
      </c>
      <c r="N253" s="1" t="s">
        <v>414</v>
      </c>
      <c r="O253" s="1" t="s">
        <v>415</v>
      </c>
      <c r="AT253" s="1" t="s">
        <v>335</v>
      </c>
      <c r="AU253" s="1" t="s">
        <v>336</v>
      </c>
      <c r="AV253" s="1" t="s">
        <v>403</v>
      </c>
      <c r="AW253" s="1" t="s">
        <v>404</v>
      </c>
      <c r="AX253" s="1" t="s">
        <v>405</v>
      </c>
      <c r="AY253" s="1" t="s">
        <v>406</v>
      </c>
      <c r="AZ253" s="1" t="s">
        <v>407</v>
      </c>
      <c r="BA253" s="1" t="s">
        <v>408</v>
      </c>
      <c r="BB253" s="1" t="s">
        <v>409</v>
      </c>
      <c r="BC253" s="1" t="s">
        <v>410</v>
      </c>
      <c r="BD253" s="1" t="s">
        <v>411</v>
      </c>
      <c r="BE253" s="1" t="s">
        <v>412</v>
      </c>
      <c r="BF253" s="1" t="s">
        <v>413</v>
      </c>
      <c r="BG253" s="1" t="s">
        <v>414</v>
      </c>
      <c r="BH253" s="1" t="s">
        <v>415</v>
      </c>
      <c r="DD253" s="3"/>
      <c r="DE253" s="3"/>
      <c r="DF253" s="3"/>
    </row>
    <row r="254" spans="1:110" ht="13.2">
      <c r="J254" s="10"/>
    </row>
    <row r="255" spans="1:110" ht="13.2">
      <c r="J255" s="10"/>
    </row>
    <row r="256" spans="1:110" ht="13.2">
      <c r="J256" s="10"/>
    </row>
    <row r="257" spans="10:10" ht="13.2">
      <c r="J257" s="10"/>
    </row>
    <row r="258" spans="10:10" ht="13.2">
      <c r="J258" s="10"/>
    </row>
    <row r="259" spans="10:10" ht="13.2">
      <c r="J259" s="10"/>
    </row>
    <row r="260" spans="10:10" ht="13.2">
      <c r="J260" s="10"/>
    </row>
    <row r="261" spans="10:10" ht="13.2">
      <c r="J261" s="10"/>
    </row>
    <row r="262" spans="10:10" ht="13.2">
      <c r="J262" s="10"/>
    </row>
    <row r="263" spans="10:10" ht="13.2">
      <c r="J263" s="10"/>
    </row>
    <row r="264" spans="10:10" ht="13.2">
      <c r="J264" s="10"/>
    </row>
    <row r="265" spans="10:10" ht="13.2">
      <c r="J265" s="10"/>
    </row>
    <row r="266" spans="10:10" ht="13.2">
      <c r="J266" s="10"/>
    </row>
    <row r="267" spans="10:10" ht="13.2">
      <c r="J267" s="10"/>
    </row>
    <row r="268" spans="10:10" ht="13.2">
      <c r="J268" s="10"/>
    </row>
    <row r="269" spans="10:10" ht="13.2">
      <c r="J269" s="10"/>
    </row>
    <row r="270" spans="10:10" ht="13.2">
      <c r="J270" s="10"/>
    </row>
    <row r="271" spans="10:10" ht="13.2">
      <c r="J271" s="10"/>
    </row>
    <row r="272" spans="10:10" ht="13.2">
      <c r="J272" s="10"/>
    </row>
    <row r="273" spans="10:10" ht="13.2">
      <c r="J273" s="10"/>
    </row>
    <row r="274" spans="10:10" ht="13.2">
      <c r="J274" s="10"/>
    </row>
    <row r="275" spans="10:10" ht="13.2">
      <c r="J275" s="10"/>
    </row>
    <row r="276" spans="10:10" ht="13.2">
      <c r="J276" s="10"/>
    </row>
    <row r="277" spans="10:10" ht="13.2">
      <c r="J277" s="10"/>
    </row>
    <row r="278" spans="10:10" ht="13.2">
      <c r="J278" s="10"/>
    </row>
    <row r="279" spans="10:10" ht="13.2">
      <c r="J279" s="10"/>
    </row>
    <row r="280" spans="10:10" ht="13.2">
      <c r="J280" s="10"/>
    </row>
    <row r="281" spans="10:10" ht="13.2">
      <c r="J281" s="10"/>
    </row>
    <row r="282" spans="10:10" ht="13.2">
      <c r="J282" s="10"/>
    </row>
    <row r="283" spans="10:10" ht="13.2">
      <c r="J283" s="10"/>
    </row>
    <row r="284" spans="10:10" ht="13.2">
      <c r="J284" s="10"/>
    </row>
    <row r="285" spans="10:10" ht="13.2">
      <c r="J285" s="10"/>
    </row>
    <row r="286" spans="10:10" ht="13.2">
      <c r="J286" s="10"/>
    </row>
    <row r="287" spans="10:10" ht="13.2">
      <c r="J287" s="10"/>
    </row>
    <row r="288" spans="10:10" ht="13.2">
      <c r="J288" s="10"/>
    </row>
    <row r="289" spans="10:10" ht="13.2">
      <c r="J289" s="10"/>
    </row>
    <row r="290" spans="10:10" ht="13.2">
      <c r="J290" s="10"/>
    </row>
    <row r="291" spans="10:10" ht="13.2">
      <c r="J291" s="10"/>
    </row>
    <row r="292" spans="10:10" ht="13.2">
      <c r="J292" s="10"/>
    </row>
    <row r="293" spans="10:10" ht="13.2">
      <c r="J293" s="10"/>
    </row>
    <row r="294" spans="10:10" ht="13.2">
      <c r="J294" s="10"/>
    </row>
    <row r="295" spans="10:10" ht="13.2">
      <c r="J295" s="10"/>
    </row>
    <row r="296" spans="10:10" ht="13.2">
      <c r="J296" s="10"/>
    </row>
    <row r="297" spans="10:10" ht="13.2">
      <c r="J297" s="10"/>
    </row>
    <row r="298" spans="10:10" ht="13.2">
      <c r="J298" s="10"/>
    </row>
    <row r="299" spans="10:10" ht="13.2">
      <c r="J299" s="10"/>
    </row>
    <row r="300" spans="10:10" ht="13.2">
      <c r="J300" s="10"/>
    </row>
    <row r="301" spans="10:10" ht="13.2">
      <c r="J301" s="10"/>
    </row>
    <row r="302" spans="10:10" ht="13.2">
      <c r="J302" s="10"/>
    </row>
    <row r="303" spans="10:10" ht="13.2">
      <c r="J303" s="10"/>
    </row>
    <row r="304" spans="10:10" ht="13.2">
      <c r="J304" s="10"/>
    </row>
    <row r="305" spans="10:10" ht="13.2">
      <c r="J305" s="10"/>
    </row>
    <row r="306" spans="10:10" ht="13.2">
      <c r="J306" s="10"/>
    </row>
    <row r="307" spans="10:10" ht="13.2">
      <c r="J307" s="10"/>
    </row>
    <row r="308" spans="10:10" ht="13.2">
      <c r="J308" s="10"/>
    </row>
    <row r="309" spans="10:10" ht="13.2">
      <c r="J309" s="10"/>
    </row>
    <row r="310" spans="10:10" ht="13.2">
      <c r="J310" s="10"/>
    </row>
    <row r="311" spans="10:10" ht="13.2">
      <c r="J311" s="10"/>
    </row>
    <row r="312" spans="10:10" ht="13.2">
      <c r="J312" s="10"/>
    </row>
    <row r="313" spans="10:10" ht="13.2">
      <c r="J313" s="10"/>
    </row>
    <row r="314" spans="10:10" ht="13.2">
      <c r="J314" s="10"/>
    </row>
    <row r="315" spans="10:10" ht="13.2">
      <c r="J315" s="10"/>
    </row>
    <row r="316" spans="10:10" ht="13.2">
      <c r="J316" s="10"/>
    </row>
    <row r="317" spans="10:10" ht="13.2">
      <c r="J317" s="10"/>
    </row>
    <row r="318" spans="10:10" ht="13.2">
      <c r="J318" s="10"/>
    </row>
    <row r="319" spans="10:10" ht="13.2">
      <c r="J319" s="10"/>
    </row>
    <row r="320" spans="10:10" ht="13.2">
      <c r="J320" s="10"/>
    </row>
    <row r="321" spans="10:10" ht="13.2">
      <c r="J321" s="10"/>
    </row>
    <row r="322" spans="10:10" ht="13.2">
      <c r="J322" s="10"/>
    </row>
    <row r="323" spans="10:10" ht="13.2">
      <c r="J323" s="10"/>
    </row>
    <row r="324" spans="10:10" ht="13.2">
      <c r="J324" s="10"/>
    </row>
    <row r="325" spans="10:10" ht="13.2">
      <c r="J325" s="10"/>
    </row>
    <row r="326" spans="10:10" ht="13.2">
      <c r="J326" s="10"/>
    </row>
    <row r="327" spans="10:10" ht="13.2">
      <c r="J327" s="10"/>
    </row>
    <row r="328" spans="10:10" ht="13.2">
      <c r="J328" s="10"/>
    </row>
    <row r="329" spans="10:10" ht="13.2">
      <c r="J329" s="10"/>
    </row>
    <row r="330" spans="10:10" ht="13.2">
      <c r="J330" s="10"/>
    </row>
    <row r="331" spans="10:10" ht="13.2">
      <c r="J331" s="10"/>
    </row>
    <row r="332" spans="10:10" ht="13.2">
      <c r="J332" s="10"/>
    </row>
    <row r="333" spans="10:10" ht="13.2">
      <c r="J333" s="10"/>
    </row>
    <row r="334" spans="10:10" ht="13.2">
      <c r="J334" s="10"/>
    </row>
    <row r="335" spans="10:10" ht="13.2">
      <c r="J335" s="10"/>
    </row>
    <row r="336" spans="10:10" ht="13.2">
      <c r="J336" s="10"/>
    </row>
    <row r="337" spans="10:10" ht="13.2">
      <c r="J337" s="10"/>
    </row>
    <row r="338" spans="10:10" ht="13.2">
      <c r="J338" s="10"/>
    </row>
    <row r="339" spans="10:10" ht="13.2">
      <c r="J339" s="10"/>
    </row>
    <row r="340" spans="10:10" ht="13.2">
      <c r="J340" s="10"/>
    </row>
    <row r="341" spans="10:10" ht="13.2">
      <c r="J341" s="10"/>
    </row>
    <row r="342" spans="10:10" ht="13.2">
      <c r="J342" s="10"/>
    </row>
    <row r="343" spans="10:10" ht="13.2">
      <c r="J343" s="10"/>
    </row>
    <row r="344" spans="10:10" ht="13.2">
      <c r="J344" s="10"/>
    </row>
    <row r="345" spans="10:10" ht="13.2">
      <c r="J345" s="10"/>
    </row>
    <row r="346" spans="10:10" ht="13.2">
      <c r="J346" s="10"/>
    </row>
    <row r="347" spans="10:10" ht="13.2">
      <c r="J347" s="10"/>
    </row>
    <row r="348" spans="10:10" ht="13.2">
      <c r="J348" s="10"/>
    </row>
    <row r="349" spans="10:10" ht="13.2">
      <c r="J349" s="10"/>
    </row>
    <row r="350" spans="10:10" ht="13.2">
      <c r="J350" s="10"/>
    </row>
    <row r="351" spans="10:10" ht="13.2">
      <c r="J351" s="10"/>
    </row>
    <row r="352" spans="10:10" ht="13.2">
      <c r="J352" s="10"/>
    </row>
    <row r="353" spans="10:10" ht="13.2">
      <c r="J353" s="10"/>
    </row>
    <row r="354" spans="10:10" ht="13.2">
      <c r="J354" s="10"/>
    </row>
    <row r="355" spans="10:10" ht="13.2">
      <c r="J355" s="10"/>
    </row>
    <row r="356" spans="10:10" ht="13.2">
      <c r="J356" s="10"/>
    </row>
    <row r="357" spans="10:10" ht="13.2">
      <c r="J357" s="10"/>
    </row>
    <row r="358" spans="10:10" ht="13.2">
      <c r="J358" s="10"/>
    </row>
    <row r="359" spans="10:10" ht="13.2">
      <c r="J359" s="10"/>
    </row>
    <row r="360" spans="10:10" ht="13.2">
      <c r="J360" s="10"/>
    </row>
    <row r="361" spans="10:10" ht="13.2">
      <c r="J361" s="10"/>
    </row>
    <row r="362" spans="10:10" ht="13.2">
      <c r="J362" s="10"/>
    </row>
    <row r="363" spans="10:10" ht="13.2">
      <c r="J363" s="10"/>
    </row>
    <row r="364" spans="10:10" ht="13.2">
      <c r="J364" s="10"/>
    </row>
    <row r="365" spans="10:10" ht="13.2">
      <c r="J365" s="10"/>
    </row>
    <row r="366" spans="10:10" ht="13.2">
      <c r="J366" s="10"/>
    </row>
    <row r="367" spans="10:10" ht="13.2">
      <c r="J367" s="10"/>
    </row>
    <row r="368" spans="10:10" ht="13.2">
      <c r="J368" s="10"/>
    </row>
    <row r="369" spans="10:10" ht="13.2">
      <c r="J369" s="10"/>
    </row>
    <row r="370" spans="10:10" ht="13.2">
      <c r="J370" s="10"/>
    </row>
    <row r="371" spans="10:10" ht="13.2">
      <c r="J371" s="10"/>
    </row>
    <row r="372" spans="10:10" ht="13.2">
      <c r="J372" s="10"/>
    </row>
    <row r="373" spans="10:10" ht="13.2">
      <c r="J373" s="10"/>
    </row>
    <row r="374" spans="10:10" ht="13.2">
      <c r="J374" s="10"/>
    </row>
    <row r="375" spans="10:10" ht="13.2">
      <c r="J375" s="10"/>
    </row>
    <row r="376" spans="10:10" ht="13.2">
      <c r="J376" s="10"/>
    </row>
    <row r="377" spans="10:10" ht="13.2">
      <c r="J377" s="10"/>
    </row>
    <row r="378" spans="10:10" ht="13.2">
      <c r="J378" s="10"/>
    </row>
    <row r="379" spans="10:10" ht="13.2">
      <c r="J379" s="10"/>
    </row>
    <row r="380" spans="10:10" ht="13.2">
      <c r="J380" s="10"/>
    </row>
    <row r="381" spans="10:10" ht="13.2">
      <c r="J381" s="10"/>
    </row>
    <row r="382" spans="10:10" ht="13.2">
      <c r="J382" s="10"/>
    </row>
    <row r="383" spans="10:10" ht="13.2">
      <c r="J383" s="10"/>
    </row>
    <row r="384" spans="10:10" ht="13.2">
      <c r="J384" s="10"/>
    </row>
    <row r="385" spans="10:10" ht="13.2">
      <c r="J385" s="10"/>
    </row>
    <row r="386" spans="10:10" ht="13.2">
      <c r="J386" s="10"/>
    </row>
    <row r="387" spans="10:10" ht="13.2">
      <c r="J387" s="10"/>
    </row>
    <row r="388" spans="10:10" ht="13.2">
      <c r="J388" s="10"/>
    </row>
    <row r="389" spans="10:10" ht="13.2">
      <c r="J389" s="10"/>
    </row>
    <row r="390" spans="10:10" ht="13.2">
      <c r="J390" s="10"/>
    </row>
    <row r="391" spans="10:10" ht="13.2">
      <c r="J391" s="10"/>
    </row>
    <row r="392" spans="10:10" ht="13.2">
      <c r="J392" s="10"/>
    </row>
    <row r="393" spans="10:10" ht="13.2">
      <c r="J393" s="10"/>
    </row>
    <row r="394" spans="10:10" ht="13.2">
      <c r="J394" s="10"/>
    </row>
    <row r="395" spans="10:10" ht="13.2">
      <c r="J395" s="10"/>
    </row>
    <row r="396" spans="10:10" ht="13.2">
      <c r="J396" s="10"/>
    </row>
    <row r="397" spans="10:10" ht="13.2">
      <c r="J397" s="10"/>
    </row>
    <row r="398" spans="10:10" ht="13.2">
      <c r="J398" s="10"/>
    </row>
    <row r="399" spans="10:10" ht="13.2">
      <c r="J399" s="10"/>
    </row>
    <row r="400" spans="10:10" ht="13.2">
      <c r="J400" s="10"/>
    </row>
    <row r="401" spans="10:10" ht="13.2">
      <c r="J401" s="10"/>
    </row>
    <row r="402" spans="10:10" ht="13.2">
      <c r="J402" s="10"/>
    </row>
    <row r="403" spans="10:10" ht="13.2">
      <c r="J403" s="10"/>
    </row>
    <row r="404" spans="10:10" ht="13.2">
      <c r="J404" s="10"/>
    </row>
    <row r="405" spans="10:10" ht="13.2">
      <c r="J405" s="10"/>
    </row>
    <row r="406" spans="10:10" ht="13.2">
      <c r="J406" s="10"/>
    </row>
    <row r="407" spans="10:10" ht="13.2">
      <c r="J407" s="10"/>
    </row>
    <row r="408" spans="10:10" ht="13.2">
      <c r="J408" s="10"/>
    </row>
    <row r="409" spans="10:10" ht="13.2">
      <c r="J409" s="10"/>
    </row>
    <row r="410" spans="10:10" ht="13.2">
      <c r="J410" s="10"/>
    </row>
    <row r="411" spans="10:10" ht="13.2">
      <c r="J411" s="10"/>
    </row>
    <row r="412" spans="10:10" ht="13.2">
      <c r="J412" s="10"/>
    </row>
    <row r="413" spans="10:10" ht="13.2">
      <c r="J413" s="10"/>
    </row>
    <row r="414" spans="10:10" ht="13.2">
      <c r="J414" s="10"/>
    </row>
    <row r="415" spans="10:10" ht="13.2">
      <c r="J415" s="10"/>
    </row>
    <row r="416" spans="10:10" ht="13.2">
      <c r="J416" s="10"/>
    </row>
    <row r="417" spans="10:10" ht="13.2">
      <c r="J417" s="10"/>
    </row>
    <row r="418" spans="10:10" ht="13.2">
      <c r="J418" s="10"/>
    </row>
    <row r="419" spans="10:10" ht="13.2">
      <c r="J419" s="10"/>
    </row>
    <row r="420" spans="10:10" ht="13.2">
      <c r="J420" s="10"/>
    </row>
    <row r="421" spans="10:10" ht="13.2">
      <c r="J421" s="10"/>
    </row>
    <row r="422" spans="10:10" ht="13.2">
      <c r="J422" s="10"/>
    </row>
    <row r="423" spans="10:10" ht="13.2">
      <c r="J423" s="10"/>
    </row>
    <row r="424" spans="10:10" ht="13.2">
      <c r="J424" s="10"/>
    </row>
    <row r="425" spans="10:10" ht="13.2">
      <c r="J425" s="10"/>
    </row>
    <row r="426" spans="10:10" ht="13.2">
      <c r="J426" s="10"/>
    </row>
    <row r="427" spans="10:10" ht="13.2">
      <c r="J427" s="10"/>
    </row>
    <row r="428" spans="10:10" ht="13.2">
      <c r="J428" s="10"/>
    </row>
    <row r="429" spans="10:10" ht="13.2">
      <c r="J429" s="10"/>
    </row>
    <row r="430" spans="10:10" ht="13.2">
      <c r="J430" s="10"/>
    </row>
    <row r="431" spans="10:10" ht="13.2">
      <c r="J431" s="10"/>
    </row>
    <row r="432" spans="10:10" ht="13.2">
      <c r="J432" s="10"/>
    </row>
    <row r="433" spans="10:10" ht="13.2">
      <c r="J433" s="10"/>
    </row>
    <row r="434" spans="10:10" ht="13.2">
      <c r="J434" s="10"/>
    </row>
    <row r="435" spans="10:10" ht="13.2">
      <c r="J435" s="10"/>
    </row>
    <row r="436" spans="10:10" ht="13.2">
      <c r="J436" s="10"/>
    </row>
    <row r="437" spans="10:10" ht="13.2">
      <c r="J437" s="10"/>
    </row>
    <row r="438" spans="10:10" ht="13.2">
      <c r="J438" s="10"/>
    </row>
    <row r="439" spans="10:10" ht="13.2">
      <c r="J439" s="10"/>
    </row>
    <row r="440" spans="10:10" ht="13.2">
      <c r="J440" s="10"/>
    </row>
    <row r="441" spans="10:10" ht="13.2">
      <c r="J441" s="10"/>
    </row>
    <row r="442" spans="10:10" ht="13.2">
      <c r="J442" s="10"/>
    </row>
    <row r="443" spans="10:10" ht="13.2">
      <c r="J443" s="10"/>
    </row>
    <row r="444" spans="10:10" ht="13.2">
      <c r="J444" s="10"/>
    </row>
    <row r="445" spans="10:10" ht="13.2">
      <c r="J445" s="10"/>
    </row>
    <row r="446" spans="10:10" ht="13.2">
      <c r="J446" s="10"/>
    </row>
    <row r="447" spans="10:10" ht="13.2">
      <c r="J447" s="10"/>
    </row>
    <row r="448" spans="10:10" ht="13.2">
      <c r="J448" s="10"/>
    </row>
    <row r="449" spans="10:10" ht="13.2">
      <c r="J449" s="10"/>
    </row>
    <row r="450" spans="10:10" ht="13.2">
      <c r="J450" s="10"/>
    </row>
    <row r="451" spans="10:10" ht="13.2">
      <c r="J451" s="10"/>
    </row>
    <row r="452" spans="10:10" ht="13.2">
      <c r="J452" s="10"/>
    </row>
    <row r="453" spans="10:10" ht="13.2">
      <c r="J453" s="10"/>
    </row>
    <row r="454" spans="10:10" ht="13.2">
      <c r="J454" s="10"/>
    </row>
    <row r="455" spans="10:10" ht="13.2">
      <c r="J455" s="10"/>
    </row>
    <row r="456" spans="10:10" ht="13.2">
      <c r="J456" s="10"/>
    </row>
    <row r="457" spans="10:10" ht="13.2">
      <c r="J457" s="10"/>
    </row>
    <row r="458" spans="10:10" ht="13.2">
      <c r="J458" s="10"/>
    </row>
    <row r="459" spans="10:10" ht="13.2">
      <c r="J459" s="10"/>
    </row>
    <row r="460" spans="10:10" ht="13.2">
      <c r="J460" s="10"/>
    </row>
    <row r="461" spans="10:10" ht="13.2">
      <c r="J461" s="10"/>
    </row>
    <row r="462" spans="10:10" ht="13.2">
      <c r="J462" s="10"/>
    </row>
    <row r="463" spans="10:10" ht="13.2">
      <c r="J463" s="10"/>
    </row>
    <row r="464" spans="10:10" ht="13.2">
      <c r="J464" s="10"/>
    </row>
    <row r="465" spans="10:10" ht="13.2">
      <c r="J465" s="10"/>
    </row>
    <row r="466" spans="10:10" ht="13.2">
      <c r="J466" s="10"/>
    </row>
    <row r="467" spans="10:10" ht="13.2">
      <c r="J467" s="10"/>
    </row>
    <row r="468" spans="10:10" ht="13.2">
      <c r="J468" s="10"/>
    </row>
    <row r="469" spans="10:10" ht="13.2">
      <c r="J469" s="10"/>
    </row>
    <row r="470" spans="10:10" ht="13.2">
      <c r="J470" s="10"/>
    </row>
    <row r="471" spans="10:10" ht="13.2">
      <c r="J471" s="10"/>
    </row>
    <row r="472" spans="10:10" ht="13.2">
      <c r="J472" s="10"/>
    </row>
    <row r="473" spans="10:10" ht="13.2">
      <c r="J473" s="10"/>
    </row>
    <row r="474" spans="10:10" ht="13.2">
      <c r="J474" s="10"/>
    </row>
    <row r="475" spans="10:10" ht="13.2">
      <c r="J475" s="10"/>
    </row>
    <row r="476" spans="10:10" ht="13.2">
      <c r="J476" s="10"/>
    </row>
    <row r="477" spans="10:10" ht="13.2">
      <c r="J477" s="10"/>
    </row>
    <row r="478" spans="10:10" ht="13.2">
      <c r="J478" s="10"/>
    </row>
    <row r="479" spans="10:10" ht="13.2">
      <c r="J479" s="10"/>
    </row>
    <row r="480" spans="10:10" ht="13.2">
      <c r="J480" s="10"/>
    </row>
    <row r="481" spans="10:10" ht="13.2">
      <c r="J481" s="10"/>
    </row>
    <row r="482" spans="10:10" ht="13.2">
      <c r="J482" s="10"/>
    </row>
    <row r="483" spans="10:10" ht="13.2">
      <c r="J483" s="10"/>
    </row>
    <row r="484" spans="10:10" ht="13.2">
      <c r="J484" s="10"/>
    </row>
    <row r="485" spans="10:10" ht="13.2">
      <c r="J485" s="10"/>
    </row>
    <row r="486" spans="10:10" ht="13.2">
      <c r="J486" s="10"/>
    </row>
    <row r="487" spans="10:10" ht="13.2">
      <c r="J487" s="10"/>
    </row>
    <row r="488" spans="10:10" ht="13.2">
      <c r="J488" s="10"/>
    </row>
    <row r="489" spans="10:10" ht="13.2">
      <c r="J489" s="10"/>
    </row>
    <row r="490" spans="10:10" ht="13.2">
      <c r="J490" s="10"/>
    </row>
    <row r="491" spans="10:10" ht="13.2">
      <c r="J491" s="10"/>
    </row>
    <row r="492" spans="10:10" ht="13.2">
      <c r="J492" s="10"/>
    </row>
    <row r="493" spans="10:10" ht="13.2">
      <c r="J493" s="10"/>
    </row>
    <row r="494" spans="10:10" ht="13.2">
      <c r="J494" s="10"/>
    </row>
    <row r="495" spans="10:10" ht="13.2">
      <c r="J495" s="10"/>
    </row>
    <row r="496" spans="10:10" ht="13.2">
      <c r="J496" s="10"/>
    </row>
    <row r="497" spans="10:10" ht="13.2">
      <c r="J497" s="10"/>
    </row>
    <row r="498" spans="10:10" ht="13.2">
      <c r="J498" s="10"/>
    </row>
    <row r="499" spans="10:10" ht="13.2">
      <c r="J499" s="10"/>
    </row>
    <row r="500" spans="10:10" ht="13.2">
      <c r="J500" s="10"/>
    </row>
    <row r="501" spans="10:10" ht="13.2">
      <c r="J501" s="10"/>
    </row>
    <row r="502" spans="10:10" ht="13.2">
      <c r="J502" s="10"/>
    </row>
    <row r="503" spans="10:10" ht="13.2">
      <c r="J503" s="10"/>
    </row>
    <row r="504" spans="10:10" ht="13.2">
      <c r="J504" s="10"/>
    </row>
    <row r="505" spans="10:10" ht="13.2">
      <c r="J505" s="10"/>
    </row>
    <row r="506" spans="10:10" ht="13.2">
      <c r="J506" s="10"/>
    </row>
    <row r="507" spans="10:10" ht="13.2">
      <c r="J507" s="10"/>
    </row>
    <row r="508" spans="10:10" ht="13.2">
      <c r="J508" s="10"/>
    </row>
    <row r="509" spans="10:10" ht="13.2">
      <c r="J509" s="10"/>
    </row>
    <row r="510" spans="10:10" ht="13.2">
      <c r="J510" s="10"/>
    </row>
    <row r="511" spans="10:10" ht="13.2">
      <c r="J511" s="10"/>
    </row>
    <row r="512" spans="10:10" ht="13.2">
      <c r="J512" s="10"/>
    </row>
    <row r="513" spans="10:10" ht="13.2">
      <c r="J513" s="10"/>
    </row>
    <row r="514" spans="10:10" ht="13.2">
      <c r="J514" s="10"/>
    </row>
    <row r="515" spans="10:10" ht="13.2">
      <c r="J515" s="10"/>
    </row>
    <row r="516" spans="10:10" ht="13.2">
      <c r="J516" s="10"/>
    </row>
    <row r="517" spans="10:10" ht="13.2">
      <c r="J517" s="10"/>
    </row>
    <row r="518" spans="10:10" ht="13.2">
      <c r="J518" s="10"/>
    </row>
    <row r="519" spans="10:10" ht="13.2">
      <c r="J519" s="10"/>
    </row>
    <row r="520" spans="10:10" ht="13.2">
      <c r="J520" s="10"/>
    </row>
    <row r="521" spans="10:10" ht="13.2">
      <c r="J521" s="10"/>
    </row>
    <row r="522" spans="10:10" ht="13.2">
      <c r="J522" s="10"/>
    </row>
    <row r="523" spans="10:10" ht="13.2">
      <c r="J523" s="10"/>
    </row>
    <row r="524" spans="10:10" ht="13.2">
      <c r="J524" s="10"/>
    </row>
    <row r="525" spans="10:10" ht="13.2">
      <c r="J525" s="10"/>
    </row>
    <row r="526" spans="10:10" ht="13.2">
      <c r="J526" s="10"/>
    </row>
    <row r="527" spans="10:10" ht="13.2">
      <c r="J527" s="10"/>
    </row>
    <row r="528" spans="10:10" ht="13.2">
      <c r="J528" s="10"/>
    </row>
    <row r="529" spans="10:10" ht="13.2">
      <c r="J529" s="10"/>
    </row>
    <row r="530" spans="10:10" ht="13.2">
      <c r="J530" s="10"/>
    </row>
    <row r="531" spans="10:10" ht="13.2">
      <c r="J531" s="10"/>
    </row>
    <row r="532" spans="10:10" ht="13.2">
      <c r="J532" s="10"/>
    </row>
    <row r="533" spans="10:10" ht="13.2">
      <c r="J533" s="10"/>
    </row>
    <row r="534" spans="10:10" ht="13.2">
      <c r="J534" s="10"/>
    </row>
    <row r="535" spans="10:10" ht="13.2">
      <c r="J535" s="10"/>
    </row>
    <row r="536" spans="10:10" ht="13.2">
      <c r="J536" s="10"/>
    </row>
    <row r="537" spans="10:10" ht="13.2">
      <c r="J537" s="10"/>
    </row>
    <row r="538" spans="10:10" ht="13.2">
      <c r="J538" s="10"/>
    </row>
    <row r="539" spans="10:10" ht="13.2">
      <c r="J539" s="10"/>
    </row>
    <row r="540" spans="10:10" ht="13.2">
      <c r="J540" s="10"/>
    </row>
    <row r="541" spans="10:10" ht="13.2">
      <c r="J541" s="10"/>
    </row>
    <row r="542" spans="10:10" ht="13.2">
      <c r="J542" s="10"/>
    </row>
    <row r="543" spans="10:10" ht="13.2">
      <c r="J543" s="10"/>
    </row>
    <row r="544" spans="10:10" ht="13.2">
      <c r="J544" s="10"/>
    </row>
    <row r="545" spans="10:10" ht="13.2">
      <c r="J545" s="10"/>
    </row>
    <row r="546" spans="10:10" ht="13.2">
      <c r="J546" s="10"/>
    </row>
    <row r="547" spans="10:10" ht="13.2">
      <c r="J547" s="10"/>
    </row>
    <row r="548" spans="10:10" ht="13.2">
      <c r="J548" s="10"/>
    </row>
    <row r="549" spans="10:10" ht="13.2">
      <c r="J549" s="10"/>
    </row>
    <row r="550" spans="10:10" ht="13.2">
      <c r="J550" s="10"/>
    </row>
    <row r="551" spans="10:10" ht="13.2">
      <c r="J551" s="10"/>
    </row>
    <row r="552" spans="10:10" ht="13.2">
      <c r="J552" s="10"/>
    </row>
    <row r="553" spans="10:10" ht="13.2">
      <c r="J553" s="10"/>
    </row>
    <row r="554" spans="10:10" ht="13.2">
      <c r="J554" s="10"/>
    </row>
    <row r="555" spans="10:10" ht="13.2">
      <c r="J555" s="10"/>
    </row>
    <row r="556" spans="10:10" ht="13.2">
      <c r="J556" s="10"/>
    </row>
    <row r="557" spans="10:10" ht="13.2">
      <c r="J557" s="10"/>
    </row>
    <row r="558" spans="10:10" ht="13.2">
      <c r="J558" s="10"/>
    </row>
    <row r="559" spans="10:10" ht="13.2">
      <c r="J559" s="10"/>
    </row>
    <row r="560" spans="10:10" ht="13.2">
      <c r="J560" s="10"/>
    </row>
    <row r="561" spans="10:10" ht="13.2">
      <c r="J561" s="10"/>
    </row>
    <row r="562" spans="10:10" ht="13.2">
      <c r="J562" s="10"/>
    </row>
    <row r="563" spans="10:10" ht="13.2">
      <c r="J563" s="10"/>
    </row>
    <row r="564" spans="10:10" ht="13.2">
      <c r="J564" s="10"/>
    </row>
    <row r="565" spans="10:10" ht="13.2">
      <c r="J565" s="10"/>
    </row>
    <row r="566" spans="10:10" ht="13.2">
      <c r="J566" s="10"/>
    </row>
    <row r="567" spans="10:10" ht="13.2">
      <c r="J567" s="10"/>
    </row>
    <row r="568" spans="10:10" ht="13.2">
      <c r="J568" s="10"/>
    </row>
    <row r="569" spans="10:10" ht="13.2">
      <c r="J569" s="10"/>
    </row>
    <row r="570" spans="10:10" ht="13.2">
      <c r="J570" s="10"/>
    </row>
    <row r="571" spans="10:10" ht="13.2">
      <c r="J571" s="10"/>
    </row>
    <row r="572" spans="10:10" ht="13.2">
      <c r="J572" s="10"/>
    </row>
    <row r="573" spans="10:10" ht="13.2">
      <c r="J573" s="10"/>
    </row>
    <row r="574" spans="10:10" ht="13.2">
      <c r="J574" s="10"/>
    </row>
    <row r="575" spans="10:10" ht="13.2">
      <c r="J575" s="10"/>
    </row>
    <row r="576" spans="10:10" ht="13.2">
      <c r="J576" s="10"/>
    </row>
    <row r="577" spans="10:10" ht="13.2">
      <c r="J577" s="10"/>
    </row>
    <row r="578" spans="10:10" ht="13.2">
      <c r="J578" s="10"/>
    </row>
    <row r="579" spans="10:10" ht="13.2">
      <c r="J579" s="10"/>
    </row>
    <row r="580" spans="10:10" ht="13.2">
      <c r="J580" s="10"/>
    </row>
    <row r="581" spans="10:10" ht="13.2">
      <c r="J581" s="10"/>
    </row>
    <row r="582" spans="10:10" ht="13.2">
      <c r="J582" s="10"/>
    </row>
    <row r="583" spans="10:10" ht="13.2">
      <c r="J583" s="10"/>
    </row>
    <row r="584" spans="10:10" ht="13.2">
      <c r="J584" s="10"/>
    </row>
    <row r="585" spans="10:10" ht="13.2">
      <c r="J585" s="10"/>
    </row>
    <row r="586" spans="10:10" ht="13.2">
      <c r="J586" s="10"/>
    </row>
    <row r="587" spans="10:10" ht="13.2">
      <c r="J587" s="10"/>
    </row>
    <row r="588" spans="10:10" ht="13.2">
      <c r="J588" s="10"/>
    </row>
    <row r="589" spans="10:10" ht="13.2">
      <c r="J589" s="10"/>
    </row>
    <row r="590" spans="10:10" ht="13.2">
      <c r="J590" s="10"/>
    </row>
    <row r="591" spans="10:10" ht="13.2">
      <c r="J591" s="10"/>
    </row>
    <row r="592" spans="10:10" ht="13.2">
      <c r="J592" s="10"/>
    </row>
    <row r="593" spans="10:10" ht="13.2">
      <c r="J593" s="10"/>
    </row>
    <row r="594" spans="10:10" ht="13.2">
      <c r="J594" s="10"/>
    </row>
    <row r="595" spans="10:10" ht="13.2">
      <c r="J595" s="10"/>
    </row>
    <row r="596" spans="10:10" ht="13.2">
      <c r="J596" s="10"/>
    </row>
    <row r="597" spans="10:10" ht="13.2">
      <c r="J597" s="10"/>
    </row>
    <row r="598" spans="10:10" ht="13.2">
      <c r="J598" s="10"/>
    </row>
    <row r="599" spans="10:10" ht="13.2">
      <c r="J599" s="10"/>
    </row>
    <row r="600" spans="10:10" ht="13.2">
      <c r="J600" s="10"/>
    </row>
    <row r="601" spans="10:10" ht="13.2">
      <c r="J601" s="10"/>
    </row>
    <row r="602" spans="10:10" ht="13.2">
      <c r="J602" s="10"/>
    </row>
    <row r="603" spans="10:10" ht="13.2">
      <c r="J603" s="10"/>
    </row>
    <row r="604" spans="10:10" ht="13.2">
      <c r="J604" s="10"/>
    </row>
    <row r="605" spans="10:10" ht="13.2">
      <c r="J605" s="10"/>
    </row>
    <row r="606" spans="10:10" ht="13.2">
      <c r="J606" s="10"/>
    </row>
    <row r="607" spans="10:10" ht="13.2">
      <c r="J607" s="10"/>
    </row>
    <row r="608" spans="10:10" ht="13.2">
      <c r="J608" s="10"/>
    </row>
    <row r="609" spans="10:10" ht="13.2">
      <c r="J609" s="10"/>
    </row>
    <row r="610" spans="10:10" ht="13.2">
      <c r="J610" s="10"/>
    </row>
    <row r="611" spans="10:10" ht="13.2">
      <c r="J611" s="10"/>
    </row>
    <row r="612" spans="10:10" ht="13.2">
      <c r="J612" s="10"/>
    </row>
    <row r="613" spans="10:10" ht="13.2">
      <c r="J613" s="10"/>
    </row>
    <row r="614" spans="10:10" ht="13.2">
      <c r="J614" s="10"/>
    </row>
    <row r="615" spans="10:10" ht="13.2">
      <c r="J615" s="10"/>
    </row>
    <row r="616" spans="10:10" ht="13.2">
      <c r="J616" s="10"/>
    </row>
    <row r="617" spans="10:10" ht="13.2">
      <c r="J617" s="10"/>
    </row>
    <row r="618" spans="10:10" ht="13.2">
      <c r="J618" s="10"/>
    </row>
    <row r="619" spans="10:10" ht="13.2">
      <c r="J619" s="10"/>
    </row>
    <row r="620" spans="10:10" ht="13.2">
      <c r="J620" s="10"/>
    </row>
    <row r="621" spans="10:10" ht="13.2">
      <c r="J621" s="10"/>
    </row>
    <row r="622" spans="10:10" ht="13.2">
      <c r="J622" s="10"/>
    </row>
    <row r="623" spans="10:10" ht="13.2">
      <c r="J623" s="10"/>
    </row>
    <row r="624" spans="10:10" ht="13.2">
      <c r="J624" s="10"/>
    </row>
    <row r="625" spans="10:10" ht="13.2">
      <c r="J625" s="10"/>
    </row>
    <row r="626" spans="10:10" ht="13.2">
      <c r="J626" s="10"/>
    </row>
    <row r="627" spans="10:10" ht="13.2">
      <c r="J627" s="10"/>
    </row>
    <row r="628" spans="10:10" ht="13.2">
      <c r="J628" s="10"/>
    </row>
    <row r="629" spans="10:10" ht="13.2">
      <c r="J629" s="10"/>
    </row>
    <row r="630" spans="10:10" ht="13.2">
      <c r="J630" s="10"/>
    </row>
    <row r="631" spans="10:10" ht="13.2">
      <c r="J631" s="10"/>
    </row>
    <row r="632" spans="10:10" ht="13.2">
      <c r="J632" s="10"/>
    </row>
    <row r="633" spans="10:10" ht="13.2">
      <c r="J633" s="10"/>
    </row>
    <row r="634" spans="10:10" ht="13.2">
      <c r="J634" s="10"/>
    </row>
    <row r="635" spans="10:10" ht="13.2">
      <c r="J635" s="10"/>
    </row>
    <row r="636" spans="10:10" ht="13.2">
      <c r="J636" s="10"/>
    </row>
    <row r="637" spans="10:10" ht="13.2">
      <c r="J637" s="10"/>
    </row>
    <row r="638" spans="10:10" ht="13.2">
      <c r="J638" s="10"/>
    </row>
    <row r="639" spans="10:10" ht="13.2">
      <c r="J639" s="10"/>
    </row>
    <row r="640" spans="10:10" ht="13.2">
      <c r="J640" s="10"/>
    </row>
    <row r="641" spans="10:10" ht="13.2">
      <c r="J641" s="10"/>
    </row>
    <row r="642" spans="10:10" ht="13.2">
      <c r="J642" s="10"/>
    </row>
    <row r="643" spans="10:10" ht="13.2">
      <c r="J643" s="10"/>
    </row>
    <row r="644" spans="10:10" ht="13.2">
      <c r="J644" s="10"/>
    </row>
    <row r="645" spans="10:10" ht="13.2">
      <c r="J645" s="10"/>
    </row>
    <row r="646" spans="10:10" ht="13.2">
      <c r="J646" s="10"/>
    </row>
    <row r="647" spans="10:10" ht="13.2">
      <c r="J647" s="10"/>
    </row>
    <row r="648" spans="10:10" ht="13.2">
      <c r="J648" s="10"/>
    </row>
    <row r="649" spans="10:10" ht="13.2">
      <c r="J649" s="10"/>
    </row>
    <row r="650" spans="10:10" ht="13.2">
      <c r="J650" s="10"/>
    </row>
    <row r="651" spans="10:10" ht="13.2">
      <c r="J651" s="10"/>
    </row>
    <row r="652" spans="10:10" ht="13.2">
      <c r="J652" s="10"/>
    </row>
    <row r="653" spans="10:10" ht="13.2">
      <c r="J653" s="10"/>
    </row>
    <row r="654" spans="10:10" ht="13.2">
      <c r="J654" s="10"/>
    </row>
    <row r="655" spans="10:10" ht="13.2">
      <c r="J655" s="10"/>
    </row>
    <row r="656" spans="10:10" ht="13.2">
      <c r="J656" s="10"/>
    </row>
    <row r="657" spans="10:10" ht="13.2">
      <c r="J657" s="10"/>
    </row>
    <row r="658" spans="10:10" ht="13.2">
      <c r="J658" s="10"/>
    </row>
    <row r="659" spans="10:10" ht="13.2">
      <c r="J659" s="10"/>
    </row>
    <row r="660" spans="10:10" ht="13.2">
      <c r="J660" s="10"/>
    </row>
    <row r="661" spans="10:10" ht="13.2">
      <c r="J661" s="10"/>
    </row>
    <row r="662" spans="10:10" ht="13.2">
      <c r="J662" s="10"/>
    </row>
    <row r="663" spans="10:10" ht="13.2">
      <c r="J663" s="10"/>
    </row>
    <row r="664" spans="10:10" ht="13.2">
      <c r="J664" s="10"/>
    </row>
    <row r="665" spans="10:10" ht="13.2">
      <c r="J665" s="10"/>
    </row>
    <row r="666" spans="10:10" ht="13.2">
      <c r="J666" s="10"/>
    </row>
    <row r="667" spans="10:10" ht="13.2">
      <c r="J667" s="10"/>
    </row>
    <row r="668" spans="10:10" ht="13.2">
      <c r="J668" s="10"/>
    </row>
    <row r="669" spans="10:10" ht="13.2">
      <c r="J669" s="10"/>
    </row>
    <row r="670" spans="10:10" ht="13.2">
      <c r="J670" s="10"/>
    </row>
    <row r="671" spans="10:10" ht="13.2">
      <c r="J671" s="10"/>
    </row>
    <row r="672" spans="10:10" ht="13.2">
      <c r="J672" s="10"/>
    </row>
    <row r="673" spans="10:10" ht="13.2">
      <c r="J673" s="10"/>
    </row>
    <row r="674" spans="10:10" ht="13.2">
      <c r="J674" s="10"/>
    </row>
    <row r="675" spans="10:10" ht="13.2">
      <c r="J675" s="10"/>
    </row>
    <row r="676" spans="10:10" ht="13.2">
      <c r="J676" s="10"/>
    </row>
    <row r="677" spans="10:10" ht="13.2">
      <c r="J677" s="10"/>
    </row>
    <row r="678" spans="10:10" ht="13.2">
      <c r="J678" s="10"/>
    </row>
    <row r="679" spans="10:10" ht="13.2">
      <c r="J679" s="10"/>
    </row>
    <row r="680" spans="10:10" ht="13.2">
      <c r="J680" s="10"/>
    </row>
    <row r="681" spans="10:10" ht="13.2">
      <c r="J681" s="10"/>
    </row>
    <row r="682" spans="10:10" ht="13.2">
      <c r="J682" s="10"/>
    </row>
    <row r="683" spans="10:10" ht="13.2">
      <c r="J683" s="10"/>
    </row>
    <row r="684" spans="10:10" ht="13.2">
      <c r="J684" s="10"/>
    </row>
    <row r="685" spans="10:10" ht="13.2">
      <c r="J685" s="10"/>
    </row>
    <row r="686" spans="10:10" ht="13.2">
      <c r="J686" s="10"/>
    </row>
    <row r="687" spans="10:10" ht="13.2">
      <c r="J687" s="10"/>
    </row>
    <row r="688" spans="10:10" ht="13.2">
      <c r="J688" s="10"/>
    </row>
    <row r="689" spans="10:10" ht="13.2">
      <c r="J689" s="10"/>
    </row>
    <row r="690" spans="10:10" ht="13.2">
      <c r="J690" s="10"/>
    </row>
    <row r="691" spans="10:10" ht="13.2">
      <c r="J691" s="10"/>
    </row>
    <row r="692" spans="10:10" ht="13.2">
      <c r="J692" s="10"/>
    </row>
    <row r="693" spans="10:10" ht="13.2">
      <c r="J693" s="10"/>
    </row>
    <row r="694" spans="10:10" ht="13.2">
      <c r="J694" s="10"/>
    </row>
    <row r="695" spans="10:10" ht="13.2">
      <c r="J695" s="10"/>
    </row>
    <row r="696" spans="10:10" ht="13.2">
      <c r="J696" s="10"/>
    </row>
    <row r="697" spans="10:10" ht="13.2">
      <c r="J697" s="10"/>
    </row>
    <row r="698" spans="10:10" ht="13.2">
      <c r="J698" s="10"/>
    </row>
    <row r="699" spans="10:10" ht="13.2">
      <c r="J699" s="10"/>
    </row>
    <row r="700" spans="10:10" ht="13.2">
      <c r="J700" s="10"/>
    </row>
    <row r="701" spans="10:10" ht="13.2">
      <c r="J701" s="10"/>
    </row>
    <row r="702" spans="10:10" ht="13.2">
      <c r="J702" s="10"/>
    </row>
    <row r="703" spans="10:10" ht="13.2">
      <c r="J703" s="10"/>
    </row>
    <row r="704" spans="10:10" ht="13.2">
      <c r="J704" s="10"/>
    </row>
    <row r="705" spans="10:10" ht="13.2">
      <c r="J705" s="10"/>
    </row>
    <row r="706" spans="10:10" ht="13.2">
      <c r="J706" s="10"/>
    </row>
    <row r="707" spans="10:10" ht="13.2">
      <c r="J707" s="10"/>
    </row>
    <row r="708" spans="10:10" ht="13.2">
      <c r="J708" s="10"/>
    </row>
    <row r="709" spans="10:10" ht="13.2">
      <c r="J709" s="10"/>
    </row>
    <row r="710" spans="10:10" ht="13.2">
      <c r="J710" s="10"/>
    </row>
    <row r="711" spans="10:10" ht="13.2">
      <c r="J711" s="10"/>
    </row>
    <row r="712" spans="10:10" ht="13.2">
      <c r="J712" s="10"/>
    </row>
    <row r="713" spans="10:10" ht="13.2">
      <c r="J713" s="10"/>
    </row>
    <row r="714" spans="10:10" ht="13.2">
      <c r="J714" s="10"/>
    </row>
    <row r="715" spans="10:10" ht="13.2">
      <c r="J715" s="10"/>
    </row>
    <row r="716" spans="10:10" ht="13.2">
      <c r="J716" s="10"/>
    </row>
    <row r="717" spans="10:10" ht="13.2">
      <c r="J717" s="10"/>
    </row>
    <row r="718" spans="10:10" ht="13.2">
      <c r="J718" s="10"/>
    </row>
    <row r="719" spans="10:10" ht="13.2">
      <c r="J719" s="10"/>
    </row>
    <row r="720" spans="10:10" ht="13.2">
      <c r="J720" s="10"/>
    </row>
    <row r="721" spans="10:10" ht="13.2">
      <c r="J721" s="10"/>
    </row>
    <row r="722" spans="10:10" ht="13.2">
      <c r="J722" s="10"/>
    </row>
    <row r="723" spans="10:10" ht="13.2">
      <c r="J723" s="10"/>
    </row>
    <row r="724" spans="10:10" ht="13.2">
      <c r="J724" s="10"/>
    </row>
    <row r="725" spans="10:10" ht="13.2">
      <c r="J725" s="10"/>
    </row>
    <row r="726" spans="10:10" ht="13.2">
      <c r="J726" s="10"/>
    </row>
    <row r="727" spans="10:10" ht="13.2">
      <c r="J727" s="10"/>
    </row>
    <row r="728" spans="10:10" ht="13.2">
      <c r="J728" s="10"/>
    </row>
    <row r="729" spans="10:10" ht="13.2">
      <c r="J729" s="10"/>
    </row>
    <row r="730" spans="10:10" ht="13.2">
      <c r="J730" s="10"/>
    </row>
    <row r="731" spans="10:10" ht="13.2">
      <c r="J731" s="10"/>
    </row>
    <row r="732" spans="10:10" ht="13.2">
      <c r="J732" s="10"/>
    </row>
    <row r="733" spans="10:10" ht="13.2">
      <c r="J733" s="10"/>
    </row>
    <row r="734" spans="10:10" ht="13.2">
      <c r="J734" s="10"/>
    </row>
    <row r="735" spans="10:10" ht="13.2">
      <c r="J735" s="10"/>
    </row>
    <row r="736" spans="10:10" ht="13.2">
      <c r="J736" s="10"/>
    </row>
    <row r="737" spans="10:10" ht="13.2">
      <c r="J737" s="10"/>
    </row>
    <row r="738" spans="10:10" ht="13.2">
      <c r="J738" s="10"/>
    </row>
    <row r="739" spans="10:10" ht="13.2">
      <c r="J739" s="10"/>
    </row>
    <row r="740" spans="10:10" ht="13.2">
      <c r="J740" s="10"/>
    </row>
    <row r="741" spans="10:10" ht="13.2">
      <c r="J741" s="10"/>
    </row>
    <row r="742" spans="10:10" ht="13.2">
      <c r="J742" s="10"/>
    </row>
    <row r="743" spans="10:10" ht="13.2">
      <c r="J743" s="10"/>
    </row>
    <row r="744" spans="10:10" ht="13.2">
      <c r="J744" s="10"/>
    </row>
    <row r="745" spans="10:10" ht="13.2">
      <c r="J745" s="10"/>
    </row>
    <row r="746" spans="10:10" ht="13.2">
      <c r="J746" s="10"/>
    </row>
    <row r="747" spans="10:10" ht="13.2">
      <c r="J747" s="10"/>
    </row>
    <row r="748" spans="10:10" ht="13.2">
      <c r="J748" s="10"/>
    </row>
    <row r="749" spans="10:10" ht="13.2">
      <c r="J749" s="10"/>
    </row>
    <row r="750" spans="10:10" ht="13.2">
      <c r="J750" s="10"/>
    </row>
    <row r="751" spans="10:10" ht="13.2">
      <c r="J751" s="10"/>
    </row>
    <row r="752" spans="10:10" ht="13.2">
      <c r="J752" s="10"/>
    </row>
    <row r="753" spans="10:10" ht="13.2">
      <c r="J753" s="10"/>
    </row>
    <row r="754" spans="10:10" ht="13.2">
      <c r="J754" s="10"/>
    </row>
    <row r="755" spans="10:10" ht="13.2">
      <c r="J755" s="10"/>
    </row>
    <row r="756" spans="10:10" ht="13.2">
      <c r="J756" s="10"/>
    </row>
    <row r="757" spans="10:10" ht="13.2">
      <c r="J757" s="10"/>
    </row>
    <row r="758" spans="10:10" ht="13.2">
      <c r="J758" s="10"/>
    </row>
    <row r="759" spans="10:10" ht="13.2">
      <c r="J759" s="10"/>
    </row>
    <row r="760" spans="10:10" ht="13.2">
      <c r="J760" s="10"/>
    </row>
    <row r="761" spans="10:10" ht="13.2">
      <c r="J761" s="10"/>
    </row>
    <row r="762" spans="10:10" ht="13.2">
      <c r="J762" s="10"/>
    </row>
    <row r="763" spans="10:10" ht="13.2">
      <c r="J763" s="10"/>
    </row>
    <row r="764" spans="10:10" ht="13.2">
      <c r="J764" s="10"/>
    </row>
    <row r="765" spans="10:10" ht="13.2">
      <c r="J765" s="10"/>
    </row>
    <row r="766" spans="10:10" ht="13.2">
      <c r="J766" s="10"/>
    </row>
    <row r="767" spans="10:10" ht="13.2">
      <c r="J767" s="10"/>
    </row>
    <row r="768" spans="10:10" ht="13.2">
      <c r="J768" s="10"/>
    </row>
    <row r="769" spans="10:10" ht="13.2">
      <c r="J769" s="10"/>
    </row>
    <row r="770" spans="10:10" ht="13.2">
      <c r="J770" s="10"/>
    </row>
    <row r="771" spans="10:10" ht="13.2">
      <c r="J771" s="10"/>
    </row>
    <row r="772" spans="10:10" ht="13.2">
      <c r="J772" s="10"/>
    </row>
    <row r="773" spans="10:10" ht="13.2">
      <c r="J773" s="10"/>
    </row>
    <row r="774" spans="10:10" ht="13.2">
      <c r="J774" s="10"/>
    </row>
    <row r="775" spans="10:10" ht="13.2">
      <c r="J775" s="10"/>
    </row>
    <row r="776" spans="10:10" ht="13.2">
      <c r="J776" s="10"/>
    </row>
    <row r="777" spans="10:10" ht="13.2">
      <c r="J777" s="10"/>
    </row>
    <row r="778" spans="10:10" ht="13.2">
      <c r="J778" s="10"/>
    </row>
    <row r="779" spans="10:10" ht="13.2">
      <c r="J779" s="10"/>
    </row>
    <row r="780" spans="10:10" ht="13.2">
      <c r="J780" s="10"/>
    </row>
    <row r="781" spans="10:10" ht="13.2">
      <c r="J781" s="10"/>
    </row>
    <row r="782" spans="10:10" ht="13.2">
      <c r="J782" s="10"/>
    </row>
    <row r="783" spans="10:10" ht="13.2">
      <c r="J783" s="10"/>
    </row>
    <row r="784" spans="10:10" ht="13.2">
      <c r="J784" s="10"/>
    </row>
    <row r="785" spans="10:10" ht="13.2">
      <c r="J785" s="10"/>
    </row>
    <row r="786" spans="10:10" ht="13.2">
      <c r="J786" s="10"/>
    </row>
    <row r="787" spans="10:10" ht="13.2">
      <c r="J787" s="10"/>
    </row>
    <row r="788" spans="10:10" ht="13.2">
      <c r="J788" s="10"/>
    </row>
    <row r="789" spans="10:10" ht="13.2">
      <c r="J789" s="10"/>
    </row>
    <row r="790" spans="10:10" ht="13.2">
      <c r="J790" s="10"/>
    </row>
    <row r="791" spans="10:10" ht="13.2">
      <c r="J791" s="10"/>
    </row>
    <row r="792" spans="10:10" ht="13.2">
      <c r="J792" s="10"/>
    </row>
    <row r="793" spans="10:10" ht="13.2">
      <c r="J793" s="10"/>
    </row>
    <row r="794" spans="10:10" ht="13.2">
      <c r="J794" s="10"/>
    </row>
    <row r="795" spans="10:10" ht="13.2">
      <c r="J795" s="10"/>
    </row>
    <row r="796" spans="10:10" ht="13.2">
      <c r="J796" s="10"/>
    </row>
    <row r="797" spans="10:10" ht="13.2">
      <c r="J797" s="10"/>
    </row>
    <row r="798" spans="10:10" ht="13.2">
      <c r="J798" s="10"/>
    </row>
    <row r="799" spans="10:10" ht="13.2">
      <c r="J799" s="10"/>
    </row>
    <row r="800" spans="10:10" ht="13.2">
      <c r="J800" s="10"/>
    </row>
    <row r="801" spans="10:10" ht="13.2">
      <c r="J801" s="10"/>
    </row>
    <row r="802" spans="10:10" ht="13.2">
      <c r="J802" s="10"/>
    </row>
    <row r="803" spans="10:10" ht="13.2">
      <c r="J803" s="10"/>
    </row>
    <row r="804" spans="10:10" ht="13.2">
      <c r="J804" s="10"/>
    </row>
    <row r="805" spans="10:10" ht="13.2">
      <c r="J805" s="10"/>
    </row>
    <row r="806" spans="10:10" ht="13.2">
      <c r="J806" s="10"/>
    </row>
    <row r="807" spans="10:10" ht="13.2">
      <c r="J807" s="10"/>
    </row>
    <row r="808" spans="10:10" ht="13.2">
      <c r="J808" s="10"/>
    </row>
    <row r="809" spans="10:10" ht="13.2">
      <c r="J809" s="10"/>
    </row>
    <row r="810" spans="10:10" ht="13.2">
      <c r="J810" s="10"/>
    </row>
    <row r="811" spans="10:10" ht="13.2">
      <c r="J811" s="10"/>
    </row>
    <row r="812" spans="10:10" ht="13.2">
      <c r="J812" s="10"/>
    </row>
    <row r="813" spans="10:10" ht="13.2">
      <c r="J813" s="10"/>
    </row>
    <row r="814" spans="10:10" ht="13.2">
      <c r="J814" s="10"/>
    </row>
    <row r="815" spans="10:10" ht="13.2">
      <c r="J815" s="10"/>
    </row>
    <row r="816" spans="10:10" ht="13.2">
      <c r="J816" s="10"/>
    </row>
    <row r="817" spans="10:10" ht="13.2">
      <c r="J817" s="10"/>
    </row>
    <row r="818" spans="10:10" ht="13.2">
      <c r="J818" s="10"/>
    </row>
    <row r="819" spans="10:10" ht="13.2">
      <c r="J819" s="10"/>
    </row>
    <row r="820" spans="10:10" ht="13.2">
      <c r="J820" s="10"/>
    </row>
    <row r="821" spans="10:10" ht="13.2">
      <c r="J821" s="10"/>
    </row>
    <row r="822" spans="10:10" ht="13.2">
      <c r="J822" s="10"/>
    </row>
    <row r="823" spans="10:10" ht="13.2">
      <c r="J823" s="10"/>
    </row>
    <row r="824" spans="10:10" ht="13.2">
      <c r="J824" s="10"/>
    </row>
    <row r="825" spans="10:10" ht="13.2">
      <c r="J825" s="10"/>
    </row>
    <row r="826" spans="10:10" ht="13.2">
      <c r="J826" s="10"/>
    </row>
    <row r="827" spans="10:10" ht="13.2">
      <c r="J827" s="10"/>
    </row>
    <row r="828" spans="10:10" ht="13.2">
      <c r="J828" s="10"/>
    </row>
    <row r="829" spans="10:10" ht="13.2">
      <c r="J829" s="10"/>
    </row>
    <row r="830" spans="10:10" ht="13.2">
      <c r="J830" s="10"/>
    </row>
    <row r="831" spans="10:10" ht="13.2">
      <c r="J831" s="10"/>
    </row>
    <row r="832" spans="10:10" ht="13.2">
      <c r="J832" s="10"/>
    </row>
    <row r="833" spans="10:10" ht="13.2">
      <c r="J833" s="10"/>
    </row>
    <row r="834" spans="10:10" ht="13.2">
      <c r="J834" s="10"/>
    </row>
    <row r="835" spans="10:10" ht="13.2">
      <c r="J835" s="10"/>
    </row>
    <row r="836" spans="10:10" ht="13.2">
      <c r="J836" s="10"/>
    </row>
    <row r="837" spans="10:10" ht="13.2">
      <c r="J837" s="10"/>
    </row>
    <row r="838" spans="10:10" ht="13.2">
      <c r="J838" s="10"/>
    </row>
    <row r="839" spans="10:10" ht="13.2">
      <c r="J839" s="10"/>
    </row>
    <row r="840" spans="10:10" ht="13.2">
      <c r="J840" s="10"/>
    </row>
    <row r="841" spans="10:10" ht="13.2">
      <c r="J841" s="10"/>
    </row>
    <row r="842" spans="10:10" ht="13.2">
      <c r="J842" s="10"/>
    </row>
    <row r="843" spans="10:10" ht="13.2">
      <c r="J843" s="10"/>
    </row>
    <row r="844" spans="10:10" ht="13.2">
      <c r="J844" s="10"/>
    </row>
    <row r="845" spans="10:10" ht="13.2">
      <c r="J845" s="10"/>
    </row>
    <row r="846" spans="10:10" ht="13.2">
      <c r="J846" s="10"/>
    </row>
    <row r="847" spans="10:10" ht="13.2">
      <c r="J847" s="10"/>
    </row>
    <row r="848" spans="10:10" ht="13.2">
      <c r="J848" s="10"/>
    </row>
    <row r="849" spans="10:10" ht="13.2">
      <c r="J849" s="10"/>
    </row>
    <row r="850" spans="10:10" ht="13.2">
      <c r="J850" s="10"/>
    </row>
    <row r="851" spans="10:10" ht="13.2">
      <c r="J851" s="10"/>
    </row>
    <row r="852" spans="10:10" ht="13.2">
      <c r="J852" s="10"/>
    </row>
    <row r="853" spans="10:10" ht="13.2">
      <c r="J853" s="10"/>
    </row>
    <row r="854" spans="10:10" ht="13.2">
      <c r="J854" s="10"/>
    </row>
    <row r="855" spans="10:10" ht="13.2">
      <c r="J855" s="10"/>
    </row>
    <row r="856" spans="10:10" ht="13.2">
      <c r="J856" s="10"/>
    </row>
    <row r="857" spans="10:10" ht="13.2">
      <c r="J857" s="10"/>
    </row>
    <row r="858" spans="10:10" ht="13.2">
      <c r="J858" s="10"/>
    </row>
    <row r="859" spans="10:10" ht="13.2">
      <c r="J859" s="10"/>
    </row>
    <row r="860" spans="10:10" ht="13.2">
      <c r="J860" s="10"/>
    </row>
    <row r="861" spans="10:10" ht="13.2">
      <c r="J861" s="10"/>
    </row>
    <row r="862" spans="10:10" ht="13.2">
      <c r="J862" s="10"/>
    </row>
    <row r="863" spans="10:10" ht="13.2">
      <c r="J863" s="10"/>
    </row>
    <row r="864" spans="10:10" ht="13.2">
      <c r="J864" s="10"/>
    </row>
    <row r="865" spans="10:10" ht="13.2">
      <c r="J865" s="10"/>
    </row>
    <row r="866" spans="10:10" ht="13.2">
      <c r="J866" s="10"/>
    </row>
    <row r="867" spans="10:10" ht="13.2">
      <c r="J867" s="10"/>
    </row>
    <row r="868" spans="10:10" ht="13.2">
      <c r="J868" s="10"/>
    </row>
    <row r="869" spans="10:10" ht="13.2">
      <c r="J869" s="10"/>
    </row>
    <row r="870" spans="10:10" ht="13.2">
      <c r="J870" s="10"/>
    </row>
    <row r="871" spans="10:10" ht="13.2">
      <c r="J871" s="10"/>
    </row>
    <row r="872" spans="10:10" ht="13.2">
      <c r="J872" s="10"/>
    </row>
    <row r="873" spans="10:10" ht="13.2">
      <c r="J873" s="10"/>
    </row>
    <row r="874" spans="10:10" ht="13.2">
      <c r="J874" s="10"/>
    </row>
    <row r="875" spans="10:10" ht="13.2">
      <c r="J875" s="10"/>
    </row>
    <row r="876" spans="10:10" ht="13.2">
      <c r="J876" s="10"/>
    </row>
    <row r="877" spans="10:10" ht="13.2">
      <c r="J877" s="10"/>
    </row>
    <row r="878" spans="10:10" ht="13.2">
      <c r="J878" s="10"/>
    </row>
    <row r="879" spans="10:10" ht="13.2">
      <c r="J879" s="10"/>
    </row>
    <row r="880" spans="10:10" ht="13.2">
      <c r="J880" s="10"/>
    </row>
    <row r="881" spans="10:10" ht="13.2">
      <c r="J881" s="10"/>
    </row>
    <row r="882" spans="10:10" ht="13.2">
      <c r="J882" s="10"/>
    </row>
    <row r="883" spans="10:10" ht="13.2">
      <c r="J883" s="10"/>
    </row>
    <row r="884" spans="10:10" ht="13.2">
      <c r="J884" s="10"/>
    </row>
    <row r="885" spans="10:10" ht="13.2">
      <c r="J885" s="10"/>
    </row>
    <row r="886" spans="10:10" ht="13.2">
      <c r="J886" s="10"/>
    </row>
    <row r="887" spans="10:10" ht="13.2">
      <c r="J887" s="10"/>
    </row>
    <row r="888" spans="10:10" ht="13.2">
      <c r="J888" s="10"/>
    </row>
    <row r="889" spans="10:10" ht="13.2">
      <c r="J889" s="10"/>
    </row>
    <row r="890" spans="10:10" ht="13.2">
      <c r="J890" s="10"/>
    </row>
    <row r="891" spans="10:10" ht="13.2">
      <c r="J891" s="10"/>
    </row>
    <row r="892" spans="10:10" ht="13.2">
      <c r="J892" s="10"/>
    </row>
    <row r="893" spans="10:10" ht="13.2">
      <c r="J893" s="10"/>
    </row>
    <row r="894" spans="10:10" ht="13.2">
      <c r="J894" s="10"/>
    </row>
    <row r="895" spans="10:10" ht="13.2">
      <c r="J895" s="10"/>
    </row>
    <row r="896" spans="10:10" ht="13.2">
      <c r="J896" s="10"/>
    </row>
    <row r="897" spans="10:10" ht="13.2">
      <c r="J897" s="10"/>
    </row>
    <row r="898" spans="10:10" ht="13.2">
      <c r="J898" s="10"/>
    </row>
    <row r="899" spans="10:10" ht="13.2">
      <c r="J899" s="10"/>
    </row>
    <row r="900" spans="10:10" ht="13.2">
      <c r="J900" s="10"/>
    </row>
    <row r="901" spans="10:10" ht="13.2">
      <c r="J901" s="10"/>
    </row>
    <row r="902" spans="10:10" ht="13.2">
      <c r="J902" s="10"/>
    </row>
    <row r="903" spans="10:10" ht="13.2">
      <c r="J903" s="10"/>
    </row>
    <row r="904" spans="10:10" ht="13.2">
      <c r="J904" s="10"/>
    </row>
    <row r="905" spans="10:10" ht="13.2">
      <c r="J905" s="10"/>
    </row>
    <row r="906" spans="10:10" ht="13.2">
      <c r="J906" s="10"/>
    </row>
    <row r="907" spans="10:10" ht="13.2">
      <c r="J907" s="10"/>
    </row>
    <row r="908" spans="10:10" ht="13.2">
      <c r="J908" s="10"/>
    </row>
    <row r="909" spans="10:10" ht="13.2">
      <c r="J909" s="10"/>
    </row>
    <row r="910" spans="10:10" ht="13.2">
      <c r="J910" s="10"/>
    </row>
    <row r="911" spans="10:10" ht="13.2">
      <c r="J911" s="10"/>
    </row>
    <row r="912" spans="10:10" ht="13.2">
      <c r="J912" s="10"/>
    </row>
    <row r="913" spans="10:10" ht="13.2">
      <c r="J913" s="10"/>
    </row>
    <row r="914" spans="10:10" ht="13.2">
      <c r="J914" s="10"/>
    </row>
    <row r="915" spans="10:10" ht="13.2">
      <c r="J915" s="10"/>
    </row>
    <row r="916" spans="10:10" ht="13.2">
      <c r="J916" s="10"/>
    </row>
    <row r="917" spans="10:10" ht="13.2">
      <c r="J917" s="10"/>
    </row>
    <row r="918" spans="10:10" ht="13.2">
      <c r="J918" s="10"/>
    </row>
    <row r="919" spans="10:10" ht="13.2">
      <c r="J919" s="10"/>
    </row>
    <row r="920" spans="10:10" ht="13.2">
      <c r="J920" s="10"/>
    </row>
    <row r="921" spans="10:10" ht="13.2">
      <c r="J921" s="10"/>
    </row>
    <row r="922" spans="10:10" ht="13.2">
      <c r="J922" s="10"/>
    </row>
    <row r="923" spans="10:10" ht="13.2">
      <c r="J923" s="10"/>
    </row>
    <row r="924" spans="10:10" ht="13.2">
      <c r="J924" s="10"/>
    </row>
    <row r="925" spans="10:10" ht="13.2">
      <c r="J925" s="10"/>
    </row>
    <row r="926" spans="10:10" ht="13.2">
      <c r="J926" s="10"/>
    </row>
    <row r="927" spans="10:10" ht="13.2">
      <c r="J927" s="10"/>
    </row>
    <row r="928" spans="10:10" ht="13.2">
      <c r="J928" s="10"/>
    </row>
    <row r="929" spans="10:10" ht="13.2">
      <c r="J929" s="10"/>
    </row>
    <row r="930" spans="10:10" ht="13.2">
      <c r="J930" s="10"/>
    </row>
    <row r="931" spans="10:10" ht="13.2">
      <c r="J931" s="10"/>
    </row>
    <row r="932" spans="10:10" ht="13.2">
      <c r="J932" s="10"/>
    </row>
    <row r="933" spans="10:10" ht="13.2">
      <c r="J933" s="10"/>
    </row>
    <row r="934" spans="10:10" ht="13.2">
      <c r="J934" s="10"/>
    </row>
    <row r="935" spans="10:10" ht="13.2">
      <c r="J935" s="10"/>
    </row>
    <row r="936" spans="10:10" ht="13.2">
      <c r="J936" s="10"/>
    </row>
    <row r="937" spans="10:10" ht="13.2">
      <c r="J937" s="10"/>
    </row>
    <row r="938" spans="10:10" ht="13.2">
      <c r="J938" s="10"/>
    </row>
    <row r="939" spans="10:10" ht="13.2">
      <c r="J939" s="10"/>
    </row>
    <row r="940" spans="10:10" ht="13.2">
      <c r="J940" s="10"/>
    </row>
    <row r="941" spans="10:10" ht="13.2">
      <c r="J941" s="10"/>
    </row>
    <row r="942" spans="10:10" ht="13.2">
      <c r="J942" s="10"/>
    </row>
    <row r="943" spans="10:10" ht="13.2">
      <c r="J943" s="10"/>
    </row>
    <row r="944" spans="10:10" ht="13.2">
      <c r="J944" s="10"/>
    </row>
    <row r="945" spans="10:10" ht="13.2">
      <c r="J945" s="10"/>
    </row>
    <row r="946" spans="10:10" ht="13.2">
      <c r="J946" s="10"/>
    </row>
    <row r="947" spans="10:10" ht="13.2">
      <c r="J947" s="10"/>
    </row>
    <row r="948" spans="10:10" ht="13.2">
      <c r="J948" s="10"/>
    </row>
    <row r="949" spans="10:10" ht="13.2">
      <c r="J949" s="10"/>
    </row>
    <row r="950" spans="10:10" ht="13.2">
      <c r="J950" s="10"/>
    </row>
    <row r="951" spans="10:10" ht="13.2">
      <c r="J951" s="10"/>
    </row>
    <row r="952" spans="10:10" ht="13.2">
      <c r="J952" s="10"/>
    </row>
    <row r="953" spans="10:10" ht="13.2">
      <c r="J953" s="10"/>
    </row>
    <row r="954" spans="10:10" ht="13.2">
      <c r="J954" s="10"/>
    </row>
    <row r="955" spans="10:10" ht="13.2">
      <c r="J955" s="10"/>
    </row>
    <row r="956" spans="10:10" ht="13.2">
      <c r="J956" s="10"/>
    </row>
    <row r="957" spans="10:10" ht="13.2">
      <c r="J957" s="10"/>
    </row>
    <row r="958" spans="10:10" ht="13.2">
      <c r="J958" s="10"/>
    </row>
    <row r="959" spans="10:10" ht="13.2">
      <c r="J959" s="10"/>
    </row>
    <row r="960" spans="10:10" ht="13.2">
      <c r="J960" s="10"/>
    </row>
    <row r="961" spans="10:10" ht="13.2">
      <c r="J961" s="10"/>
    </row>
    <row r="962" spans="10:10" ht="13.2">
      <c r="J962" s="10"/>
    </row>
    <row r="963" spans="10:10" ht="13.2">
      <c r="J963" s="10"/>
    </row>
    <row r="964" spans="10:10" ht="13.2">
      <c r="J964" s="10"/>
    </row>
    <row r="965" spans="10:10" ht="13.2">
      <c r="J965" s="10"/>
    </row>
    <row r="966" spans="10:10" ht="13.2">
      <c r="J966" s="10"/>
    </row>
    <row r="967" spans="10:10" ht="13.2">
      <c r="J967" s="10"/>
    </row>
    <row r="968" spans="10:10" ht="13.2">
      <c r="J968" s="10"/>
    </row>
    <row r="969" spans="10:10" ht="13.2">
      <c r="J969" s="10"/>
    </row>
    <row r="970" spans="10:10" ht="13.2">
      <c r="J970" s="10"/>
    </row>
    <row r="971" spans="10:10" ht="13.2">
      <c r="J971" s="10"/>
    </row>
    <row r="972" spans="10:10" ht="13.2">
      <c r="J972" s="10"/>
    </row>
    <row r="973" spans="10:10" ht="13.2">
      <c r="J973" s="10"/>
    </row>
    <row r="974" spans="10:10" ht="13.2">
      <c r="J974" s="10"/>
    </row>
    <row r="975" spans="10:10" ht="13.2">
      <c r="J975" s="10"/>
    </row>
    <row r="976" spans="10:10" ht="13.2">
      <c r="J976" s="10"/>
    </row>
    <row r="977" spans="10:10" ht="13.2">
      <c r="J977" s="10"/>
    </row>
    <row r="978" spans="10:10" ht="13.2">
      <c r="J978" s="10"/>
    </row>
    <row r="979" spans="10:10" ht="13.2">
      <c r="J979" s="10"/>
    </row>
    <row r="980" spans="10:10" ht="13.2">
      <c r="J980" s="10"/>
    </row>
    <row r="981" spans="10:10" ht="13.2">
      <c r="J981" s="10"/>
    </row>
    <row r="982" spans="10:10" ht="13.2">
      <c r="J982" s="10"/>
    </row>
    <row r="983" spans="10:10" ht="13.2">
      <c r="J983" s="10"/>
    </row>
    <row r="984" spans="10:10" ht="13.2">
      <c r="J984" s="10"/>
    </row>
    <row r="985" spans="10:10" ht="13.2">
      <c r="J985" s="10"/>
    </row>
    <row r="986" spans="10:10" ht="13.2">
      <c r="J986" s="10"/>
    </row>
    <row r="987" spans="10:10" ht="13.2">
      <c r="J987" s="10"/>
    </row>
    <row r="988" spans="10:10" ht="13.2">
      <c r="J988" s="10"/>
    </row>
    <row r="989" spans="10:10" ht="13.2">
      <c r="J989" s="10"/>
    </row>
    <row r="990" spans="10:10" ht="13.2">
      <c r="J990" s="10"/>
    </row>
    <row r="991" spans="10:10" ht="13.2">
      <c r="J991" s="10"/>
    </row>
    <row r="992" spans="10:10" ht="13.2">
      <c r="J992" s="10"/>
    </row>
    <row r="993" spans="10:10" ht="13.2">
      <c r="J993" s="10"/>
    </row>
    <row r="994" spans="10:10" ht="13.2">
      <c r="J994" s="10"/>
    </row>
    <row r="995" spans="10:10" ht="13.2">
      <c r="J995" s="10"/>
    </row>
    <row r="996" spans="10:10" ht="13.2">
      <c r="J996" s="10"/>
    </row>
    <row r="997" spans="10:10" ht="13.2">
      <c r="J997" s="10"/>
    </row>
    <row r="998" spans="10:10" ht="13.2">
      <c r="J998" s="10"/>
    </row>
    <row r="999" spans="10:10" ht="13.2">
      <c r="J999" s="10"/>
    </row>
    <row r="1000" spans="10:10" ht="13.2">
      <c r="J1000" s="10"/>
    </row>
    <row r="1001" spans="10:10" ht="13.2">
      <c r="J1001" s="10"/>
    </row>
    <row r="1002" spans="10:10" ht="13.2">
      <c r="J1002" s="10"/>
    </row>
    <row r="1003" spans="10:10" ht="13.2">
      <c r="J1003" s="10"/>
    </row>
    <row r="1004" spans="10:10" ht="13.2">
      <c r="J1004" s="10"/>
    </row>
    <row r="1005" spans="10:10" ht="13.2">
      <c r="J1005" s="10"/>
    </row>
    <row r="1006" spans="10:10" ht="13.2">
      <c r="J1006" s="10"/>
    </row>
    <row r="1007" spans="10:10" ht="13.2">
      <c r="J1007" s="10"/>
    </row>
    <row r="1008" spans="10:10" ht="13.2">
      <c r="J1008" s="10"/>
    </row>
    <row r="1009" spans="10:10" ht="13.2">
      <c r="J1009" s="10"/>
    </row>
    <row r="1010" spans="10:10" ht="13.2">
      <c r="J1010" s="10"/>
    </row>
    <row r="1011" spans="10:10" ht="13.2">
      <c r="J1011" s="10"/>
    </row>
    <row r="1012" spans="10:10" ht="13.2">
      <c r="J1012" s="10"/>
    </row>
    <row r="1013" spans="10:10" ht="13.2">
      <c r="J1013" s="10"/>
    </row>
    <row r="1014" spans="10:10" ht="13.2">
      <c r="J1014" s="10"/>
    </row>
    <row r="1015" spans="10:10" ht="13.2">
      <c r="J1015" s="10"/>
    </row>
    <row r="1016" spans="10:10" ht="13.2">
      <c r="J1016" s="10"/>
    </row>
    <row r="1017" spans="10:10" ht="13.2">
      <c r="J1017" s="10"/>
    </row>
    <row r="1018" spans="10:10" ht="13.2">
      <c r="J1018" s="10"/>
    </row>
    <row r="1019" spans="10:10" ht="13.2">
      <c r="J1019" s="10"/>
    </row>
    <row r="1020" spans="10:10" ht="13.2">
      <c r="J1020" s="10"/>
    </row>
    <row r="1021" spans="10:10" ht="13.2">
      <c r="J1021" s="10"/>
    </row>
    <row r="1022" spans="10:10" ht="13.2">
      <c r="J1022" s="10"/>
    </row>
    <row r="1023" spans="10:10" ht="13.2">
      <c r="J1023" s="10"/>
    </row>
    <row r="1024" spans="10:10" ht="13.2">
      <c r="J1024" s="10"/>
    </row>
    <row r="1025" spans="10:10" ht="13.2">
      <c r="J1025" s="10"/>
    </row>
    <row r="1026" spans="10:10" ht="13.2">
      <c r="J1026" s="10"/>
    </row>
    <row r="1027" spans="10:10" ht="13.2">
      <c r="J1027" s="10"/>
    </row>
    <row r="1028" spans="10:10" ht="13.2">
      <c r="J1028" s="10"/>
    </row>
    <row r="1029" spans="10:10" ht="13.2">
      <c r="J1029" s="10"/>
    </row>
    <row r="1030" spans="10:10" ht="13.2">
      <c r="J1030" s="10"/>
    </row>
    <row r="1031" spans="10:10" ht="13.2">
      <c r="J1031" s="10"/>
    </row>
    <row r="1032" spans="10:10" ht="13.2">
      <c r="J1032" s="10"/>
    </row>
    <row r="1033" spans="10:10" ht="13.2">
      <c r="J1033" s="10"/>
    </row>
    <row r="1034" spans="10:10" ht="13.2">
      <c r="J1034" s="10"/>
    </row>
    <row r="1035" spans="10:10" ht="13.2">
      <c r="J1035" s="10"/>
    </row>
    <row r="1036" spans="10:10" ht="13.2">
      <c r="J1036" s="10"/>
    </row>
    <row r="1037" spans="10:10" ht="13.2">
      <c r="J1037" s="10"/>
    </row>
    <row r="1038" spans="10:10" ht="13.2">
      <c r="J1038" s="10"/>
    </row>
    <row r="1039" spans="10:10" ht="13.2">
      <c r="J1039" s="10"/>
    </row>
    <row r="1040" spans="10:10" ht="13.2">
      <c r="J1040" s="10"/>
    </row>
    <row r="1041" spans="10:10" ht="13.2">
      <c r="J1041" s="10"/>
    </row>
    <row r="1042" spans="10:10" ht="13.2">
      <c r="J1042" s="10"/>
    </row>
    <row r="1043" spans="10:10" ht="13.2">
      <c r="J1043" s="10"/>
    </row>
    <row r="1044" spans="10:10" ht="13.2">
      <c r="J1044" s="10"/>
    </row>
    <row r="1045" spans="10:10" ht="13.2">
      <c r="J1045" s="10"/>
    </row>
    <row r="1046" spans="10:10" ht="13.2">
      <c r="J1046" s="10"/>
    </row>
    <row r="1047" spans="10:10" ht="13.2">
      <c r="J1047" s="10"/>
    </row>
    <row r="1048" spans="10:10" ht="13.2">
      <c r="J1048" s="10"/>
    </row>
    <row r="1049" spans="10:10" ht="13.2">
      <c r="J1049" s="10"/>
    </row>
    <row r="1050" spans="10:10" ht="13.2">
      <c r="J1050" s="10"/>
    </row>
    <row r="1051" spans="10:10" ht="13.2">
      <c r="J1051" s="10"/>
    </row>
    <row r="1052" spans="10:10" ht="13.2">
      <c r="J1052" s="10"/>
    </row>
    <row r="1053" spans="10:10" ht="13.2">
      <c r="J1053" s="10"/>
    </row>
    <row r="1054" spans="10:10" ht="13.2">
      <c r="J1054" s="10"/>
    </row>
    <row r="1055" spans="10:10" ht="13.2">
      <c r="J1055" s="10"/>
    </row>
    <row r="1056" spans="10:10" ht="13.2">
      <c r="J1056" s="10"/>
    </row>
    <row r="1057" spans="10:10" ht="13.2">
      <c r="J1057" s="10"/>
    </row>
    <row r="1058" spans="10:10" ht="13.2">
      <c r="J1058" s="10"/>
    </row>
    <row r="1059" spans="10:10" ht="13.2">
      <c r="J1059" s="10"/>
    </row>
    <row r="1060" spans="10:10" ht="13.2">
      <c r="J1060" s="10"/>
    </row>
    <row r="1061" spans="10:10" ht="13.2">
      <c r="J1061" s="10"/>
    </row>
    <row r="1062" spans="10:10" ht="13.2">
      <c r="J1062" s="10"/>
    </row>
    <row r="1063" spans="10:10" ht="13.2">
      <c r="J1063" s="10"/>
    </row>
    <row r="1064" spans="10:10" ht="13.2">
      <c r="J1064" s="10"/>
    </row>
    <row r="1065" spans="10:10" ht="13.2">
      <c r="J1065" s="10"/>
    </row>
    <row r="1066" spans="10:10" ht="13.2">
      <c r="J1066" s="10"/>
    </row>
    <row r="1067" spans="10:10" ht="13.2">
      <c r="J1067" s="10"/>
    </row>
    <row r="1068" spans="10:10" ht="13.2">
      <c r="J1068" s="10"/>
    </row>
    <row r="1069" spans="10:10" ht="13.2">
      <c r="J1069" s="10"/>
    </row>
    <row r="1070" spans="10:10" ht="13.2">
      <c r="J1070" s="10"/>
    </row>
    <row r="1071" spans="10:10" ht="13.2">
      <c r="J1071" s="10"/>
    </row>
    <row r="1072" spans="10:10" ht="13.2">
      <c r="J1072" s="10"/>
    </row>
    <row r="1073" spans="10:10" ht="13.2">
      <c r="J1073" s="10"/>
    </row>
    <row r="1074" spans="10:10" ht="13.2">
      <c r="J1074" s="10"/>
    </row>
    <row r="1075" spans="10:10" ht="13.2">
      <c r="J1075" s="10"/>
    </row>
    <row r="1076" spans="10:10" ht="13.2">
      <c r="J1076" s="10"/>
    </row>
    <row r="1077" spans="10:10" ht="13.2">
      <c r="J1077" s="10"/>
    </row>
    <row r="1078" spans="10:10" ht="13.2">
      <c r="J1078" s="10"/>
    </row>
    <row r="1079" spans="10:10" ht="13.2">
      <c r="J1079" s="10"/>
    </row>
    <row r="1080" spans="10:10" ht="13.2">
      <c r="J1080" s="10"/>
    </row>
    <row r="1081" spans="10:10" ht="13.2">
      <c r="J1081" s="10"/>
    </row>
    <row r="1082" spans="10:10" ht="13.2">
      <c r="J1082" s="10"/>
    </row>
    <row r="1083" spans="10:10" ht="13.2">
      <c r="J1083" s="10"/>
    </row>
    <row r="1084" spans="10:10" ht="13.2">
      <c r="J1084" s="10"/>
    </row>
    <row r="1085" spans="10:10" ht="13.2">
      <c r="J1085" s="10"/>
    </row>
    <row r="1086" spans="10:10" ht="13.2">
      <c r="J1086" s="10"/>
    </row>
    <row r="1087" spans="10:10" ht="13.2">
      <c r="J1087" s="10"/>
    </row>
    <row r="1088" spans="10:10" ht="13.2">
      <c r="J1088" s="10"/>
    </row>
    <row r="1089" spans="10:10" ht="13.2">
      <c r="J1089" s="10"/>
    </row>
    <row r="1090" spans="10:10" ht="13.2">
      <c r="J1090" s="10"/>
    </row>
    <row r="1091" spans="10:10" ht="13.2">
      <c r="J1091" s="10"/>
    </row>
    <row r="1092" spans="10:10" ht="13.2">
      <c r="J1092" s="10"/>
    </row>
    <row r="1093" spans="10:10" ht="13.2">
      <c r="J1093" s="10"/>
    </row>
    <row r="1094" spans="10:10" ht="13.2">
      <c r="J1094" s="10"/>
    </row>
    <row r="1095" spans="10:10" ht="13.2">
      <c r="J1095" s="10"/>
    </row>
    <row r="1096" spans="10:10" ht="13.2">
      <c r="J1096" s="10"/>
    </row>
    <row r="1097" spans="10:10" ht="13.2">
      <c r="J1097" s="10"/>
    </row>
    <row r="1098" spans="10:10" ht="13.2">
      <c r="J1098" s="10"/>
    </row>
    <row r="1099" spans="10:10" ht="13.2">
      <c r="J1099" s="10"/>
    </row>
    <row r="1100" spans="10:10" ht="13.2">
      <c r="J1100" s="10"/>
    </row>
    <row r="1101" spans="10:10" ht="13.2">
      <c r="J1101" s="10"/>
    </row>
    <row r="1102" spans="10:10" ht="13.2">
      <c r="J1102" s="10"/>
    </row>
    <row r="1103" spans="10:10" ht="13.2">
      <c r="J1103" s="10"/>
    </row>
    <row r="1104" spans="10:10" ht="13.2">
      <c r="J1104" s="10"/>
    </row>
    <row r="1105" spans="10:10" ht="13.2">
      <c r="J1105" s="10"/>
    </row>
    <row r="1106" spans="10:10" ht="13.2">
      <c r="J1106" s="10"/>
    </row>
    <row r="1107" spans="10:10" ht="13.2">
      <c r="J1107" s="10"/>
    </row>
    <row r="1108" spans="10:10" ht="13.2">
      <c r="J1108" s="10"/>
    </row>
    <row r="1109" spans="10:10" ht="13.2">
      <c r="J1109" s="10"/>
    </row>
    <row r="1110" spans="10:10" ht="13.2">
      <c r="J1110" s="10"/>
    </row>
    <row r="1111" spans="10:10" ht="13.2">
      <c r="J1111" s="10"/>
    </row>
    <row r="1112" spans="10:10" ht="13.2">
      <c r="J1112" s="10"/>
    </row>
    <row r="1113" spans="10:10" ht="13.2">
      <c r="J1113" s="10"/>
    </row>
    <row r="1114" spans="10:10" ht="13.2">
      <c r="J1114" s="10"/>
    </row>
    <row r="1115" spans="10:10" ht="13.2">
      <c r="J1115" s="10"/>
    </row>
    <row r="1116" spans="10:10" ht="13.2">
      <c r="J1116" s="10"/>
    </row>
    <row r="1117" spans="10:10" ht="13.2">
      <c r="J1117" s="10"/>
    </row>
    <row r="1118" spans="10:10" ht="13.2">
      <c r="J1118" s="10"/>
    </row>
    <row r="1119" spans="10:10" ht="13.2">
      <c r="J1119" s="10"/>
    </row>
    <row r="1120" spans="10:10" ht="13.2">
      <c r="J1120" s="10"/>
    </row>
    <row r="1121" spans="10:10" ht="13.2">
      <c r="J1121" s="10"/>
    </row>
    <row r="1122" spans="10:10" ht="13.2">
      <c r="J1122" s="10"/>
    </row>
    <row r="1123" spans="10:10" ht="13.2">
      <c r="J1123" s="10"/>
    </row>
    <row r="1124" spans="10:10" ht="13.2">
      <c r="J1124" s="10"/>
    </row>
    <row r="1125" spans="10:10" ht="13.2">
      <c r="J1125" s="10"/>
    </row>
    <row r="1126" spans="10:10" ht="13.2">
      <c r="J1126" s="10"/>
    </row>
    <row r="1127" spans="10:10" ht="13.2">
      <c r="J1127" s="10"/>
    </row>
    <row r="1128" spans="10:10" ht="13.2">
      <c r="J1128" s="10"/>
    </row>
    <row r="1129" spans="10:10" ht="13.2">
      <c r="J1129" s="10"/>
    </row>
    <row r="1130" spans="10:10" ht="13.2">
      <c r="J1130" s="10"/>
    </row>
    <row r="1131" spans="10:10" ht="13.2">
      <c r="J1131" s="10"/>
    </row>
    <row r="1132" spans="10:10" ht="13.2">
      <c r="J1132" s="10"/>
    </row>
    <row r="1133" spans="10:10" ht="13.2">
      <c r="J1133" s="10"/>
    </row>
    <row r="1134" spans="10:10" ht="13.2">
      <c r="J1134" s="10"/>
    </row>
    <row r="1135" spans="10:10" ht="13.2">
      <c r="J1135" s="10"/>
    </row>
    <row r="1136" spans="10:10" ht="13.2">
      <c r="J1136" s="10"/>
    </row>
    <row r="1137" spans="10:10" ht="13.2">
      <c r="J1137" s="10"/>
    </row>
    <row r="1138" spans="10:10" ht="13.2">
      <c r="J1138" s="10"/>
    </row>
    <row r="1139" spans="10:10" ht="13.2">
      <c r="J1139" s="10"/>
    </row>
    <row r="1140" spans="10:10" ht="13.2">
      <c r="J1140" s="10"/>
    </row>
    <row r="1141" spans="10:10" ht="13.2">
      <c r="J1141" s="10"/>
    </row>
    <row r="1142" spans="10:10" ht="13.2">
      <c r="J1142" s="10"/>
    </row>
    <row r="1143" spans="10:10" ht="13.2">
      <c r="J1143" s="10"/>
    </row>
    <row r="1144" spans="10:10" ht="13.2">
      <c r="J1144" s="10"/>
    </row>
    <row r="1145" spans="10:10" ht="13.2">
      <c r="J1145" s="10"/>
    </row>
    <row r="1146" spans="10:10" ht="13.2">
      <c r="J1146" s="10"/>
    </row>
    <row r="1147" spans="10:10" ht="13.2">
      <c r="J1147" s="10"/>
    </row>
    <row r="1148" spans="10:10" ht="13.2">
      <c r="J1148" s="10"/>
    </row>
    <row r="1149" spans="10:10" ht="13.2">
      <c r="J1149" s="10"/>
    </row>
    <row r="1150" spans="10:10" ht="13.2">
      <c r="J1150" s="10"/>
    </row>
    <row r="1151" spans="10:10" ht="13.2">
      <c r="J1151" s="10"/>
    </row>
    <row r="1152" spans="10:10" ht="13.2">
      <c r="J1152" s="10"/>
    </row>
    <row r="1153" spans="10:10" ht="13.2">
      <c r="J1153" s="10"/>
    </row>
    <row r="1154" spans="10:10" ht="13.2">
      <c r="J1154" s="10"/>
    </row>
    <row r="1155" spans="10:10" ht="13.2">
      <c r="J1155" s="10"/>
    </row>
    <row r="1156" spans="10:10" ht="13.2">
      <c r="J1156" s="10"/>
    </row>
    <row r="1157" spans="10:10" ht="13.2">
      <c r="J1157" s="10"/>
    </row>
    <row r="1158" spans="10:10" ht="13.2">
      <c r="J1158" s="10"/>
    </row>
    <row r="1159" spans="10:10" ht="13.2">
      <c r="J1159" s="10"/>
    </row>
    <row r="1160" spans="10:10" ht="13.2">
      <c r="J1160" s="10"/>
    </row>
    <row r="1161" spans="10:10" ht="13.2">
      <c r="J1161" s="10"/>
    </row>
    <row r="1162" spans="10:10" ht="13.2">
      <c r="J1162" s="10"/>
    </row>
    <row r="1163" spans="10:10" ht="13.2">
      <c r="J1163" s="10"/>
    </row>
    <row r="1164" spans="10:10" ht="13.2">
      <c r="J1164" s="10"/>
    </row>
    <row r="1165" spans="10:10" ht="13.2">
      <c r="J1165" s="10"/>
    </row>
    <row r="1166" spans="10:10" ht="13.2">
      <c r="J1166" s="10"/>
    </row>
    <row r="1167" spans="10:10" ht="13.2">
      <c r="J1167" s="10"/>
    </row>
    <row r="1168" spans="10:10" ht="13.2">
      <c r="J1168" s="10"/>
    </row>
    <row r="1169" spans="10:10" ht="13.2">
      <c r="J1169" s="10"/>
    </row>
    <row r="1170" spans="10:10" ht="13.2">
      <c r="J1170" s="10"/>
    </row>
    <row r="1171" spans="10:10" ht="13.2">
      <c r="J1171" s="10"/>
    </row>
    <row r="1172" spans="10:10" ht="13.2">
      <c r="J1172" s="10"/>
    </row>
    <row r="1173" spans="10:10" ht="13.2">
      <c r="J1173" s="10"/>
    </row>
    <row r="1174" spans="10:10" ht="13.2">
      <c r="J1174" s="10"/>
    </row>
    <row r="1175" spans="10:10" ht="13.2">
      <c r="J1175" s="10"/>
    </row>
    <row r="1176" spans="10:10" ht="13.2">
      <c r="J1176" s="10"/>
    </row>
    <row r="1177" spans="10:10" ht="13.2">
      <c r="J1177" s="10"/>
    </row>
    <row r="1178" spans="10:10" ht="13.2">
      <c r="J1178" s="10"/>
    </row>
    <row r="1179" spans="10:10" ht="13.2">
      <c r="J1179" s="10"/>
    </row>
    <row r="1180" spans="10:10" ht="13.2">
      <c r="J1180" s="10"/>
    </row>
    <row r="1181" spans="10:10" ht="13.2">
      <c r="J1181" s="10"/>
    </row>
    <row r="1182" spans="10:10" ht="13.2">
      <c r="J1182" s="10"/>
    </row>
    <row r="1183" spans="10:10" ht="13.2">
      <c r="J1183" s="10"/>
    </row>
    <row r="1184" spans="10:10" ht="13.2">
      <c r="J1184" s="10"/>
    </row>
    <row r="1185" spans="10:10" ht="13.2">
      <c r="J1185" s="10"/>
    </row>
    <row r="1186" spans="10:10" ht="13.2">
      <c r="J1186" s="10"/>
    </row>
    <row r="1187" spans="10:10" ht="13.2">
      <c r="J1187" s="10"/>
    </row>
    <row r="1188" spans="10:10" ht="13.2">
      <c r="J1188" s="10"/>
    </row>
    <row r="1189" spans="10:10" ht="13.2">
      <c r="J1189" s="10"/>
    </row>
    <row r="1190" spans="10:10" ht="13.2">
      <c r="J1190" s="10"/>
    </row>
    <row r="1191" spans="10:10" ht="13.2">
      <c r="J1191" s="10"/>
    </row>
    <row r="1192" spans="10:10" ht="13.2">
      <c r="J1192" s="10"/>
    </row>
    <row r="1193" spans="10:10" ht="13.2">
      <c r="J1193" s="10"/>
    </row>
    <row r="1194" spans="10:10" ht="13.2">
      <c r="J1194" s="10"/>
    </row>
    <row r="1195" spans="10:10" ht="13.2">
      <c r="J1195" s="10"/>
    </row>
    <row r="1196" spans="10:10" ht="13.2">
      <c r="J1196" s="10"/>
    </row>
    <row r="1197" spans="10:10" ht="13.2">
      <c r="J1197" s="10"/>
    </row>
    <row r="1198" spans="10:10" ht="13.2">
      <c r="J1198" s="10"/>
    </row>
    <row r="1199" spans="10:10" ht="13.2">
      <c r="J1199" s="10"/>
    </row>
    <row r="1200" spans="10:10" ht="13.2">
      <c r="J1200" s="10"/>
    </row>
    <row r="1201" spans="10:10" ht="13.2">
      <c r="J1201" s="10"/>
    </row>
    <row r="1202" spans="10:10" ht="13.2">
      <c r="J1202" s="10"/>
    </row>
    <row r="1203" spans="10:10" ht="13.2">
      <c r="J1203" s="10"/>
    </row>
    <row r="1204" spans="10:10" ht="13.2">
      <c r="J1204" s="10"/>
    </row>
    <row r="1205" spans="10:10" ht="13.2">
      <c r="J1205" s="10"/>
    </row>
    <row r="1206" spans="10:10" ht="13.2">
      <c r="J1206" s="10"/>
    </row>
    <row r="1207" spans="10:10" ht="13.2">
      <c r="J1207" s="10"/>
    </row>
    <row r="1208" spans="10:10" ht="13.2">
      <c r="J1208" s="10"/>
    </row>
    <row r="1209" spans="10:10" ht="13.2">
      <c r="J1209" s="10"/>
    </row>
    <row r="1210" spans="10:10" ht="13.2">
      <c r="J1210" s="10"/>
    </row>
    <row r="1211" spans="10:10" ht="13.2">
      <c r="J1211" s="10"/>
    </row>
    <row r="1212" spans="10:10" ht="13.2">
      <c r="J1212" s="10"/>
    </row>
    <row r="1213" spans="10:10" ht="13.2">
      <c r="J1213" s="10"/>
    </row>
  </sheetData>
  <hyperlinks>
    <hyperlink ref="M3" r:id="rId1" location="ref-CR20" xr:uid="{00000000-0004-0000-0600-000000000000}"/>
    <hyperlink ref="R3" r:id="rId2" xr:uid="{00000000-0004-0000-0600-000001000000}"/>
    <hyperlink ref="R4" r:id="rId3" xr:uid="{00000000-0004-0000-0600-000002000000}"/>
    <hyperlink ref="R5" r:id="rId4" xr:uid="{00000000-0004-0000-0600-000003000000}"/>
    <hyperlink ref="R6" r:id="rId5" xr:uid="{00000000-0004-0000-0600-000004000000}"/>
    <hyperlink ref="R7" r:id="rId6" xr:uid="{00000000-0004-0000-0600-000005000000}"/>
    <hyperlink ref="R8" r:id="rId7" xr:uid="{00000000-0004-0000-0600-000006000000}"/>
    <hyperlink ref="R9" r:id="rId8" xr:uid="{00000000-0004-0000-0600-000007000000}"/>
    <hyperlink ref="R10" r:id="rId9" xr:uid="{00000000-0004-0000-0600-000008000000}"/>
    <hyperlink ref="R11" r:id="rId10" xr:uid="{00000000-0004-0000-0600-000009000000}"/>
    <hyperlink ref="R12" r:id="rId11" xr:uid="{00000000-0004-0000-0600-00000A000000}"/>
    <hyperlink ref="R13" r:id="rId12" xr:uid="{00000000-0004-0000-0600-00000B000000}"/>
    <hyperlink ref="R14" r:id="rId13" xr:uid="{00000000-0004-0000-0600-00000C000000}"/>
    <hyperlink ref="R15" r:id="rId14" xr:uid="{00000000-0004-0000-0600-00000D000000}"/>
    <hyperlink ref="R16" r:id="rId15" xr:uid="{00000000-0004-0000-0600-00000E000000}"/>
    <hyperlink ref="R17" r:id="rId16" xr:uid="{00000000-0004-0000-0600-00000F000000}"/>
    <hyperlink ref="R18" r:id="rId17" xr:uid="{00000000-0004-0000-0600-000010000000}"/>
    <hyperlink ref="R19" r:id="rId18" xr:uid="{00000000-0004-0000-0600-000011000000}"/>
    <hyperlink ref="R20" r:id="rId19" xr:uid="{00000000-0004-0000-0600-000012000000}"/>
    <hyperlink ref="R21" r:id="rId20" xr:uid="{00000000-0004-0000-0600-000013000000}"/>
    <hyperlink ref="R22" r:id="rId21" xr:uid="{00000000-0004-0000-0600-000014000000}"/>
    <hyperlink ref="R23" r:id="rId22" xr:uid="{00000000-0004-0000-0600-000015000000}"/>
    <hyperlink ref="R24" r:id="rId23" xr:uid="{00000000-0004-0000-0600-000016000000}"/>
    <hyperlink ref="R25" r:id="rId24" xr:uid="{00000000-0004-0000-0600-000017000000}"/>
    <hyperlink ref="R26" r:id="rId25" xr:uid="{00000000-0004-0000-0600-000018000000}"/>
    <hyperlink ref="R27" r:id="rId26" xr:uid="{00000000-0004-0000-0600-000019000000}"/>
    <hyperlink ref="R28" r:id="rId27" xr:uid="{00000000-0004-0000-0600-00001A000000}"/>
    <hyperlink ref="R29" r:id="rId28" xr:uid="{00000000-0004-0000-0600-00001B000000}"/>
    <hyperlink ref="R30" r:id="rId29" xr:uid="{00000000-0004-0000-0600-00001C000000}"/>
    <hyperlink ref="R31" r:id="rId30" xr:uid="{00000000-0004-0000-0600-00001D000000}"/>
    <hyperlink ref="R32" r:id="rId31" xr:uid="{00000000-0004-0000-0600-00001E000000}"/>
    <hyperlink ref="R33" r:id="rId32" xr:uid="{00000000-0004-0000-0600-00001F000000}"/>
    <hyperlink ref="R34" r:id="rId33" xr:uid="{00000000-0004-0000-0600-000020000000}"/>
    <hyperlink ref="R35" r:id="rId34" xr:uid="{00000000-0004-0000-0600-000021000000}"/>
    <hyperlink ref="R36" r:id="rId35" xr:uid="{00000000-0004-0000-0600-000022000000}"/>
    <hyperlink ref="R37" r:id="rId36" xr:uid="{00000000-0004-0000-0600-000023000000}"/>
    <hyperlink ref="R38" r:id="rId37" xr:uid="{00000000-0004-0000-0600-000024000000}"/>
    <hyperlink ref="R39" r:id="rId38" xr:uid="{00000000-0004-0000-0600-000025000000}"/>
    <hyperlink ref="R40" r:id="rId39" xr:uid="{00000000-0004-0000-0600-000026000000}"/>
    <hyperlink ref="R41" r:id="rId40" xr:uid="{00000000-0004-0000-0600-000027000000}"/>
    <hyperlink ref="R42" r:id="rId41" xr:uid="{00000000-0004-0000-0600-000028000000}"/>
    <hyperlink ref="R43" r:id="rId42" xr:uid="{00000000-0004-0000-0600-000029000000}"/>
    <hyperlink ref="R44" r:id="rId43" xr:uid="{00000000-0004-0000-0600-00002A000000}"/>
    <hyperlink ref="R45" r:id="rId44" xr:uid="{00000000-0004-0000-0600-00002B000000}"/>
    <hyperlink ref="R46" r:id="rId45" xr:uid="{00000000-0004-0000-0600-00002C000000}"/>
    <hyperlink ref="R47" r:id="rId46" xr:uid="{00000000-0004-0000-0600-00002D000000}"/>
    <hyperlink ref="R48" r:id="rId47" xr:uid="{00000000-0004-0000-0600-00002E000000}"/>
    <hyperlink ref="R49" r:id="rId48" xr:uid="{00000000-0004-0000-0600-00002F000000}"/>
    <hyperlink ref="R50" r:id="rId49" xr:uid="{00000000-0004-0000-0600-000030000000}"/>
    <hyperlink ref="R51" r:id="rId50" xr:uid="{00000000-0004-0000-0600-000031000000}"/>
    <hyperlink ref="R52" r:id="rId51" xr:uid="{00000000-0004-0000-0600-000032000000}"/>
    <hyperlink ref="R53" r:id="rId52" xr:uid="{00000000-0004-0000-0600-000033000000}"/>
    <hyperlink ref="R54" r:id="rId53" xr:uid="{00000000-0004-0000-0600-000034000000}"/>
    <hyperlink ref="R55" r:id="rId54" xr:uid="{00000000-0004-0000-0600-000035000000}"/>
    <hyperlink ref="R56" r:id="rId55" xr:uid="{00000000-0004-0000-0600-000036000000}"/>
    <hyperlink ref="R57" r:id="rId56" xr:uid="{00000000-0004-0000-0600-000037000000}"/>
    <hyperlink ref="R58" r:id="rId57" xr:uid="{00000000-0004-0000-0600-000038000000}"/>
    <hyperlink ref="R59" r:id="rId58" xr:uid="{00000000-0004-0000-0600-000039000000}"/>
    <hyperlink ref="R60" r:id="rId59" xr:uid="{00000000-0004-0000-0600-00003A000000}"/>
    <hyperlink ref="R61" r:id="rId60" xr:uid="{00000000-0004-0000-0600-00003B000000}"/>
    <hyperlink ref="R62" r:id="rId61" xr:uid="{00000000-0004-0000-0600-00003C000000}"/>
    <hyperlink ref="R63" r:id="rId62" xr:uid="{00000000-0004-0000-0600-00003D000000}"/>
    <hyperlink ref="R64" r:id="rId63" xr:uid="{00000000-0004-0000-0600-00003E000000}"/>
    <hyperlink ref="R65" r:id="rId64" xr:uid="{00000000-0004-0000-0600-00003F000000}"/>
    <hyperlink ref="R66" r:id="rId65" xr:uid="{00000000-0004-0000-0600-000040000000}"/>
    <hyperlink ref="R67" r:id="rId66" xr:uid="{00000000-0004-0000-0600-000041000000}"/>
    <hyperlink ref="R68" r:id="rId67" xr:uid="{00000000-0004-0000-0600-000042000000}"/>
    <hyperlink ref="R69" r:id="rId68" xr:uid="{00000000-0004-0000-0600-000043000000}"/>
    <hyperlink ref="R70" r:id="rId69" xr:uid="{00000000-0004-0000-0600-000044000000}"/>
    <hyperlink ref="R71" r:id="rId70" xr:uid="{00000000-0004-0000-0600-000045000000}"/>
    <hyperlink ref="R72" r:id="rId71" xr:uid="{00000000-0004-0000-0600-000046000000}"/>
    <hyperlink ref="R73" r:id="rId72" xr:uid="{00000000-0004-0000-0600-000047000000}"/>
    <hyperlink ref="R74" r:id="rId73" xr:uid="{00000000-0004-0000-0600-000048000000}"/>
    <hyperlink ref="R75" r:id="rId74" xr:uid="{00000000-0004-0000-0600-000049000000}"/>
    <hyperlink ref="R76" r:id="rId75" xr:uid="{00000000-0004-0000-0600-00004A000000}"/>
    <hyperlink ref="R77" r:id="rId76" xr:uid="{00000000-0004-0000-0600-00004B000000}"/>
    <hyperlink ref="R78" r:id="rId77" xr:uid="{00000000-0004-0000-0600-00004C000000}"/>
    <hyperlink ref="R79" r:id="rId78" xr:uid="{00000000-0004-0000-0600-00004D000000}"/>
    <hyperlink ref="R80" r:id="rId79" xr:uid="{00000000-0004-0000-0600-00004E000000}"/>
    <hyperlink ref="R81" r:id="rId80" xr:uid="{00000000-0004-0000-0600-00004F000000}"/>
    <hyperlink ref="R82" r:id="rId81" xr:uid="{00000000-0004-0000-0600-000050000000}"/>
    <hyperlink ref="R83" r:id="rId82" xr:uid="{00000000-0004-0000-0600-000051000000}"/>
    <hyperlink ref="R84" r:id="rId83" xr:uid="{00000000-0004-0000-0600-000052000000}"/>
    <hyperlink ref="R85" r:id="rId84" xr:uid="{00000000-0004-0000-0600-000053000000}"/>
    <hyperlink ref="R86" r:id="rId85" xr:uid="{00000000-0004-0000-0600-000054000000}"/>
    <hyperlink ref="R87" r:id="rId86" xr:uid="{00000000-0004-0000-0600-000055000000}"/>
    <hyperlink ref="R88" r:id="rId87" xr:uid="{00000000-0004-0000-0600-000056000000}"/>
    <hyperlink ref="R89" r:id="rId88" xr:uid="{00000000-0004-0000-0600-000057000000}"/>
    <hyperlink ref="R90" r:id="rId89" xr:uid="{00000000-0004-0000-0600-000058000000}"/>
    <hyperlink ref="R91" r:id="rId90" xr:uid="{00000000-0004-0000-0600-000059000000}"/>
    <hyperlink ref="R92" r:id="rId91" xr:uid="{00000000-0004-0000-0600-00005A000000}"/>
    <hyperlink ref="R93" r:id="rId92" xr:uid="{00000000-0004-0000-0600-00005B000000}"/>
    <hyperlink ref="R94" r:id="rId93" xr:uid="{00000000-0004-0000-0600-00005C000000}"/>
    <hyperlink ref="R95" r:id="rId94" xr:uid="{00000000-0004-0000-0600-00005D000000}"/>
    <hyperlink ref="R96" r:id="rId95" xr:uid="{00000000-0004-0000-0600-00005E000000}"/>
    <hyperlink ref="M97" r:id="rId96" location="bibr51" xr:uid="{00000000-0004-0000-0600-00005F000000}"/>
    <hyperlink ref="R97" r:id="rId97" xr:uid="{00000000-0004-0000-0600-000060000000}"/>
    <hyperlink ref="R98" r:id="rId98" xr:uid="{00000000-0004-0000-0600-000061000000}"/>
    <hyperlink ref="R99" r:id="rId99" xr:uid="{00000000-0004-0000-0600-000062000000}"/>
    <hyperlink ref="R100" r:id="rId100" xr:uid="{00000000-0004-0000-0600-000063000000}"/>
    <hyperlink ref="R101" r:id="rId101" xr:uid="{00000000-0004-0000-0600-000064000000}"/>
    <hyperlink ref="R102" r:id="rId102" xr:uid="{00000000-0004-0000-0600-000065000000}"/>
    <hyperlink ref="R103" r:id="rId103" xr:uid="{00000000-0004-0000-0600-000066000000}"/>
    <hyperlink ref="R104" r:id="rId104" xr:uid="{00000000-0004-0000-0600-000067000000}"/>
    <hyperlink ref="R105" r:id="rId105" xr:uid="{00000000-0004-0000-0600-000068000000}"/>
    <hyperlink ref="R106" r:id="rId106" xr:uid="{00000000-0004-0000-0600-000069000000}"/>
    <hyperlink ref="R107" r:id="rId107" xr:uid="{00000000-0004-0000-0600-00006A000000}"/>
    <hyperlink ref="R108" r:id="rId108" xr:uid="{00000000-0004-0000-0600-00006B000000}"/>
    <hyperlink ref="R109" r:id="rId109" xr:uid="{00000000-0004-0000-0600-00006C000000}"/>
    <hyperlink ref="R110" r:id="rId110" xr:uid="{00000000-0004-0000-0600-00006D000000}"/>
    <hyperlink ref="R111" r:id="rId111" xr:uid="{00000000-0004-0000-0600-00006E000000}"/>
    <hyperlink ref="R112" r:id="rId112" xr:uid="{00000000-0004-0000-0600-00006F000000}"/>
    <hyperlink ref="R113" r:id="rId113" xr:uid="{00000000-0004-0000-0600-000070000000}"/>
    <hyperlink ref="R114" r:id="rId114" xr:uid="{00000000-0004-0000-0600-000071000000}"/>
    <hyperlink ref="R115" r:id="rId115" xr:uid="{00000000-0004-0000-0600-000072000000}"/>
    <hyperlink ref="R116" r:id="rId116" xr:uid="{00000000-0004-0000-0600-000073000000}"/>
    <hyperlink ref="R117" r:id="rId117" xr:uid="{00000000-0004-0000-0600-000074000000}"/>
    <hyperlink ref="R118" r:id="rId118" xr:uid="{00000000-0004-0000-0600-000075000000}"/>
    <hyperlink ref="R119" r:id="rId119" xr:uid="{00000000-0004-0000-0600-000076000000}"/>
    <hyperlink ref="R120" r:id="rId120" xr:uid="{00000000-0004-0000-0600-000077000000}"/>
    <hyperlink ref="R121" r:id="rId121" xr:uid="{00000000-0004-0000-0600-000078000000}"/>
    <hyperlink ref="R122" r:id="rId122" xr:uid="{00000000-0004-0000-0600-000079000000}"/>
    <hyperlink ref="R123" r:id="rId123" xr:uid="{00000000-0004-0000-0600-00007A000000}"/>
    <hyperlink ref="R124" r:id="rId124" xr:uid="{00000000-0004-0000-0600-00007B000000}"/>
    <hyperlink ref="R125" r:id="rId125" xr:uid="{00000000-0004-0000-0600-00007C000000}"/>
    <hyperlink ref="R126" r:id="rId126" xr:uid="{00000000-0004-0000-0600-00007D000000}"/>
    <hyperlink ref="R127" r:id="rId127" xr:uid="{00000000-0004-0000-0600-00007E000000}"/>
    <hyperlink ref="R128" r:id="rId128" xr:uid="{00000000-0004-0000-0600-00007F000000}"/>
    <hyperlink ref="R129" r:id="rId129" xr:uid="{00000000-0004-0000-0600-000080000000}"/>
    <hyperlink ref="R130" r:id="rId130" xr:uid="{00000000-0004-0000-0600-000081000000}"/>
    <hyperlink ref="R131" r:id="rId131" xr:uid="{00000000-0004-0000-0600-000082000000}"/>
    <hyperlink ref="R132" r:id="rId132" xr:uid="{00000000-0004-0000-0600-000083000000}"/>
    <hyperlink ref="R133" r:id="rId133" xr:uid="{00000000-0004-0000-0600-000084000000}"/>
    <hyperlink ref="R134" r:id="rId134" xr:uid="{00000000-0004-0000-0600-000085000000}"/>
    <hyperlink ref="R135" r:id="rId135" xr:uid="{00000000-0004-0000-0600-000086000000}"/>
    <hyperlink ref="R136" r:id="rId136" xr:uid="{00000000-0004-0000-0600-000087000000}"/>
    <hyperlink ref="R137" r:id="rId137" xr:uid="{00000000-0004-0000-0600-000088000000}"/>
    <hyperlink ref="R138" r:id="rId138" xr:uid="{00000000-0004-0000-0600-000089000000}"/>
    <hyperlink ref="R139" r:id="rId139" xr:uid="{00000000-0004-0000-0600-00008A000000}"/>
    <hyperlink ref="R140" r:id="rId140" xr:uid="{00000000-0004-0000-0600-00008B000000}"/>
    <hyperlink ref="R141" r:id="rId141" xr:uid="{00000000-0004-0000-0600-00008C000000}"/>
    <hyperlink ref="R142" r:id="rId142" xr:uid="{00000000-0004-0000-0600-00008D000000}"/>
    <hyperlink ref="R143" r:id="rId143" xr:uid="{00000000-0004-0000-0600-00008E000000}"/>
    <hyperlink ref="R144" r:id="rId144" xr:uid="{00000000-0004-0000-0600-00008F000000}"/>
    <hyperlink ref="R145" r:id="rId145" xr:uid="{00000000-0004-0000-0600-000090000000}"/>
    <hyperlink ref="R146" r:id="rId146" xr:uid="{00000000-0004-0000-0600-000091000000}"/>
    <hyperlink ref="R147" r:id="rId147" xr:uid="{00000000-0004-0000-0600-000092000000}"/>
    <hyperlink ref="R148" r:id="rId148" xr:uid="{00000000-0004-0000-0600-000093000000}"/>
    <hyperlink ref="R149" r:id="rId149" xr:uid="{00000000-0004-0000-0600-000094000000}"/>
    <hyperlink ref="R150" r:id="rId150" xr:uid="{00000000-0004-0000-0600-000095000000}"/>
    <hyperlink ref="R151" r:id="rId151" xr:uid="{00000000-0004-0000-0600-000096000000}"/>
    <hyperlink ref="R152" r:id="rId152" xr:uid="{00000000-0004-0000-0600-000097000000}"/>
    <hyperlink ref="R153" r:id="rId153" xr:uid="{00000000-0004-0000-0600-000098000000}"/>
    <hyperlink ref="R154" r:id="rId154" xr:uid="{00000000-0004-0000-0600-000099000000}"/>
    <hyperlink ref="R155" r:id="rId155" xr:uid="{00000000-0004-0000-0600-00009A000000}"/>
    <hyperlink ref="R156" r:id="rId156" xr:uid="{00000000-0004-0000-0600-00009B000000}"/>
    <hyperlink ref="R157" r:id="rId157" xr:uid="{00000000-0004-0000-0600-00009C000000}"/>
    <hyperlink ref="R158" r:id="rId158" xr:uid="{00000000-0004-0000-0600-00009D000000}"/>
    <hyperlink ref="R159" r:id="rId159" xr:uid="{00000000-0004-0000-0600-00009E000000}"/>
    <hyperlink ref="R160" r:id="rId160" xr:uid="{00000000-0004-0000-0600-00009F000000}"/>
    <hyperlink ref="R161" r:id="rId161" xr:uid="{00000000-0004-0000-0600-0000A0000000}"/>
    <hyperlink ref="R162" r:id="rId162" xr:uid="{00000000-0004-0000-0600-0000A1000000}"/>
    <hyperlink ref="R163" r:id="rId163" xr:uid="{00000000-0004-0000-0600-0000A2000000}"/>
    <hyperlink ref="R164" r:id="rId164" xr:uid="{00000000-0004-0000-0600-0000A3000000}"/>
    <hyperlink ref="R165" r:id="rId165" xr:uid="{00000000-0004-0000-0600-0000A4000000}"/>
    <hyperlink ref="R166" r:id="rId166" xr:uid="{00000000-0004-0000-0600-0000A5000000}"/>
    <hyperlink ref="R167" r:id="rId167" xr:uid="{00000000-0004-0000-0600-0000A6000000}"/>
    <hyperlink ref="R168" r:id="rId168" xr:uid="{00000000-0004-0000-0600-0000A7000000}"/>
    <hyperlink ref="R169" r:id="rId169" xr:uid="{00000000-0004-0000-0600-0000A8000000}"/>
    <hyperlink ref="R170" r:id="rId170" xr:uid="{00000000-0004-0000-0600-0000A9000000}"/>
    <hyperlink ref="R171" r:id="rId171" xr:uid="{00000000-0004-0000-0600-0000AA000000}"/>
    <hyperlink ref="R172" r:id="rId172" xr:uid="{00000000-0004-0000-0600-0000AB000000}"/>
    <hyperlink ref="R173" r:id="rId173" xr:uid="{00000000-0004-0000-0600-0000AC000000}"/>
    <hyperlink ref="R174" r:id="rId174" xr:uid="{00000000-0004-0000-0600-0000AD000000}"/>
    <hyperlink ref="R175" r:id="rId175" xr:uid="{00000000-0004-0000-0600-0000AE000000}"/>
    <hyperlink ref="R176" r:id="rId176" xr:uid="{00000000-0004-0000-0600-0000AF000000}"/>
    <hyperlink ref="R177" r:id="rId177" xr:uid="{00000000-0004-0000-0600-0000B0000000}"/>
    <hyperlink ref="R178" r:id="rId178" xr:uid="{00000000-0004-0000-0600-0000B1000000}"/>
    <hyperlink ref="R179" r:id="rId179" xr:uid="{00000000-0004-0000-0600-0000B2000000}"/>
    <hyperlink ref="R180" r:id="rId180" xr:uid="{00000000-0004-0000-0600-0000B3000000}"/>
    <hyperlink ref="R181" r:id="rId181" xr:uid="{00000000-0004-0000-0600-0000B4000000}"/>
    <hyperlink ref="R182" r:id="rId182" xr:uid="{00000000-0004-0000-0600-0000B5000000}"/>
    <hyperlink ref="R183" r:id="rId183" xr:uid="{00000000-0004-0000-0600-0000B6000000}"/>
    <hyperlink ref="R184" r:id="rId184" xr:uid="{00000000-0004-0000-0600-0000B7000000}"/>
    <hyperlink ref="R185" r:id="rId185" xr:uid="{00000000-0004-0000-0600-0000B8000000}"/>
    <hyperlink ref="R186" r:id="rId186" xr:uid="{00000000-0004-0000-0600-0000B9000000}"/>
    <hyperlink ref="R187" r:id="rId187" xr:uid="{00000000-0004-0000-0600-0000BA000000}"/>
    <hyperlink ref="R188" r:id="rId188" xr:uid="{00000000-0004-0000-0600-0000BB000000}"/>
    <hyperlink ref="R189" r:id="rId189" xr:uid="{00000000-0004-0000-0600-0000BC000000}"/>
    <hyperlink ref="R190" r:id="rId190" xr:uid="{00000000-0004-0000-0600-0000BD000000}"/>
    <hyperlink ref="R191" r:id="rId191" xr:uid="{00000000-0004-0000-0600-0000BE000000}"/>
    <hyperlink ref="R192" r:id="rId192" xr:uid="{00000000-0004-0000-0600-0000BF000000}"/>
    <hyperlink ref="R193" r:id="rId193" xr:uid="{00000000-0004-0000-0600-0000C0000000}"/>
    <hyperlink ref="R194" r:id="rId194" xr:uid="{00000000-0004-0000-0600-0000C1000000}"/>
    <hyperlink ref="R195" r:id="rId195" xr:uid="{00000000-0004-0000-0600-0000C2000000}"/>
    <hyperlink ref="R196" r:id="rId196" xr:uid="{00000000-0004-0000-0600-0000C3000000}"/>
    <hyperlink ref="R197" r:id="rId197" xr:uid="{00000000-0004-0000-0600-0000C4000000}"/>
    <hyperlink ref="R198" r:id="rId198" xr:uid="{00000000-0004-0000-0600-0000C5000000}"/>
    <hyperlink ref="R199" r:id="rId199" xr:uid="{00000000-0004-0000-0600-0000C6000000}"/>
    <hyperlink ref="R200" r:id="rId200" xr:uid="{00000000-0004-0000-0600-0000C7000000}"/>
    <hyperlink ref="R201" r:id="rId201" xr:uid="{00000000-0004-0000-0600-0000C8000000}"/>
    <hyperlink ref="R202" r:id="rId202" xr:uid="{00000000-0004-0000-0600-0000C9000000}"/>
    <hyperlink ref="R203" r:id="rId203" xr:uid="{00000000-0004-0000-0600-0000CA000000}"/>
    <hyperlink ref="R204" r:id="rId204" xr:uid="{00000000-0004-0000-0600-0000CB000000}"/>
    <hyperlink ref="R205" r:id="rId205" xr:uid="{00000000-0004-0000-0600-0000CC000000}"/>
    <hyperlink ref="R206" r:id="rId206" xr:uid="{00000000-0004-0000-0600-0000CD000000}"/>
    <hyperlink ref="R207" r:id="rId207" xr:uid="{00000000-0004-0000-0600-0000CE000000}"/>
    <hyperlink ref="R208" r:id="rId208" xr:uid="{00000000-0004-0000-0600-0000CF000000}"/>
    <hyperlink ref="R209" r:id="rId209" xr:uid="{00000000-0004-0000-0600-0000D0000000}"/>
    <hyperlink ref="R210" r:id="rId210" xr:uid="{00000000-0004-0000-0600-0000D1000000}"/>
    <hyperlink ref="R211" r:id="rId211" xr:uid="{00000000-0004-0000-0600-0000D2000000}"/>
    <hyperlink ref="R212" r:id="rId212" xr:uid="{00000000-0004-0000-0600-0000D3000000}"/>
    <hyperlink ref="R213" r:id="rId213" xr:uid="{00000000-0004-0000-0600-0000D4000000}"/>
    <hyperlink ref="R214" r:id="rId214" xr:uid="{00000000-0004-0000-0600-0000D5000000}"/>
    <hyperlink ref="R215" r:id="rId215" xr:uid="{00000000-0004-0000-0600-0000D6000000}"/>
    <hyperlink ref="R216" r:id="rId216" xr:uid="{00000000-0004-0000-0600-0000D7000000}"/>
    <hyperlink ref="R217" r:id="rId217" xr:uid="{00000000-0004-0000-0600-0000D8000000}"/>
    <hyperlink ref="R218" r:id="rId218" xr:uid="{00000000-0004-0000-0600-0000D9000000}"/>
    <hyperlink ref="R219" r:id="rId219" xr:uid="{00000000-0004-0000-0600-0000DA000000}"/>
    <hyperlink ref="R220" r:id="rId220" xr:uid="{00000000-0004-0000-0600-0000DB000000}"/>
    <hyperlink ref="R221" r:id="rId221" xr:uid="{00000000-0004-0000-0600-0000DC000000}"/>
    <hyperlink ref="R222" r:id="rId222" xr:uid="{00000000-0004-0000-0600-0000DD000000}"/>
    <hyperlink ref="R223" r:id="rId223" xr:uid="{00000000-0004-0000-0600-0000DE000000}"/>
    <hyperlink ref="R224" r:id="rId224" xr:uid="{00000000-0004-0000-0600-0000DF000000}"/>
    <hyperlink ref="R225" r:id="rId225" xr:uid="{00000000-0004-0000-0600-0000E0000000}"/>
    <hyperlink ref="R226" r:id="rId226" xr:uid="{00000000-0004-0000-0600-0000E1000000}"/>
    <hyperlink ref="R227" r:id="rId227" xr:uid="{00000000-0004-0000-0600-0000E2000000}"/>
    <hyperlink ref="R228" r:id="rId228" xr:uid="{00000000-0004-0000-0600-0000E3000000}"/>
    <hyperlink ref="R229" r:id="rId229" xr:uid="{00000000-0004-0000-0600-0000E4000000}"/>
    <hyperlink ref="R230" r:id="rId230" xr:uid="{00000000-0004-0000-0600-0000E5000000}"/>
    <hyperlink ref="R231" r:id="rId231" xr:uid="{00000000-0004-0000-0600-0000E6000000}"/>
    <hyperlink ref="R232" r:id="rId232" xr:uid="{00000000-0004-0000-0600-0000E7000000}"/>
    <hyperlink ref="R233" r:id="rId233" xr:uid="{00000000-0004-0000-0600-0000E8000000}"/>
    <hyperlink ref="R234" r:id="rId234" xr:uid="{00000000-0004-0000-0600-0000E9000000}"/>
    <hyperlink ref="R235" r:id="rId235" xr:uid="{00000000-0004-0000-0600-0000EA000000}"/>
    <hyperlink ref="R236" r:id="rId236" xr:uid="{00000000-0004-0000-0600-0000EB000000}"/>
    <hyperlink ref="R237" r:id="rId237" xr:uid="{00000000-0004-0000-0600-0000EC000000}"/>
    <hyperlink ref="R238" r:id="rId238" xr:uid="{00000000-0004-0000-0600-0000ED000000}"/>
    <hyperlink ref="R240" r:id="rId239" xr:uid="{00000000-0004-0000-0600-0000EE000000}"/>
    <hyperlink ref="R241" r:id="rId240" xr:uid="{00000000-0004-0000-0600-0000EF000000}"/>
    <hyperlink ref="R242" r:id="rId241" xr:uid="{00000000-0004-0000-0600-0000F0000000}"/>
    <hyperlink ref="R243" r:id="rId242" xr:uid="{00000000-0004-0000-0600-0000F1000000}"/>
    <hyperlink ref="R244" r:id="rId243" xr:uid="{00000000-0004-0000-0600-0000F2000000}"/>
    <hyperlink ref="R245" r:id="rId244" xr:uid="{00000000-0004-0000-0600-0000F3000000}"/>
    <hyperlink ref="R246" r:id="rId245" xr:uid="{00000000-0004-0000-0600-0000F4000000}"/>
    <hyperlink ref="R247" r:id="rId246" xr:uid="{00000000-0004-0000-0600-0000F5000000}"/>
    <hyperlink ref="R248" r:id="rId247" xr:uid="{00000000-0004-0000-0600-0000F6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DC22"/>
  <sheetViews>
    <sheetView workbookViewId="0"/>
  </sheetViews>
  <sheetFormatPr baseColWidth="10" defaultColWidth="12.6640625" defaultRowHeight="15.75" customHeight="1"/>
  <sheetData>
    <row r="1" spans="1:107" ht="13.2">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row>
    <row r="2" spans="1:107" ht="13.2">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row>
    <row r="3" spans="1:107" ht="15.75" customHeight="1">
      <c r="D3" s="3" t="s">
        <v>44</v>
      </c>
      <c r="F3" s="3"/>
      <c r="G3" s="3"/>
      <c r="H3" s="3" t="s">
        <v>1045</v>
      </c>
      <c r="I3" s="1" t="s">
        <v>1046</v>
      </c>
      <c r="J3" s="3" t="s">
        <v>1426</v>
      </c>
      <c r="K3" s="1" t="s">
        <v>1046</v>
      </c>
      <c r="L3" s="1" t="s">
        <v>1046</v>
      </c>
      <c r="M3" s="3" t="s">
        <v>1427</v>
      </c>
      <c r="N3" s="3"/>
      <c r="O3" s="13" t="s">
        <v>1428</v>
      </c>
      <c r="P3" s="1" t="s">
        <v>431</v>
      </c>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row>
    <row r="4" spans="1:107" ht="15.75" customHeight="1">
      <c r="D4" s="3" t="s">
        <v>469</v>
      </c>
      <c r="F4" s="3"/>
      <c r="G4" s="3"/>
      <c r="H4" s="3" t="s">
        <v>102</v>
      </c>
      <c r="I4" s="3" t="s">
        <v>1429</v>
      </c>
      <c r="J4" s="1" t="s">
        <v>1046</v>
      </c>
      <c r="K4" s="3"/>
      <c r="L4" s="3"/>
      <c r="M4" s="3" t="s">
        <v>1430</v>
      </c>
      <c r="N4" s="3"/>
      <c r="O4" s="13" t="s">
        <v>1428</v>
      </c>
      <c r="P4" s="1" t="s">
        <v>431</v>
      </c>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row>
    <row r="5" spans="1:107" ht="15.75" customHeight="1">
      <c r="D5" s="3" t="s">
        <v>480</v>
      </c>
      <c r="F5" s="3"/>
      <c r="G5" s="3"/>
      <c r="H5" s="3" t="s">
        <v>102</v>
      </c>
      <c r="I5" s="3"/>
      <c r="J5" s="1" t="s">
        <v>1046</v>
      </c>
      <c r="K5" s="3"/>
      <c r="L5" s="3"/>
      <c r="M5" s="3" t="s">
        <v>1431</v>
      </c>
      <c r="N5" s="3"/>
      <c r="O5" s="13" t="s">
        <v>1428</v>
      </c>
      <c r="P5" s="1" t="s">
        <v>431</v>
      </c>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row>
    <row r="6" spans="1:107" ht="15.75" customHeight="1">
      <c r="D6" s="3" t="s">
        <v>702</v>
      </c>
      <c r="F6" s="3"/>
      <c r="G6" s="3"/>
      <c r="H6" s="3" t="s">
        <v>102</v>
      </c>
      <c r="I6" s="3" t="s">
        <v>1432</v>
      </c>
      <c r="J6" s="1" t="s">
        <v>1046</v>
      </c>
      <c r="K6" s="3"/>
      <c r="L6" s="3"/>
      <c r="M6" s="3" t="s">
        <v>1433</v>
      </c>
      <c r="N6" s="3"/>
      <c r="O6" s="13" t="s">
        <v>1428</v>
      </c>
      <c r="P6" s="1" t="s">
        <v>431</v>
      </c>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row>
    <row r="7" spans="1:107" ht="15.75" customHeight="1">
      <c r="D7" s="3" t="s">
        <v>703</v>
      </c>
      <c r="F7" s="3"/>
      <c r="G7" s="3"/>
      <c r="H7" s="3" t="s">
        <v>102</v>
      </c>
      <c r="I7" s="3"/>
      <c r="J7" s="1" t="s">
        <v>1046</v>
      </c>
      <c r="K7" s="3"/>
      <c r="L7" s="3"/>
      <c r="M7" s="3" t="s">
        <v>1434</v>
      </c>
      <c r="N7" s="3"/>
      <c r="O7" s="13" t="s">
        <v>1428</v>
      </c>
      <c r="P7" s="1" t="s">
        <v>431</v>
      </c>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row>
    <row r="8" spans="1:107" ht="15.75" customHeight="1">
      <c r="D8" s="3" t="s">
        <v>714</v>
      </c>
      <c r="F8" s="3"/>
      <c r="G8" s="3"/>
      <c r="H8" s="3" t="s">
        <v>102</v>
      </c>
      <c r="I8" s="3"/>
      <c r="J8" s="1" t="s">
        <v>1046</v>
      </c>
      <c r="K8" s="3"/>
      <c r="L8" s="3"/>
      <c r="M8" s="3" t="s">
        <v>1435</v>
      </c>
      <c r="N8" s="3"/>
      <c r="O8" s="13" t="s">
        <v>1428</v>
      </c>
      <c r="P8" s="1" t="s">
        <v>431</v>
      </c>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row>
    <row r="9" spans="1:107" ht="15.75" customHeight="1">
      <c r="D9" s="3" t="s">
        <v>704</v>
      </c>
      <c r="F9" s="3"/>
      <c r="G9" s="3"/>
      <c r="H9" s="3" t="s">
        <v>102</v>
      </c>
      <c r="I9" s="3"/>
      <c r="J9" s="1" t="s">
        <v>1046</v>
      </c>
      <c r="K9" s="3"/>
      <c r="L9" s="3"/>
      <c r="M9" s="3" t="s">
        <v>1436</v>
      </c>
      <c r="N9" s="3"/>
      <c r="O9" s="13" t="s">
        <v>1428</v>
      </c>
      <c r="P9" s="1" t="s">
        <v>431</v>
      </c>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row>
    <row r="10" spans="1:107" ht="15.75" customHeight="1">
      <c r="D10" s="3" t="s">
        <v>556</v>
      </c>
      <c r="F10" s="3"/>
      <c r="G10" s="3"/>
      <c r="H10" s="3" t="s">
        <v>102</v>
      </c>
      <c r="I10" s="3" t="s">
        <v>1136</v>
      </c>
      <c r="J10" s="1" t="s">
        <v>1046</v>
      </c>
      <c r="K10" s="3"/>
      <c r="L10" s="3"/>
      <c r="M10" s="3" t="s">
        <v>1437</v>
      </c>
      <c r="N10" s="3"/>
      <c r="O10" s="13" t="s">
        <v>1428</v>
      </c>
      <c r="P10" s="1" t="s">
        <v>431</v>
      </c>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row>
    <row r="11" spans="1:107" ht="15.75" customHeight="1">
      <c r="D11" s="3" t="s">
        <v>557</v>
      </c>
      <c r="F11" s="3"/>
      <c r="G11" s="3"/>
      <c r="H11" s="3" t="s">
        <v>102</v>
      </c>
      <c r="I11" s="3"/>
      <c r="J11" s="1" t="s">
        <v>1046</v>
      </c>
      <c r="K11" s="3"/>
      <c r="L11" s="3"/>
      <c r="M11" s="3" t="s">
        <v>1438</v>
      </c>
      <c r="N11" s="3"/>
      <c r="O11" s="13" t="s">
        <v>1428</v>
      </c>
      <c r="P11" s="1" t="s">
        <v>431</v>
      </c>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row>
    <row r="12" spans="1:107" ht="15.75" customHeight="1">
      <c r="A12" s="1" t="s">
        <v>239</v>
      </c>
      <c r="B12" s="1" t="s">
        <v>240</v>
      </c>
      <c r="C12" s="1" t="s">
        <v>240</v>
      </c>
      <c r="D12" s="1" t="s">
        <v>242</v>
      </c>
      <c r="E12" s="1" t="s">
        <v>242</v>
      </c>
      <c r="F12" s="1" t="s">
        <v>242</v>
      </c>
      <c r="G12" s="1" t="s">
        <v>243</v>
      </c>
      <c r="H12" s="1" t="s">
        <v>242</v>
      </c>
      <c r="I12" s="1" t="s">
        <v>242</v>
      </c>
      <c r="J12" s="1" t="s">
        <v>242</v>
      </c>
      <c r="K12" s="1" t="s">
        <v>242</v>
      </c>
      <c r="L12" s="1" t="s">
        <v>242</v>
      </c>
      <c r="M12" s="1" t="s">
        <v>242</v>
      </c>
      <c r="N12" s="1" t="s">
        <v>240</v>
      </c>
      <c r="O12" s="1" t="s">
        <v>243</v>
      </c>
      <c r="AQ12" s="1" t="s">
        <v>239</v>
      </c>
      <c r="AR12" s="1" t="s">
        <v>240</v>
      </c>
      <c r="AS12" s="1" t="s">
        <v>240</v>
      </c>
      <c r="AT12" s="1" t="s">
        <v>242</v>
      </c>
      <c r="AU12" s="1" t="s">
        <v>242</v>
      </c>
      <c r="AV12" s="1" t="s">
        <v>242</v>
      </c>
      <c r="AW12" s="1" t="s">
        <v>243</v>
      </c>
      <c r="AX12" s="1" t="s">
        <v>242</v>
      </c>
      <c r="AY12" s="1" t="s">
        <v>242</v>
      </c>
      <c r="AZ12" s="1" t="s">
        <v>242</v>
      </c>
      <c r="BA12" s="1" t="s">
        <v>242</v>
      </c>
      <c r="BB12" s="1" t="s">
        <v>242</v>
      </c>
      <c r="BC12" s="1" t="s">
        <v>242</v>
      </c>
      <c r="BD12" s="1" t="s">
        <v>240</v>
      </c>
      <c r="BE12" s="1" t="s">
        <v>243</v>
      </c>
      <c r="DA12" s="3"/>
      <c r="DB12" s="3"/>
      <c r="DC12" s="3"/>
    </row>
    <row r="13" spans="1:107" ht="15.75" customHeight="1">
      <c r="A13" s="1" t="s">
        <v>244</v>
      </c>
      <c r="B13" s="2">
        <v>43405</v>
      </c>
      <c r="C13" s="2">
        <v>43405</v>
      </c>
      <c r="D13" s="2">
        <v>43032</v>
      </c>
      <c r="E13" s="2">
        <v>42971</v>
      </c>
      <c r="F13" s="2">
        <v>42971</v>
      </c>
      <c r="G13" s="2">
        <v>43361</v>
      </c>
      <c r="H13" s="2">
        <v>43005</v>
      </c>
      <c r="I13" s="2">
        <v>43032</v>
      </c>
      <c r="J13" s="2">
        <v>43005</v>
      </c>
      <c r="K13" s="2">
        <v>43005</v>
      </c>
      <c r="L13" s="2">
        <v>43005</v>
      </c>
      <c r="M13" s="2">
        <v>43005</v>
      </c>
      <c r="N13" s="2">
        <v>43405</v>
      </c>
      <c r="O13" s="2">
        <v>43361</v>
      </c>
      <c r="X13" s="2"/>
      <c r="Y13" s="2"/>
      <c r="Z13" s="2"/>
      <c r="AA13" s="2"/>
      <c r="AB13" s="2"/>
      <c r="AC13" s="2"/>
      <c r="AD13" s="2"/>
      <c r="AE13" s="2"/>
      <c r="AF13" s="2"/>
      <c r="AG13" s="2"/>
      <c r="AH13" s="2"/>
      <c r="AI13" s="2"/>
      <c r="AJ13" s="2"/>
      <c r="AK13" s="2"/>
      <c r="AL13" s="2"/>
      <c r="AM13" s="2"/>
      <c r="AN13" s="2"/>
      <c r="AO13" s="2"/>
      <c r="AP13" s="2"/>
      <c r="AQ13" s="1" t="s">
        <v>244</v>
      </c>
      <c r="AR13" s="2">
        <v>43405</v>
      </c>
      <c r="AS13" s="2">
        <v>43405</v>
      </c>
      <c r="AT13" s="2">
        <v>43032</v>
      </c>
      <c r="AU13" s="2">
        <v>42971</v>
      </c>
      <c r="AV13" s="2">
        <v>42971</v>
      </c>
      <c r="AW13" s="2">
        <v>43361</v>
      </c>
      <c r="AX13" s="2">
        <v>43005</v>
      </c>
      <c r="AY13" s="2">
        <v>43032</v>
      </c>
      <c r="AZ13" s="2">
        <v>43005</v>
      </c>
      <c r="BA13" s="2">
        <v>43005</v>
      </c>
      <c r="BB13" s="2">
        <v>43005</v>
      </c>
      <c r="BC13" s="2">
        <v>43005</v>
      </c>
      <c r="BD13" s="2">
        <v>43405</v>
      </c>
      <c r="BE13" s="2">
        <v>43361</v>
      </c>
      <c r="BN13" s="2"/>
      <c r="BO13" s="2"/>
      <c r="BP13" s="2"/>
      <c r="BQ13" s="2"/>
      <c r="BR13" s="2"/>
      <c r="BS13" s="2"/>
      <c r="BT13" s="2"/>
      <c r="BU13" s="2"/>
      <c r="BV13" s="2"/>
      <c r="BW13" s="2"/>
      <c r="BX13" s="2"/>
      <c r="BY13" s="2"/>
      <c r="BZ13" s="2"/>
      <c r="CA13" s="2"/>
      <c r="CB13" s="2"/>
      <c r="CC13" s="2"/>
      <c r="CD13" s="2"/>
      <c r="CE13" s="2"/>
      <c r="CF13" s="2"/>
      <c r="DA13" s="3"/>
      <c r="DB13" s="3"/>
      <c r="DC13" s="3"/>
    </row>
    <row r="14" spans="1:107" ht="15.75" customHeight="1">
      <c r="A14" s="1" t="s">
        <v>245</v>
      </c>
      <c r="E14" s="2">
        <v>43054</v>
      </c>
      <c r="F14" s="2">
        <v>43054</v>
      </c>
      <c r="H14" s="2">
        <v>43054</v>
      </c>
      <c r="I14" s="2">
        <v>43054</v>
      </c>
      <c r="J14" s="2">
        <v>43054</v>
      </c>
      <c r="M14" s="2">
        <v>43249</v>
      </c>
      <c r="X14" s="2"/>
      <c r="Z14" s="2"/>
      <c r="AC14" s="2"/>
      <c r="AK14" s="2"/>
      <c r="AL14" s="2"/>
      <c r="AM14" s="2"/>
      <c r="AN14" s="2"/>
      <c r="AO14" s="2"/>
      <c r="AP14" s="2"/>
      <c r="AQ14" s="1" t="s">
        <v>245</v>
      </c>
      <c r="AU14" s="2">
        <v>43054</v>
      </c>
      <c r="AV14" s="2">
        <v>43054</v>
      </c>
      <c r="AX14" s="2">
        <v>43054</v>
      </c>
      <c r="AY14" s="2">
        <v>43054</v>
      </c>
      <c r="AZ14" s="2">
        <v>43054</v>
      </c>
      <c r="BC14" s="2">
        <v>43249</v>
      </c>
      <c r="BN14" s="2"/>
      <c r="BP14" s="2"/>
      <c r="BS14" s="2"/>
      <c r="CA14" s="2"/>
      <c r="CB14" s="2"/>
      <c r="CC14" s="2"/>
      <c r="CD14" s="2"/>
      <c r="CE14" s="2"/>
      <c r="CF14" s="2"/>
      <c r="DA14" s="3"/>
      <c r="DB14" s="3"/>
      <c r="DC14" s="3"/>
    </row>
    <row r="15" spans="1:107" ht="15.75" customHeight="1">
      <c r="A15" s="1" t="s">
        <v>246</v>
      </c>
      <c r="B15" s="1" t="s">
        <v>247</v>
      </c>
      <c r="C15" s="1" t="s">
        <v>318</v>
      </c>
      <c r="D15" s="1" t="s">
        <v>319</v>
      </c>
      <c r="E15" s="1" t="s">
        <v>320</v>
      </c>
      <c r="F15" s="1" t="s">
        <v>321</v>
      </c>
      <c r="G15" s="1" t="s">
        <v>322</v>
      </c>
      <c r="H15" s="1" t="s">
        <v>323</v>
      </c>
      <c r="I15" s="1" t="s">
        <v>324</v>
      </c>
      <c r="J15" s="1" t="s">
        <v>325</v>
      </c>
      <c r="K15" s="1" t="s">
        <v>326</v>
      </c>
      <c r="L15" s="1" t="s">
        <v>327</v>
      </c>
      <c r="M15" s="1" t="s">
        <v>328</v>
      </c>
      <c r="N15" s="1" t="s">
        <v>329</v>
      </c>
      <c r="O15" s="1" t="s">
        <v>330</v>
      </c>
      <c r="AQ15" s="1" t="s">
        <v>246</v>
      </c>
      <c r="AR15" s="1" t="s">
        <v>247</v>
      </c>
      <c r="AS15" s="1" t="s">
        <v>318</v>
      </c>
      <c r="AT15" s="1" t="s">
        <v>319</v>
      </c>
      <c r="AU15" s="1" t="s">
        <v>320</v>
      </c>
      <c r="AV15" s="1" t="s">
        <v>321</v>
      </c>
      <c r="AW15" s="1" t="s">
        <v>322</v>
      </c>
      <c r="AX15" s="1" t="s">
        <v>323</v>
      </c>
      <c r="AY15" s="1" t="s">
        <v>324</v>
      </c>
      <c r="AZ15" s="1" t="s">
        <v>325</v>
      </c>
      <c r="BA15" s="1" t="s">
        <v>326</v>
      </c>
      <c r="BB15" s="1" t="s">
        <v>327</v>
      </c>
      <c r="BC15" s="1" t="s">
        <v>328</v>
      </c>
      <c r="BD15" s="1" t="s">
        <v>329</v>
      </c>
      <c r="BE15" s="1" t="s">
        <v>330</v>
      </c>
      <c r="DA15" s="3"/>
      <c r="DB15" s="3"/>
      <c r="DC15" s="3"/>
    </row>
    <row r="16" spans="1:107" ht="15.75" customHeight="1">
      <c r="A16" s="1" t="s">
        <v>335</v>
      </c>
      <c r="B16" s="1" t="s">
        <v>336</v>
      </c>
      <c r="C16" s="1" t="s">
        <v>403</v>
      </c>
      <c r="D16" s="1" t="s">
        <v>404</v>
      </c>
      <c r="E16" s="1" t="s">
        <v>405</v>
      </c>
      <c r="F16" s="1" t="s">
        <v>406</v>
      </c>
      <c r="G16" s="1" t="s">
        <v>407</v>
      </c>
      <c r="H16" s="1" t="s">
        <v>408</v>
      </c>
      <c r="I16" s="1" t="s">
        <v>409</v>
      </c>
      <c r="J16" s="1" t="s">
        <v>410</v>
      </c>
      <c r="K16" s="1" t="s">
        <v>411</v>
      </c>
      <c r="L16" s="1" t="s">
        <v>412</v>
      </c>
      <c r="M16" s="1" t="s">
        <v>413</v>
      </c>
      <c r="N16" s="1" t="s">
        <v>414</v>
      </c>
      <c r="O16" s="1" t="s">
        <v>415</v>
      </c>
      <c r="AQ16" s="1" t="s">
        <v>335</v>
      </c>
      <c r="AR16" s="1" t="s">
        <v>336</v>
      </c>
      <c r="AS16" s="1" t="s">
        <v>403</v>
      </c>
      <c r="AT16" s="1" t="s">
        <v>404</v>
      </c>
      <c r="AU16" s="1" t="s">
        <v>405</v>
      </c>
      <c r="AV16" s="1" t="s">
        <v>406</v>
      </c>
      <c r="AW16" s="1" t="s">
        <v>407</v>
      </c>
      <c r="AX16" s="1" t="s">
        <v>408</v>
      </c>
      <c r="AY16" s="1" t="s">
        <v>409</v>
      </c>
      <c r="AZ16" s="1" t="s">
        <v>410</v>
      </c>
      <c r="BA16" s="1" t="s">
        <v>411</v>
      </c>
      <c r="BB16" s="1" t="s">
        <v>412</v>
      </c>
      <c r="BC16" s="1" t="s">
        <v>413</v>
      </c>
      <c r="BD16" s="1" t="s">
        <v>414</v>
      </c>
      <c r="BE16" s="1" t="s">
        <v>415</v>
      </c>
      <c r="DA16" s="3"/>
      <c r="DB16" s="3"/>
      <c r="DC16" s="3"/>
    </row>
    <row r="17" spans="105:107" ht="15.75" customHeight="1">
      <c r="DA17" s="3"/>
      <c r="DB17" s="3"/>
      <c r="DC17" s="3"/>
    </row>
    <row r="18" spans="105:107" ht="15.75" customHeight="1">
      <c r="DA18" s="3"/>
      <c r="DB18" s="3"/>
      <c r="DC18" s="3"/>
    </row>
    <row r="19" spans="105:107" ht="15.75" customHeight="1">
      <c r="DA19" s="3"/>
      <c r="DB19" s="3"/>
      <c r="DC19" s="3"/>
    </row>
    <row r="20" spans="105:107" ht="15.75" customHeight="1">
      <c r="DA20" s="3"/>
      <c r="DB20" s="3"/>
      <c r="DC20" s="3"/>
    </row>
    <row r="21" spans="105:107" ht="15.75" customHeight="1">
      <c r="DA21" s="3"/>
      <c r="DB21" s="3"/>
      <c r="DC21" s="3"/>
    </row>
    <row r="22" spans="105:107" ht="15.75" customHeight="1">
      <c r="DA22" s="3"/>
      <c r="DB22" s="3"/>
      <c r="DC22" s="3"/>
    </row>
  </sheetData>
  <hyperlinks>
    <hyperlink ref="O3" r:id="rId1" xr:uid="{00000000-0004-0000-0700-000000000000}"/>
    <hyperlink ref="O4" r:id="rId2" xr:uid="{00000000-0004-0000-0700-000001000000}"/>
    <hyperlink ref="O5" r:id="rId3" xr:uid="{00000000-0004-0000-0700-000002000000}"/>
    <hyperlink ref="O6" r:id="rId4" xr:uid="{00000000-0004-0000-0700-000003000000}"/>
    <hyperlink ref="O7" r:id="rId5" xr:uid="{00000000-0004-0000-0700-000004000000}"/>
    <hyperlink ref="O8" r:id="rId6" xr:uid="{00000000-0004-0000-0700-000005000000}"/>
    <hyperlink ref="O9" r:id="rId7" xr:uid="{00000000-0004-0000-0700-000006000000}"/>
    <hyperlink ref="O10" r:id="rId8" xr:uid="{00000000-0004-0000-0700-000007000000}"/>
    <hyperlink ref="O11" r:id="rId9" xr:uid="{00000000-0004-0000-0700-000008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3C78D8"/>
    <outlinePr summaryBelow="0" summaryRight="0"/>
  </sheetPr>
  <dimension ref="A1:AP23"/>
  <sheetViews>
    <sheetView workbookViewId="0"/>
  </sheetViews>
  <sheetFormatPr baseColWidth="10" defaultColWidth="12.6640625" defaultRowHeight="15.75" customHeight="1"/>
  <cols>
    <col min="13" max="13" width="163.33203125" customWidth="1"/>
    <col min="14" max="14" width="29" customWidth="1"/>
  </cols>
  <sheetData>
    <row r="1" spans="1:16">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row>
    <row r="2" spans="1:16">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row>
    <row r="3" spans="1:16">
      <c r="D3" s="1" t="s">
        <v>531</v>
      </c>
      <c r="H3" s="1" t="s">
        <v>102</v>
      </c>
      <c r="I3" s="1" t="s">
        <v>1354</v>
      </c>
      <c r="J3" s="1" t="s">
        <v>1046</v>
      </c>
      <c r="M3" s="1" t="s">
        <v>1439</v>
      </c>
      <c r="N3" s="14"/>
      <c r="O3" s="13" t="s">
        <v>1440</v>
      </c>
      <c r="P3" s="1" t="s">
        <v>425</v>
      </c>
    </row>
    <row r="4" spans="1:16">
      <c r="D4" s="1" t="s">
        <v>534</v>
      </c>
      <c r="H4" s="1" t="s">
        <v>102</v>
      </c>
      <c r="I4" s="1" t="s">
        <v>1441</v>
      </c>
      <c r="J4" s="1" t="s">
        <v>1046</v>
      </c>
      <c r="M4" s="1" t="s">
        <v>1442</v>
      </c>
      <c r="N4" s="14"/>
      <c r="O4" s="13" t="s">
        <v>1440</v>
      </c>
      <c r="P4" s="1" t="s">
        <v>425</v>
      </c>
    </row>
    <row r="5" spans="1:16">
      <c r="D5" s="1" t="s">
        <v>536</v>
      </c>
      <c r="H5" s="1" t="s">
        <v>102</v>
      </c>
      <c r="I5" s="1" t="s">
        <v>1441</v>
      </c>
      <c r="J5" s="1" t="s">
        <v>1046</v>
      </c>
      <c r="M5" s="1" t="s">
        <v>1443</v>
      </c>
      <c r="N5" s="14"/>
      <c r="O5" s="13" t="s">
        <v>1440</v>
      </c>
      <c r="P5" s="1" t="s">
        <v>425</v>
      </c>
    </row>
    <row r="6" spans="1:16">
      <c r="D6" s="1" t="s">
        <v>537</v>
      </c>
      <c r="H6" s="1" t="s">
        <v>102</v>
      </c>
      <c r="I6" s="1" t="s">
        <v>1441</v>
      </c>
      <c r="J6" s="1" t="s">
        <v>1046</v>
      </c>
      <c r="M6" s="1" t="s">
        <v>1444</v>
      </c>
      <c r="O6" s="13" t="s">
        <v>1440</v>
      </c>
      <c r="P6" s="1" t="s">
        <v>425</v>
      </c>
    </row>
    <row r="7" spans="1:16">
      <c r="D7" s="1" t="s">
        <v>521</v>
      </c>
      <c r="H7" s="1" t="s">
        <v>102</v>
      </c>
      <c r="I7" s="1" t="s">
        <v>1046</v>
      </c>
      <c r="J7" s="1" t="s">
        <v>1046</v>
      </c>
      <c r="M7" s="1" t="s">
        <v>1445</v>
      </c>
      <c r="O7" s="13" t="s">
        <v>1440</v>
      </c>
      <c r="P7" s="1" t="s">
        <v>425</v>
      </c>
    </row>
    <row r="8" spans="1:16">
      <c r="D8" s="1" t="s">
        <v>526</v>
      </c>
      <c r="H8" s="1" t="s">
        <v>102</v>
      </c>
      <c r="I8" s="1" t="s">
        <v>1046</v>
      </c>
      <c r="J8" s="1" t="s">
        <v>1046</v>
      </c>
      <c r="M8" s="1" t="s">
        <v>1446</v>
      </c>
      <c r="O8" s="13" t="s">
        <v>1440</v>
      </c>
      <c r="P8" s="1" t="s">
        <v>425</v>
      </c>
    </row>
    <row r="9" spans="1:16">
      <c r="D9" s="1" t="s">
        <v>510</v>
      </c>
      <c r="H9" s="1" t="s">
        <v>102</v>
      </c>
      <c r="I9" s="1" t="s">
        <v>1447</v>
      </c>
      <c r="J9" s="1" t="s">
        <v>1046</v>
      </c>
      <c r="M9" s="1" t="s">
        <v>1448</v>
      </c>
      <c r="O9" s="13" t="s">
        <v>1440</v>
      </c>
      <c r="P9" s="1" t="s">
        <v>425</v>
      </c>
    </row>
    <row r="10" spans="1:16">
      <c r="D10" s="1" t="s">
        <v>514</v>
      </c>
      <c r="H10" s="1" t="s">
        <v>102</v>
      </c>
      <c r="I10" s="1" t="s">
        <v>1447</v>
      </c>
      <c r="J10" s="1" t="s">
        <v>1046</v>
      </c>
      <c r="M10" s="1" t="s">
        <v>1449</v>
      </c>
      <c r="O10" s="13" t="s">
        <v>1440</v>
      </c>
      <c r="P10" s="1" t="s">
        <v>425</v>
      </c>
    </row>
    <row r="11" spans="1:16">
      <c r="D11" s="1" t="s">
        <v>515</v>
      </c>
      <c r="H11" s="1" t="s">
        <v>102</v>
      </c>
      <c r="I11" s="1" t="s">
        <v>1046</v>
      </c>
      <c r="J11" s="1" t="s">
        <v>1046</v>
      </c>
      <c r="M11" s="1" t="s">
        <v>1450</v>
      </c>
      <c r="O11" s="13" t="s">
        <v>1440</v>
      </c>
      <c r="P11" s="1" t="s">
        <v>425</v>
      </c>
    </row>
    <row r="12" spans="1:16">
      <c r="D12" s="1" t="s">
        <v>517</v>
      </c>
      <c r="H12" s="1" t="s">
        <v>102</v>
      </c>
      <c r="I12" s="1" t="s">
        <v>1046</v>
      </c>
      <c r="J12" s="1" t="s">
        <v>1046</v>
      </c>
      <c r="M12" s="1" t="s">
        <v>1451</v>
      </c>
      <c r="O12" s="13" t="s">
        <v>1440</v>
      </c>
      <c r="P12" s="1" t="s">
        <v>425</v>
      </c>
    </row>
    <row r="13" spans="1:16">
      <c r="A13" s="1" t="s">
        <v>85</v>
      </c>
      <c r="B13" s="1" t="s">
        <v>97</v>
      </c>
      <c r="C13" s="1" t="s">
        <v>98</v>
      </c>
      <c r="D13" s="1" t="s">
        <v>98</v>
      </c>
      <c r="E13" s="1" t="s">
        <v>98</v>
      </c>
      <c r="F13" s="1" t="s">
        <v>98</v>
      </c>
      <c r="G13" s="1" t="s">
        <v>98</v>
      </c>
      <c r="H13" s="1" t="s">
        <v>98</v>
      </c>
      <c r="I13" s="1" t="s">
        <v>98</v>
      </c>
      <c r="J13" s="1" t="s">
        <v>98</v>
      </c>
      <c r="K13" s="1" t="s">
        <v>98</v>
      </c>
      <c r="L13" s="1" t="s">
        <v>98</v>
      </c>
      <c r="M13" s="1" t="s">
        <v>98</v>
      </c>
      <c r="N13" s="1" t="s">
        <v>98</v>
      </c>
      <c r="O13" s="1" t="s">
        <v>98</v>
      </c>
    </row>
    <row r="14" spans="1:16">
      <c r="A14" s="1" t="s">
        <v>103</v>
      </c>
      <c r="B14" s="1" t="s">
        <v>104</v>
      </c>
      <c r="C14" s="1" t="s">
        <v>175</v>
      </c>
      <c r="D14" s="1" t="s">
        <v>176</v>
      </c>
      <c r="E14" s="1" t="s">
        <v>177</v>
      </c>
      <c r="F14" s="1" t="s">
        <v>178</v>
      </c>
      <c r="G14" s="1" t="s">
        <v>179</v>
      </c>
      <c r="H14" s="1" t="s">
        <v>180</v>
      </c>
      <c r="I14" s="1" t="s">
        <v>181</v>
      </c>
      <c r="J14" s="1" t="s">
        <v>182</v>
      </c>
      <c r="K14" s="1" t="s">
        <v>183</v>
      </c>
      <c r="L14" s="1" t="s">
        <v>184</v>
      </c>
      <c r="M14" s="1" t="s">
        <v>185</v>
      </c>
      <c r="N14" s="1" t="s">
        <v>186</v>
      </c>
      <c r="O14" s="1" t="s">
        <v>187</v>
      </c>
    </row>
    <row r="15" spans="1:16">
      <c r="A15" s="1" t="s">
        <v>207</v>
      </c>
      <c r="C15" s="1" t="s">
        <v>234</v>
      </c>
      <c r="D15" s="1" t="s">
        <v>235</v>
      </c>
      <c r="M15" s="1" t="s">
        <v>226</v>
      </c>
    </row>
    <row r="16" spans="1:16">
      <c r="A16" s="1" t="s">
        <v>236</v>
      </c>
      <c r="B16" s="1" t="s">
        <v>190</v>
      </c>
      <c r="C16" s="1" t="s">
        <v>201</v>
      </c>
      <c r="N16" s="1" t="s">
        <v>202</v>
      </c>
    </row>
    <row r="17" spans="1:42">
      <c r="A17" s="1" t="s">
        <v>237</v>
      </c>
    </row>
    <row r="18" spans="1:42">
      <c r="A18" s="1" t="s">
        <v>238</v>
      </c>
    </row>
    <row r="19" spans="1:42">
      <c r="A19" s="1" t="s">
        <v>239</v>
      </c>
      <c r="B19" s="1" t="s">
        <v>240</v>
      </c>
      <c r="C19" s="1" t="s">
        <v>240</v>
      </c>
      <c r="D19" s="1" t="s">
        <v>242</v>
      </c>
      <c r="E19" s="1" t="s">
        <v>242</v>
      </c>
      <c r="F19" s="1" t="s">
        <v>242</v>
      </c>
      <c r="G19" s="1" t="s">
        <v>243</v>
      </c>
      <c r="H19" s="1" t="s">
        <v>242</v>
      </c>
      <c r="I19" s="1" t="s">
        <v>242</v>
      </c>
      <c r="J19" s="1" t="s">
        <v>242</v>
      </c>
      <c r="K19" s="1" t="s">
        <v>242</v>
      </c>
      <c r="L19" s="1" t="s">
        <v>242</v>
      </c>
      <c r="M19" s="1" t="s">
        <v>242</v>
      </c>
      <c r="N19" s="1" t="s">
        <v>240</v>
      </c>
      <c r="O19" s="1" t="s">
        <v>243</v>
      </c>
    </row>
    <row r="20" spans="1:42">
      <c r="A20" s="1" t="s">
        <v>244</v>
      </c>
      <c r="B20" s="2">
        <v>43405</v>
      </c>
      <c r="C20" s="2">
        <v>43405</v>
      </c>
      <c r="D20" s="2">
        <v>43032</v>
      </c>
      <c r="E20" s="2">
        <v>42971</v>
      </c>
      <c r="F20" s="2">
        <v>42971</v>
      </c>
      <c r="G20" s="2">
        <v>43361</v>
      </c>
      <c r="H20" s="2">
        <v>43005</v>
      </c>
      <c r="I20" s="2">
        <v>43032</v>
      </c>
      <c r="J20" s="2">
        <v>43005</v>
      </c>
      <c r="K20" s="2">
        <v>43005</v>
      </c>
      <c r="L20" s="2">
        <v>43005</v>
      </c>
      <c r="M20" s="2">
        <v>43005</v>
      </c>
      <c r="N20" s="2">
        <v>43405</v>
      </c>
      <c r="O20" s="2">
        <v>43361</v>
      </c>
      <c r="X20" s="2"/>
      <c r="Y20" s="2"/>
      <c r="Z20" s="2"/>
      <c r="AA20" s="2"/>
      <c r="AB20" s="2"/>
      <c r="AC20" s="2"/>
      <c r="AD20" s="2"/>
      <c r="AE20" s="2"/>
      <c r="AF20" s="2"/>
      <c r="AG20" s="2"/>
      <c r="AH20" s="2"/>
      <c r="AI20" s="2"/>
      <c r="AJ20" s="2"/>
      <c r="AK20" s="2"/>
      <c r="AL20" s="2"/>
      <c r="AM20" s="2"/>
      <c r="AN20" s="2"/>
      <c r="AO20" s="2"/>
      <c r="AP20" s="2"/>
    </row>
    <row r="21" spans="1:42">
      <c r="A21" s="1" t="s">
        <v>245</v>
      </c>
      <c r="E21" s="2">
        <v>43054</v>
      </c>
      <c r="F21" s="2">
        <v>43054</v>
      </c>
      <c r="H21" s="2">
        <v>43054</v>
      </c>
      <c r="I21" s="2">
        <v>43054</v>
      </c>
      <c r="J21" s="2">
        <v>43054</v>
      </c>
      <c r="M21" s="2">
        <v>43249</v>
      </c>
      <c r="X21" s="2"/>
      <c r="Z21" s="2"/>
      <c r="AC21" s="2"/>
      <c r="AK21" s="2"/>
      <c r="AL21" s="2"/>
      <c r="AM21" s="2"/>
      <c r="AN21" s="2"/>
      <c r="AO21" s="2"/>
      <c r="AP21" s="2"/>
    </row>
    <row r="22" spans="1:42">
      <c r="A22" s="1" t="s">
        <v>246</v>
      </c>
      <c r="B22" s="1" t="s">
        <v>247</v>
      </c>
      <c r="C22" s="1" t="s">
        <v>318</v>
      </c>
      <c r="D22" s="1" t="s">
        <v>319</v>
      </c>
      <c r="E22" s="1" t="s">
        <v>320</v>
      </c>
      <c r="F22" s="1" t="s">
        <v>321</v>
      </c>
      <c r="G22" s="1" t="s">
        <v>322</v>
      </c>
      <c r="H22" s="1" t="s">
        <v>323</v>
      </c>
      <c r="I22" s="1" t="s">
        <v>324</v>
      </c>
      <c r="J22" s="1" t="s">
        <v>325</v>
      </c>
      <c r="K22" s="1" t="s">
        <v>326</v>
      </c>
      <c r="L22" s="1" t="s">
        <v>327</v>
      </c>
      <c r="M22" s="1" t="s">
        <v>328</v>
      </c>
      <c r="N22" s="1" t="s">
        <v>329</v>
      </c>
      <c r="O22" s="1" t="s">
        <v>330</v>
      </c>
    </row>
    <row r="23" spans="1:42">
      <c r="A23" s="1" t="s">
        <v>335</v>
      </c>
      <c r="B23" s="1" t="s">
        <v>336</v>
      </c>
      <c r="C23" s="1" t="s">
        <v>403</v>
      </c>
      <c r="D23" s="1" t="s">
        <v>404</v>
      </c>
      <c r="E23" s="1" t="s">
        <v>405</v>
      </c>
      <c r="F23" s="1" t="s">
        <v>406</v>
      </c>
      <c r="G23" s="1" t="s">
        <v>407</v>
      </c>
      <c r="H23" s="1" t="s">
        <v>408</v>
      </c>
      <c r="I23" s="1" t="s">
        <v>409</v>
      </c>
      <c r="J23" s="1" t="s">
        <v>410</v>
      </c>
      <c r="K23" s="1" t="s">
        <v>411</v>
      </c>
      <c r="L23" s="1" t="s">
        <v>412</v>
      </c>
      <c r="M23" s="1" t="s">
        <v>413</v>
      </c>
      <c r="N23" s="1" t="s">
        <v>414</v>
      </c>
      <c r="O23" s="1" t="s">
        <v>415</v>
      </c>
    </row>
  </sheetData>
  <hyperlinks>
    <hyperlink ref="O3" r:id="rId1" xr:uid="{00000000-0004-0000-0800-000000000000}"/>
    <hyperlink ref="O4" r:id="rId2" xr:uid="{00000000-0004-0000-0800-000001000000}"/>
    <hyperlink ref="O5" r:id="rId3" xr:uid="{00000000-0004-0000-0800-000002000000}"/>
    <hyperlink ref="O6" r:id="rId4" xr:uid="{00000000-0004-0000-0800-000003000000}"/>
    <hyperlink ref="O7" r:id="rId5" xr:uid="{00000000-0004-0000-0800-000004000000}"/>
    <hyperlink ref="O8" r:id="rId6" xr:uid="{00000000-0004-0000-0800-000005000000}"/>
    <hyperlink ref="O9" r:id="rId7" xr:uid="{00000000-0004-0000-0800-000006000000}"/>
    <hyperlink ref="O10" r:id="rId8" xr:uid="{00000000-0004-0000-0800-000007000000}"/>
    <hyperlink ref="O11" r:id="rId9" xr:uid="{00000000-0004-0000-0800-000008000000}"/>
    <hyperlink ref="O12" r:id="rId10" xr:uid="{00000000-0004-0000-0800-000009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F23"/>
  <sheetViews>
    <sheetView tabSelected="1" workbookViewId="0">
      <selection activeCell="D19" sqref="D19"/>
    </sheetView>
  </sheetViews>
  <sheetFormatPr baseColWidth="10" defaultColWidth="12.6640625" defaultRowHeight="15.75" customHeight="1"/>
  <cols>
    <col min="16" max="16" width="17.109375" customWidth="1"/>
  </cols>
  <sheetData>
    <row r="1" spans="1:57">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row>
    <row r="2" spans="1:57">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row>
    <row r="3" spans="1:57">
      <c r="D3" s="1" t="s">
        <v>467</v>
      </c>
      <c r="H3" s="1" t="s">
        <v>102</v>
      </c>
      <c r="I3" s="1" t="s">
        <v>1136</v>
      </c>
      <c r="J3" s="1" t="s">
        <v>1046</v>
      </c>
      <c r="M3" s="1" t="s">
        <v>1452</v>
      </c>
      <c r="O3" s="13" t="s">
        <v>1453</v>
      </c>
      <c r="P3" s="1" t="s">
        <v>427</v>
      </c>
    </row>
    <row r="4" spans="1:57">
      <c r="D4" s="1" t="s">
        <v>485</v>
      </c>
      <c r="H4" s="1" t="s">
        <v>102</v>
      </c>
      <c r="I4" s="1" t="s">
        <v>1407</v>
      </c>
      <c r="J4" s="1" t="s">
        <v>1046</v>
      </c>
      <c r="M4" s="1" t="s">
        <v>1454</v>
      </c>
      <c r="O4" s="13" t="s">
        <v>1453</v>
      </c>
      <c r="P4" s="1" t="s">
        <v>427</v>
      </c>
    </row>
    <row r="5" spans="1:57">
      <c r="D5" s="1" t="s">
        <v>615</v>
      </c>
      <c r="H5" s="1" t="s">
        <v>102</v>
      </c>
      <c r="I5" s="1" t="s">
        <v>1354</v>
      </c>
      <c r="J5" s="1" t="s">
        <v>1046</v>
      </c>
      <c r="M5" s="1" t="s">
        <v>1455</v>
      </c>
      <c r="O5" s="13" t="s">
        <v>1453</v>
      </c>
      <c r="P5" s="1" t="s">
        <v>427</v>
      </c>
    </row>
    <row r="6" spans="1:57">
      <c r="D6" s="1" t="s">
        <v>496</v>
      </c>
      <c r="H6" s="1" t="s">
        <v>102</v>
      </c>
      <c r="I6" s="1" t="s">
        <v>1407</v>
      </c>
      <c r="J6" s="1" t="s">
        <v>1046</v>
      </c>
      <c r="M6" s="1" t="s">
        <v>1456</v>
      </c>
      <c r="O6" s="13" t="s">
        <v>1453</v>
      </c>
      <c r="P6" s="1" t="s">
        <v>427</v>
      </c>
    </row>
    <row r="7" spans="1:57">
      <c r="D7" s="1" t="s">
        <v>46</v>
      </c>
      <c r="H7" s="1" t="s">
        <v>1045</v>
      </c>
      <c r="I7" s="1" t="s">
        <v>1046</v>
      </c>
      <c r="J7" s="1" t="s">
        <v>1457</v>
      </c>
      <c r="K7" s="1" t="s">
        <v>1046</v>
      </c>
      <c r="L7" s="1" t="s">
        <v>1046</v>
      </c>
      <c r="M7" s="1" t="s">
        <v>1458</v>
      </c>
      <c r="O7" s="13" t="s">
        <v>1453</v>
      </c>
      <c r="P7" s="1" t="s">
        <v>427</v>
      </c>
    </row>
    <row r="8" spans="1:57">
      <c r="D8" s="1" t="s">
        <v>44</v>
      </c>
      <c r="H8" s="1" t="s">
        <v>1045</v>
      </c>
      <c r="I8" s="1" t="s">
        <v>1046</v>
      </c>
      <c r="J8" s="1" t="s">
        <v>1426</v>
      </c>
      <c r="K8" s="1" t="s">
        <v>1046</v>
      </c>
      <c r="L8" s="1" t="s">
        <v>1046</v>
      </c>
      <c r="M8" s="1" t="s">
        <v>1459</v>
      </c>
      <c r="O8" s="13" t="s">
        <v>1453</v>
      </c>
      <c r="P8" s="1" t="s">
        <v>427</v>
      </c>
    </row>
    <row r="9" spans="1:57">
      <c r="D9" s="1" t="s">
        <v>657</v>
      </c>
      <c r="H9" s="1" t="s">
        <v>1045</v>
      </c>
      <c r="I9" s="1" t="s">
        <v>1046</v>
      </c>
      <c r="J9" s="1" t="s">
        <v>1460</v>
      </c>
      <c r="K9" s="1" t="s">
        <v>1046</v>
      </c>
      <c r="L9" s="1" t="s">
        <v>1046</v>
      </c>
      <c r="M9" s="1" t="s">
        <v>1461</v>
      </c>
      <c r="O9" s="13" t="s">
        <v>1453</v>
      </c>
      <c r="P9" s="1" t="s">
        <v>427</v>
      </c>
    </row>
    <row r="10" spans="1:57">
      <c r="D10" s="1" t="s">
        <v>676</v>
      </c>
      <c r="H10" s="1" t="s">
        <v>1045</v>
      </c>
      <c r="I10" s="1" t="s">
        <v>1046</v>
      </c>
      <c r="J10" s="1" t="s">
        <v>1462</v>
      </c>
      <c r="K10" s="1" t="s">
        <v>1046</v>
      </c>
      <c r="L10" s="1" t="s">
        <v>1046</v>
      </c>
      <c r="M10" s="1" t="s">
        <v>1463</v>
      </c>
      <c r="O10" s="13" t="s">
        <v>1453</v>
      </c>
      <c r="P10" s="1" t="s">
        <v>427</v>
      </c>
    </row>
    <row r="11" spans="1:57">
      <c r="A11" s="1" t="s">
        <v>85</v>
      </c>
      <c r="B11" s="1" t="s">
        <v>97</v>
      </c>
      <c r="C11" s="1" t="s">
        <v>98</v>
      </c>
      <c r="D11" s="1" t="s">
        <v>98</v>
      </c>
      <c r="E11" s="1" t="s">
        <v>98</v>
      </c>
      <c r="F11" s="1" t="s">
        <v>98</v>
      </c>
      <c r="G11" s="1" t="s">
        <v>98</v>
      </c>
      <c r="H11" s="1" t="s">
        <v>98</v>
      </c>
      <c r="I11" s="1" t="s">
        <v>98</v>
      </c>
      <c r="J11" s="1" t="s">
        <v>98</v>
      </c>
      <c r="K11" s="1" t="s">
        <v>98</v>
      </c>
      <c r="L11" s="1" t="s">
        <v>98</v>
      </c>
      <c r="M11" s="1" t="s">
        <v>98</v>
      </c>
      <c r="N11" s="1" t="s">
        <v>98</v>
      </c>
      <c r="O11" s="1" t="s">
        <v>98</v>
      </c>
      <c r="AQ11" s="1" t="s">
        <v>85</v>
      </c>
      <c r="AR11" s="1" t="s">
        <v>97</v>
      </c>
      <c r="AS11" s="1" t="s">
        <v>98</v>
      </c>
      <c r="AT11" s="1" t="s">
        <v>98</v>
      </c>
      <c r="AU11" s="1" t="s">
        <v>98</v>
      </c>
      <c r="AV11" s="1" t="s">
        <v>98</v>
      </c>
      <c r="AW11" s="1" t="s">
        <v>98</v>
      </c>
      <c r="AX11" s="1" t="s">
        <v>98</v>
      </c>
      <c r="AY11" s="1" t="s">
        <v>98</v>
      </c>
      <c r="AZ11" s="1" t="s">
        <v>98</v>
      </c>
      <c r="BA11" s="1" t="s">
        <v>98</v>
      </c>
      <c r="BB11" s="1" t="s">
        <v>98</v>
      </c>
      <c r="BC11" s="1" t="s">
        <v>98</v>
      </c>
      <c r="BD11" s="1" t="s">
        <v>98</v>
      </c>
      <c r="BE11" s="1" t="s">
        <v>98</v>
      </c>
    </row>
    <row r="12" spans="1:57">
      <c r="A12" s="1" t="s">
        <v>103</v>
      </c>
      <c r="B12" s="1" t="s">
        <v>104</v>
      </c>
      <c r="C12" s="1" t="s">
        <v>175</v>
      </c>
      <c r="D12" s="1" t="s">
        <v>176</v>
      </c>
      <c r="E12" s="1" t="s">
        <v>177</v>
      </c>
      <c r="F12" s="1" t="s">
        <v>178</v>
      </c>
      <c r="G12" s="1" t="s">
        <v>179</v>
      </c>
      <c r="H12" s="1" t="s">
        <v>180</v>
      </c>
      <c r="I12" s="1" t="s">
        <v>181</v>
      </c>
      <c r="J12" s="1" t="s">
        <v>182</v>
      </c>
      <c r="K12" s="1" t="s">
        <v>183</v>
      </c>
      <c r="L12" s="1" t="s">
        <v>184</v>
      </c>
      <c r="M12" s="1" t="s">
        <v>185</v>
      </c>
      <c r="N12" s="1" t="s">
        <v>186</v>
      </c>
      <c r="O12" s="1" t="s">
        <v>187</v>
      </c>
      <c r="AQ12" s="1" t="s">
        <v>103</v>
      </c>
      <c r="AR12" s="1" t="s">
        <v>104</v>
      </c>
      <c r="AS12" s="1" t="s">
        <v>175</v>
      </c>
      <c r="AT12" s="1" t="s">
        <v>176</v>
      </c>
      <c r="AU12" s="1" t="s">
        <v>177</v>
      </c>
      <c r="AV12" s="1" t="s">
        <v>178</v>
      </c>
      <c r="AW12" s="1" t="s">
        <v>179</v>
      </c>
      <c r="AX12" s="1" t="s">
        <v>180</v>
      </c>
      <c r="AY12" s="1" t="s">
        <v>181</v>
      </c>
      <c r="AZ12" s="1" t="s">
        <v>182</v>
      </c>
      <c r="BA12" s="1" t="s">
        <v>183</v>
      </c>
      <c r="BB12" s="1" t="s">
        <v>184</v>
      </c>
      <c r="BC12" s="1" t="s">
        <v>185</v>
      </c>
      <c r="BD12" s="1" t="s">
        <v>186</v>
      </c>
      <c r="BE12" s="1" t="s">
        <v>187</v>
      </c>
    </row>
    <row r="13" spans="1:57">
      <c r="A13" s="1" t="s">
        <v>207</v>
      </c>
      <c r="C13" s="1" t="s">
        <v>234</v>
      </c>
      <c r="D13" s="1" t="s">
        <v>235</v>
      </c>
      <c r="M13" s="1" t="s">
        <v>226</v>
      </c>
      <c r="AQ13" s="1" t="s">
        <v>207</v>
      </c>
      <c r="AS13" s="1" t="s">
        <v>234</v>
      </c>
      <c r="AT13" s="1" t="s">
        <v>235</v>
      </c>
      <c r="BC13" s="1" t="s">
        <v>226</v>
      </c>
    </row>
    <row r="14" spans="1:57">
      <c r="A14" s="1" t="s">
        <v>236</v>
      </c>
      <c r="B14" s="1" t="s">
        <v>190</v>
      </c>
      <c r="C14" s="1" t="s">
        <v>201</v>
      </c>
      <c r="N14" s="1" t="s">
        <v>202</v>
      </c>
      <c r="AQ14" s="1" t="s">
        <v>236</v>
      </c>
      <c r="AR14" s="1" t="s">
        <v>190</v>
      </c>
      <c r="AS14" s="1" t="s">
        <v>201</v>
      </c>
      <c r="BD14" s="1" t="s">
        <v>202</v>
      </c>
    </row>
    <row r="15" spans="1:57">
      <c r="A15" s="1" t="s">
        <v>237</v>
      </c>
      <c r="AQ15" s="1" t="s">
        <v>237</v>
      </c>
    </row>
    <row r="16" spans="1:57">
      <c r="A16" s="1" t="s">
        <v>238</v>
      </c>
      <c r="AQ16" s="1" t="s">
        <v>238</v>
      </c>
    </row>
    <row r="17" spans="1:84">
      <c r="A17" s="1" t="s">
        <v>239</v>
      </c>
      <c r="B17" s="1" t="s">
        <v>240</v>
      </c>
      <c r="C17" s="1" t="s">
        <v>240</v>
      </c>
      <c r="D17" s="1" t="s">
        <v>242</v>
      </c>
      <c r="E17" s="1" t="s">
        <v>242</v>
      </c>
      <c r="F17" s="1" t="s">
        <v>242</v>
      </c>
      <c r="G17" s="1" t="s">
        <v>243</v>
      </c>
      <c r="H17" s="1" t="s">
        <v>242</v>
      </c>
      <c r="I17" s="1" t="s">
        <v>242</v>
      </c>
      <c r="J17" s="1" t="s">
        <v>242</v>
      </c>
      <c r="K17" s="1" t="s">
        <v>242</v>
      </c>
      <c r="L17" s="1" t="s">
        <v>242</v>
      </c>
      <c r="M17" s="1" t="s">
        <v>242</v>
      </c>
      <c r="N17" s="1" t="s">
        <v>240</v>
      </c>
      <c r="O17" s="1" t="s">
        <v>243</v>
      </c>
      <c r="AQ17" s="1" t="s">
        <v>239</v>
      </c>
      <c r="AR17" s="1" t="s">
        <v>240</v>
      </c>
      <c r="AS17" s="1" t="s">
        <v>240</v>
      </c>
      <c r="AT17" s="1" t="s">
        <v>242</v>
      </c>
      <c r="AU17" s="1" t="s">
        <v>242</v>
      </c>
      <c r="AV17" s="1" t="s">
        <v>242</v>
      </c>
      <c r="AW17" s="1" t="s">
        <v>243</v>
      </c>
      <c r="AX17" s="1" t="s">
        <v>242</v>
      </c>
      <c r="AY17" s="1" t="s">
        <v>242</v>
      </c>
      <c r="AZ17" s="1" t="s">
        <v>242</v>
      </c>
      <c r="BA17" s="1" t="s">
        <v>242</v>
      </c>
      <c r="BB17" s="1" t="s">
        <v>242</v>
      </c>
      <c r="BC17" s="1" t="s">
        <v>242</v>
      </c>
      <c r="BD17" s="1" t="s">
        <v>240</v>
      </c>
      <c r="BE17" s="1" t="s">
        <v>243</v>
      </c>
    </row>
    <row r="18" spans="1:84">
      <c r="A18" s="1" t="s">
        <v>244</v>
      </c>
      <c r="B18" s="2">
        <v>43405</v>
      </c>
      <c r="C18" s="2">
        <v>43405</v>
      </c>
      <c r="D18" s="2">
        <v>43032</v>
      </c>
      <c r="E18" s="2">
        <v>42971</v>
      </c>
      <c r="F18" s="2">
        <v>42971</v>
      </c>
      <c r="G18" s="2">
        <v>43361</v>
      </c>
      <c r="H18" s="2">
        <v>43005</v>
      </c>
      <c r="I18" s="2">
        <v>43032</v>
      </c>
      <c r="J18" s="2">
        <v>43005</v>
      </c>
      <c r="K18" s="2">
        <v>43005</v>
      </c>
      <c r="L18" s="2">
        <v>43005</v>
      </c>
      <c r="M18" s="2">
        <v>43005</v>
      </c>
      <c r="N18" s="2">
        <v>43405</v>
      </c>
      <c r="O18" s="2">
        <v>43361</v>
      </c>
      <c r="X18" s="2"/>
      <c r="Y18" s="2"/>
      <c r="Z18" s="2"/>
      <c r="AA18" s="2"/>
      <c r="AB18" s="2"/>
      <c r="AC18" s="2"/>
      <c r="AD18" s="2"/>
      <c r="AE18" s="2"/>
      <c r="AF18" s="2"/>
      <c r="AG18" s="2"/>
      <c r="AH18" s="2"/>
      <c r="AI18" s="2"/>
      <c r="AJ18" s="2"/>
      <c r="AK18" s="2"/>
      <c r="AL18" s="2"/>
      <c r="AM18" s="2"/>
      <c r="AN18" s="2"/>
      <c r="AO18" s="2"/>
      <c r="AP18" s="2"/>
      <c r="AQ18" s="1" t="s">
        <v>244</v>
      </c>
      <c r="AR18" s="2">
        <v>43405</v>
      </c>
      <c r="AS18" s="2">
        <v>43405</v>
      </c>
      <c r="AT18" s="2">
        <v>43032</v>
      </c>
      <c r="AU18" s="2">
        <v>42971</v>
      </c>
      <c r="AV18" s="2">
        <v>42971</v>
      </c>
      <c r="AW18" s="2">
        <v>43361</v>
      </c>
      <c r="AX18" s="2">
        <v>43005</v>
      </c>
      <c r="AY18" s="2">
        <v>43032</v>
      </c>
      <c r="AZ18" s="2">
        <v>43005</v>
      </c>
      <c r="BA18" s="2">
        <v>43005</v>
      </c>
      <c r="BB18" s="2">
        <v>43005</v>
      </c>
      <c r="BC18" s="2">
        <v>43005</v>
      </c>
      <c r="BD18" s="2">
        <v>43405</v>
      </c>
      <c r="BE18" s="2">
        <v>43361</v>
      </c>
      <c r="BN18" s="2"/>
      <c r="BO18" s="2"/>
      <c r="BP18" s="2"/>
      <c r="BQ18" s="2"/>
      <c r="BR18" s="2"/>
      <c r="BS18" s="2"/>
      <c r="BT18" s="2"/>
      <c r="BU18" s="2"/>
      <c r="BV18" s="2"/>
      <c r="BW18" s="2"/>
      <c r="BX18" s="2"/>
      <c r="BY18" s="2"/>
      <c r="BZ18" s="2"/>
      <c r="CA18" s="2"/>
      <c r="CB18" s="2"/>
      <c r="CC18" s="2"/>
      <c r="CD18" s="2"/>
      <c r="CE18" s="2"/>
      <c r="CF18" s="2"/>
    </row>
    <row r="19" spans="1:84">
      <c r="A19" s="1" t="s">
        <v>245</v>
      </c>
      <c r="E19" s="2">
        <v>43054</v>
      </c>
      <c r="F19" s="2">
        <v>43054</v>
      </c>
      <c r="H19" s="2">
        <v>43054</v>
      </c>
      <c r="I19" s="2">
        <v>43054</v>
      </c>
      <c r="J19" s="2">
        <v>43054</v>
      </c>
      <c r="M19" s="2">
        <v>43249</v>
      </c>
      <c r="X19" s="2"/>
      <c r="Z19" s="2"/>
      <c r="AC19" s="2"/>
      <c r="AK19" s="2"/>
      <c r="AL19" s="2"/>
      <c r="AM19" s="2"/>
      <c r="AN19" s="2"/>
      <c r="AO19" s="2"/>
      <c r="AP19" s="2"/>
      <c r="AQ19" s="1" t="s">
        <v>245</v>
      </c>
      <c r="AU19" s="2">
        <v>43054</v>
      </c>
      <c r="AV19" s="2">
        <v>43054</v>
      </c>
      <c r="AX19" s="2">
        <v>43054</v>
      </c>
      <c r="AY19" s="2">
        <v>43054</v>
      </c>
      <c r="AZ19" s="2">
        <v>43054</v>
      </c>
      <c r="BC19" s="2">
        <v>43249</v>
      </c>
      <c r="BN19" s="2"/>
      <c r="BP19" s="2"/>
      <c r="BS19" s="2"/>
      <c r="CA19" s="2"/>
      <c r="CB19" s="2"/>
      <c r="CC19" s="2"/>
      <c r="CD19" s="2"/>
      <c r="CE19" s="2"/>
      <c r="CF19" s="2"/>
    </row>
    <row r="20" spans="1:84">
      <c r="A20" s="1" t="s">
        <v>246</v>
      </c>
      <c r="B20" s="1" t="s">
        <v>247</v>
      </c>
      <c r="C20" s="1" t="s">
        <v>318</v>
      </c>
      <c r="D20" s="1" t="s">
        <v>319</v>
      </c>
      <c r="E20" s="1" t="s">
        <v>320</v>
      </c>
      <c r="F20" s="1" t="s">
        <v>321</v>
      </c>
      <c r="G20" s="1" t="s">
        <v>322</v>
      </c>
      <c r="H20" s="1" t="s">
        <v>323</v>
      </c>
      <c r="I20" s="1" t="s">
        <v>324</v>
      </c>
      <c r="J20" s="1" t="s">
        <v>325</v>
      </c>
      <c r="K20" s="1" t="s">
        <v>326</v>
      </c>
      <c r="L20" s="1" t="s">
        <v>327</v>
      </c>
      <c r="M20" s="1" t="s">
        <v>328</v>
      </c>
      <c r="N20" s="1" t="s">
        <v>329</v>
      </c>
      <c r="O20" s="1" t="s">
        <v>330</v>
      </c>
      <c r="AQ20" s="1" t="s">
        <v>246</v>
      </c>
      <c r="AR20" s="1" t="s">
        <v>247</v>
      </c>
      <c r="AS20" s="1" t="s">
        <v>318</v>
      </c>
      <c r="AT20" s="1" t="s">
        <v>319</v>
      </c>
      <c r="AU20" s="1" t="s">
        <v>320</v>
      </c>
      <c r="AV20" s="1" t="s">
        <v>321</v>
      </c>
      <c r="AW20" s="1" t="s">
        <v>322</v>
      </c>
      <c r="AX20" s="1" t="s">
        <v>323</v>
      </c>
      <c r="AY20" s="1" t="s">
        <v>324</v>
      </c>
      <c r="AZ20" s="1" t="s">
        <v>325</v>
      </c>
      <c r="BA20" s="1" t="s">
        <v>326</v>
      </c>
      <c r="BB20" s="1" t="s">
        <v>327</v>
      </c>
      <c r="BC20" s="1" t="s">
        <v>328</v>
      </c>
      <c r="BD20" s="1" t="s">
        <v>329</v>
      </c>
      <c r="BE20" s="1" t="s">
        <v>330</v>
      </c>
    </row>
    <row r="21" spans="1:84">
      <c r="A21" s="1" t="s">
        <v>335</v>
      </c>
      <c r="B21" s="1" t="s">
        <v>336</v>
      </c>
      <c r="C21" s="1" t="s">
        <v>403</v>
      </c>
      <c r="D21" s="1" t="s">
        <v>404</v>
      </c>
      <c r="E21" s="1" t="s">
        <v>405</v>
      </c>
      <c r="F21" s="1" t="s">
        <v>406</v>
      </c>
      <c r="G21" s="1" t="s">
        <v>407</v>
      </c>
      <c r="H21" s="1" t="s">
        <v>408</v>
      </c>
      <c r="I21" s="1" t="s">
        <v>409</v>
      </c>
      <c r="J21" s="1" t="s">
        <v>410</v>
      </c>
      <c r="K21" s="1" t="s">
        <v>411</v>
      </c>
      <c r="L21" s="1" t="s">
        <v>412</v>
      </c>
      <c r="M21" s="1" t="s">
        <v>413</v>
      </c>
      <c r="N21" s="1" t="s">
        <v>414</v>
      </c>
      <c r="O21" s="1" t="s">
        <v>415</v>
      </c>
      <c r="AQ21" s="1" t="s">
        <v>335</v>
      </c>
      <c r="AR21" s="1" t="s">
        <v>336</v>
      </c>
      <c r="AS21" s="1" t="s">
        <v>403</v>
      </c>
      <c r="AT21" s="1" t="s">
        <v>404</v>
      </c>
      <c r="AU21" s="1" t="s">
        <v>405</v>
      </c>
      <c r="AV21" s="1" t="s">
        <v>406</v>
      </c>
      <c r="AW21" s="1" t="s">
        <v>407</v>
      </c>
      <c r="AX21" s="1" t="s">
        <v>408</v>
      </c>
      <c r="AY21" s="1" t="s">
        <v>409</v>
      </c>
      <c r="AZ21" s="1" t="s">
        <v>410</v>
      </c>
      <c r="BA21" s="1" t="s">
        <v>411</v>
      </c>
      <c r="BB21" s="1" t="s">
        <v>412</v>
      </c>
      <c r="BC21" s="1" t="s">
        <v>413</v>
      </c>
      <c r="BD21" s="1" t="s">
        <v>414</v>
      </c>
      <c r="BE21" s="1" t="s">
        <v>415</v>
      </c>
    </row>
    <row r="23" spans="1:84">
      <c r="A23" s="4"/>
      <c r="B23" s="4"/>
      <c r="C23" s="4"/>
      <c r="D23" s="4"/>
      <c r="E23" s="4"/>
      <c r="F23" s="4"/>
      <c r="G23" s="4"/>
      <c r="H23" s="4"/>
    </row>
  </sheetData>
  <hyperlinks>
    <hyperlink ref="O3" r:id="rId1" xr:uid="{00000000-0004-0000-0900-000000000000}"/>
    <hyperlink ref="O4" r:id="rId2" xr:uid="{00000000-0004-0000-0900-000001000000}"/>
    <hyperlink ref="O5" r:id="rId3" xr:uid="{00000000-0004-0000-0900-000002000000}"/>
    <hyperlink ref="O6" r:id="rId4" xr:uid="{00000000-0004-0000-0900-000003000000}"/>
    <hyperlink ref="O7" r:id="rId5" xr:uid="{00000000-0004-0000-0900-000004000000}"/>
    <hyperlink ref="O8" r:id="rId6" xr:uid="{00000000-0004-0000-0900-000005000000}"/>
    <hyperlink ref="O9" r:id="rId7" xr:uid="{00000000-0004-0000-0900-000006000000}"/>
    <hyperlink ref="O10" r:id="rId8" xr:uid="{00000000-0004-0000-0900-000007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CF21"/>
  <sheetViews>
    <sheetView workbookViewId="0"/>
  </sheetViews>
  <sheetFormatPr baseColWidth="10" defaultColWidth="12.6640625" defaultRowHeight="15.75" customHeight="1"/>
  <sheetData>
    <row r="1" spans="1:57">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row>
    <row r="2" spans="1:57">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row>
    <row r="3" spans="1:57">
      <c r="D3" s="1" t="s">
        <v>673</v>
      </c>
      <c r="H3" s="1" t="s">
        <v>1464</v>
      </c>
      <c r="J3" s="1" t="s">
        <v>1046</v>
      </c>
      <c r="M3" s="13" t="s">
        <v>1465</v>
      </c>
      <c r="O3" s="13" t="s">
        <v>1466</v>
      </c>
      <c r="P3" s="1" t="s">
        <v>430</v>
      </c>
    </row>
    <row r="4" spans="1:57">
      <c r="D4" s="1" t="s">
        <v>625</v>
      </c>
      <c r="E4" s="15"/>
      <c r="F4" s="15"/>
      <c r="G4" s="15"/>
      <c r="H4" s="1" t="s">
        <v>1464</v>
      </c>
      <c r="I4" s="15"/>
      <c r="J4" s="1" t="s">
        <v>1046</v>
      </c>
      <c r="K4" s="15"/>
      <c r="M4" s="1" t="s">
        <v>1467</v>
      </c>
      <c r="O4" s="13" t="s">
        <v>1466</v>
      </c>
      <c r="P4" s="1" t="s">
        <v>430</v>
      </c>
    </row>
    <row r="5" spans="1:57">
      <c r="D5" s="1" t="s">
        <v>1468</v>
      </c>
      <c r="H5" s="1" t="s">
        <v>1464</v>
      </c>
      <c r="J5" s="1" t="s">
        <v>1046</v>
      </c>
      <c r="M5" s="1" t="s">
        <v>1469</v>
      </c>
      <c r="O5" s="13" t="s">
        <v>1466</v>
      </c>
      <c r="P5" s="1" t="s">
        <v>430</v>
      </c>
    </row>
    <row r="6" spans="1:57">
      <c r="D6" s="1" t="s">
        <v>959</v>
      </c>
      <c r="H6" s="1" t="s">
        <v>1464</v>
      </c>
      <c r="J6" s="1" t="s">
        <v>1046</v>
      </c>
      <c r="M6" s="13" t="s">
        <v>1470</v>
      </c>
      <c r="O6" s="13" t="s">
        <v>1466</v>
      </c>
      <c r="P6" s="1" t="s">
        <v>430</v>
      </c>
    </row>
    <row r="7" spans="1:57">
      <c r="D7" s="1" t="s">
        <v>477</v>
      </c>
      <c r="H7" s="1" t="s">
        <v>1464</v>
      </c>
      <c r="I7" s="1" t="s">
        <v>1136</v>
      </c>
      <c r="J7" s="1" t="s">
        <v>1046</v>
      </c>
      <c r="M7" s="1" t="s">
        <v>1471</v>
      </c>
      <c r="O7" s="13" t="s">
        <v>1466</v>
      </c>
      <c r="P7" s="1" t="s">
        <v>430</v>
      </c>
    </row>
    <row r="8" spans="1:57">
      <c r="D8" s="1" t="s">
        <v>721</v>
      </c>
      <c r="H8" s="1" t="s">
        <v>1045</v>
      </c>
      <c r="I8" s="1" t="s">
        <v>1046</v>
      </c>
      <c r="J8" s="1" t="s">
        <v>1472</v>
      </c>
      <c r="K8" s="1" t="s">
        <v>1046</v>
      </c>
      <c r="L8" s="1" t="s">
        <v>1046</v>
      </c>
      <c r="O8" s="13" t="s">
        <v>1466</v>
      </c>
      <c r="P8" s="1" t="s">
        <v>430</v>
      </c>
    </row>
    <row r="9" spans="1:57">
      <c r="D9" s="1" t="s">
        <v>938</v>
      </c>
      <c r="H9" s="1" t="s">
        <v>1045</v>
      </c>
      <c r="I9" s="1" t="s">
        <v>1046</v>
      </c>
      <c r="J9" s="1" t="s">
        <v>1473</v>
      </c>
      <c r="K9" s="1" t="s">
        <v>1046</v>
      </c>
      <c r="L9" s="1" t="s">
        <v>1046</v>
      </c>
      <c r="M9" s="13" t="s">
        <v>1474</v>
      </c>
      <c r="O9" s="13" t="s">
        <v>1466</v>
      </c>
      <c r="P9" s="1" t="s">
        <v>430</v>
      </c>
    </row>
    <row r="10" spans="1:57">
      <c r="D10" s="1" t="s">
        <v>764</v>
      </c>
      <c r="H10" s="1" t="s">
        <v>1045</v>
      </c>
      <c r="I10" s="1" t="s">
        <v>1046</v>
      </c>
      <c r="J10" s="1" t="s">
        <v>1475</v>
      </c>
      <c r="K10" s="1" t="s">
        <v>1046</v>
      </c>
      <c r="L10" s="1" t="s">
        <v>1046</v>
      </c>
      <c r="M10" s="1" t="s">
        <v>1476</v>
      </c>
      <c r="O10" s="13" t="s">
        <v>1466</v>
      </c>
      <c r="P10" s="1" t="s">
        <v>430</v>
      </c>
    </row>
    <row r="11" spans="1:57">
      <c r="A11" s="1" t="s">
        <v>85</v>
      </c>
      <c r="B11" s="1" t="s">
        <v>97</v>
      </c>
      <c r="C11" s="1" t="s">
        <v>98</v>
      </c>
      <c r="D11" s="1" t="s">
        <v>98</v>
      </c>
      <c r="E11" s="1" t="s">
        <v>98</v>
      </c>
      <c r="F11" s="1" t="s">
        <v>98</v>
      </c>
      <c r="G11" s="1" t="s">
        <v>98</v>
      </c>
      <c r="H11" s="1" t="s">
        <v>98</v>
      </c>
      <c r="I11" s="1" t="s">
        <v>98</v>
      </c>
      <c r="J11" s="1" t="s">
        <v>98</v>
      </c>
      <c r="K11" s="1" t="s">
        <v>98</v>
      </c>
      <c r="L11" s="1" t="s">
        <v>98</v>
      </c>
      <c r="M11" s="1" t="s">
        <v>1477</v>
      </c>
      <c r="N11" s="1" t="s">
        <v>98</v>
      </c>
      <c r="O11" s="1" t="s">
        <v>98</v>
      </c>
      <c r="AQ11" s="1" t="s">
        <v>85</v>
      </c>
      <c r="AR11" s="1" t="s">
        <v>97</v>
      </c>
      <c r="AS11" s="1" t="s">
        <v>98</v>
      </c>
      <c r="AT11" s="1" t="s">
        <v>98</v>
      </c>
      <c r="AU11" s="1" t="s">
        <v>98</v>
      </c>
      <c r="AV11" s="1" t="s">
        <v>98</v>
      </c>
      <c r="AW11" s="1" t="s">
        <v>98</v>
      </c>
      <c r="AX11" s="1" t="s">
        <v>98</v>
      </c>
      <c r="AY11" s="1" t="s">
        <v>98</v>
      </c>
      <c r="AZ11" s="1" t="s">
        <v>98</v>
      </c>
      <c r="BA11" s="1" t="s">
        <v>98</v>
      </c>
      <c r="BB11" s="1" t="s">
        <v>98</v>
      </c>
      <c r="BC11" s="1" t="s">
        <v>98</v>
      </c>
      <c r="BD11" s="1" t="s">
        <v>98</v>
      </c>
      <c r="BE11" s="1" t="s">
        <v>98</v>
      </c>
    </row>
    <row r="12" spans="1:57">
      <c r="A12" s="1" t="s">
        <v>103</v>
      </c>
      <c r="B12" s="1" t="s">
        <v>104</v>
      </c>
      <c r="C12" s="1" t="s">
        <v>175</v>
      </c>
      <c r="D12" s="1" t="s">
        <v>176</v>
      </c>
      <c r="E12" s="1" t="s">
        <v>177</v>
      </c>
      <c r="F12" s="1" t="s">
        <v>178</v>
      </c>
      <c r="G12" s="1" t="s">
        <v>179</v>
      </c>
      <c r="H12" s="1" t="s">
        <v>180</v>
      </c>
      <c r="I12" s="1" t="s">
        <v>181</v>
      </c>
      <c r="J12" s="1" t="s">
        <v>182</v>
      </c>
      <c r="K12" s="1" t="s">
        <v>183</v>
      </c>
      <c r="L12" s="1" t="s">
        <v>184</v>
      </c>
      <c r="M12" s="1" t="s">
        <v>185</v>
      </c>
      <c r="N12" s="1" t="s">
        <v>186</v>
      </c>
      <c r="O12" s="1" t="s">
        <v>187</v>
      </c>
      <c r="AQ12" s="1" t="s">
        <v>103</v>
      </c>
      <c r="AR12" s="1" t="s">
        <v>104</v>
      </c>
      <c r="AS12" s="1" t="s">
        <v>175</v>
      </c>
      <c r="AT12" s="1" t="s">
        <v>176</v>
      </c>
      <c r="AU12" s="1" t="s">
        <v>177</v>
      </c>
      <c r="AV12" s="1" t="s">
        <v>178</v>
      </c>
      <c r="AW12" s="1" t="s">
        <v>179</v>
      </c>
      <c r="AX12" s="1" t="s">
        <v>180</v>
      </c>
      <c r="AY12" s="1" t="s">
        <v>181</v>
      </c>
      <c r="AZ12" s="1" t="s">
        <v>182</v>
      </c>
      <c r="BA12" s="1" t="s">
        <v>183</v>
      </c>
      <c r="BB12" s="1" t="s">
        <v>184</v>
      </c>
      <c r="BC12" s="1" t="s">
        <v>185</v>
      </c>
      <c r="BD12" s="1" t="s">
        <v>186</v>
      </c>
      <c r="BE12" s="1" t="s">
        <v>187</v>
      </c>
    </row>
    <row r="13" spans="1:57">
      <c r="A13" s="1" t="s">
        <v>207</v>
      </c>
      <c r="C13" s="1" t="s">
        <v>234</v>
      </c>
      <c r="D13" s="1" t="s">
        <v>235</v>
      </c>
      <c r="M13" s="1" t="s">
        <v>226</v>
      </c>
      <c r="AQ13" s="1" t="s">
        <v>207</v>
      </c>
      <c r="AS13" s="1" t="s">
        <v>234</v>
      </c>
      <c r="AT13" s="1" t="s">
        <v>235</v>
      </c>
      <c r="BC13" s="1" t="s">
        <v>226</v>
      </c>
    </row>
    <row r="14" spans="1:57">
      <c r="A14" s="1" t="s">
        <v>236</v>
      </c>
      <c r="B14" s="1" t="s">
        <v>190</v>
      </c>
      <c r="C14" s="1" t="s">
        <v>201</v>
      </c>
      <c r="N14" s="1" t="s">
        <v>202</v>
      </c>
      <c r="AQ14" s="1" t="s">
        <v>236</v>
      </c>
      <c r="AR14" s="1" t="s">
        <v>190</v>
      </c>
      <c r="AS14" s="1" t="s">
        <v>201</v>
      </c>
      <c r="BD14" s="1" t="s">
        <v>202</v>
      </c>
    </row>
    <row r="15" spans="1:57">
      <c r="A15" s="1" t="s">
        <v>237</v>
      </c>
      <c r="AQ15" s="1" t="s">
        <v>237</v>
      </c>
    </row>
    <row r="16" spans="1:57">
      <c r="A16" s="1" t="s">
        <v>238</v>
      </c>
      <c r="AQ16" s="1" t="s">
        <v>238</v>
      </c>
    </row>
    <row r="17" spans="1:84">
      <c r="A17" s="1" t="s">
        <v>239</v>
      </c>
      <c r="B17" s="1" t="s">
        <v>240</v>
      </c>
      <c r="C17" s="1" t="s">
        <v>240</v>
      </c>
      <c r="D17" s="1" t="s">
        <v>242</v>
      </c>
      <c r="E17" s="1" t="s">
        <v>242</v>
      </c>
      <c r="F17" s="1" t="s">
        <v>242</v>
      </c>
      <c r="G17" s="1" t="s">
        <v>243</v>
      </c>
      <c r="H17" s="1" t="s">
        <v>242</v>
      </c>
      <c r="I17" s="1" t="s">
        <v>242</v>
      </c>
      <c r="J17" s="1" t="s">
        <v>242</v>
      </c>
      <c r="K17" s="1" t="s">
        <v>242</v>
      </c>
      <c r="L17" s="1" t="s">
        <v>242</v>
      </c>
      <c r="M17" s="1" t="s">
        <v>242</v>
      </c>
      <c r="N17" s="1" t="s">
        <v>240</v>
      </c>
      <c r="O17" s="1" t="s">
        <v>243</v>
      </c>
      <c r="AQ17" s="1" t="s">
        <v>239</v>
      </c>
      <c r="AR17" s="1" t="s">
        <v>240</v>
      </c>
      <c r="AS17" s="1" t="s">
        <v>240</v>
      </c>
      <c r="AT17" s="1" t="s">
        <v>242</v>
      </c>
      <c r="AU17" s="1" t="s">
        <v>242</v>
      </c>
      <c r="AV17" s="1" t="s">
        <v>242</v>
      </c>
      <c r="AW17" s="1" t="s">
        <v>243</v>
      </c>
      <c r="AX17" s="1" t="s">
        <v>242</v>
      </c>
      <c r="AY17" s="1" t="s">
        <v>242</v>
      </c>
      <c r="AZ17" s="1" t="s">
        <v>242</v>
      </c>
      <c r="BA17" s="1" t="s">
        <v>242</v>
      </c>
      <c r="BB17" s="1" t="s">
        <v>242</v>
      </c>
      <c r="BC17" s="1" t="s">
        <v>242</v>
      </c>
      <c r="BD17" s="1" t="s">
        <v>240</v>
      </c>
      <c r="BE17" s="1" t="s">
        <v>243</v>
      </c>
    </row>
    <row r="18" spans="1:84">
      <c r="A18" s="1" t="s">
        <v>244</v>
      </c>
      <c r="B18" s="2">
        <v>43405</v>
      </c>
      <c r="C18" s="2">
        <v>43405</v>
      </c>
      <c r="D18" s="2">
        <v>43032</v>
      </c>
      <c r="E18" s="2">
        <v>42971</v>
      </c>
      <c r="F18" s="2">
        <v>42971</v>
      </c>
      <c r="G18" s="2">
        <v>43361</v>
      </c>
      <c r="H18" s="2">
        <v>43005</v>
      </c>
      <c r="I18" s="2">
        <v>43032</v>
      </c>
      <c r="J18" s="2">
        <v>43005</v>
      </c>
      <c r="K18" s="2">
        <v>43005</v>
      </c>
      <c r="L18" s="2">
        <v>43005</v>
      </c>
      <c r="M18" s="2">
        <v>43005</v>
      </c>
      <c r="N18" s="2">
        <v>43405</v>
      </c>
      <c r="O18" s="2">
        <v>43361</v>
      </c>
      <c r="X18" s="2"/>
      <c r="Y18" s="2"/>
      <c r="Z18" s="2"/>
      <c r="AA18" s="2"/>
      <c r="AB18" s="2"/>
      <c r="AC18" s="2"/>
      <c r="AD18" s="2"/>
      <c r="AE18" s="2"/>
      <c r="AF18" s="2"/>
      <c r="AG18" s="2"/>
      <c r="AH18" s="2"/>
      <c r="AI18" s="2"/>
      <c r="AJ18" s="2"/>
      <c r="AK18" s="2"/>
      <c r="AL18" s="2"/>
      <c r="AM18" s="2"/>
      <c r="AN18" s="2"/>
      <c r="AO18" s="2"/>
      <c r="AP18" s="2"/>
      <c r="AQ18" s="1" t="s">
        <v>244</v>
      </c>
      <c r="AR18" s="2">
        <v>43405</v>
      </c>
      <c r="AS18" s="2">
        <v>43405</v>
      </c>
      <c r="AT18" s="2">
        <v>43032</v>
      </c>
      <c r="AU18" s="2">
        <v>42971</v>
      </c>
      <c r="AV18" s="2">
        <v>42971</v>
      </c>
      <c r="AW18" s="2">
        <v>43361</v>
      </c>
      <c r="AX18" s="2">
        <v>43005</v>
      </c>
      <c r="AY18" s="2">
        <v>43032</v>
      </c>
      <c r="AZ18" s="2">
        <v>43005</v>
      </c>
      <c r="BA18" s="2">
        <v>43005</v>
      </c>
      <c r="BB18" s="2">
        <v>43005</v>
      </c>
      <c r="BC18" s="2">
        <v>43005</v>
      </c>
      <c r="BD18" s="2">
        <v>43405</v>
      </c>
      <c r="BE18" s="2">
        <v>43361</v>
      </c>
      <c r="BN18" s="2"/>
      <c r="BO18" s="2"/>
      <c r="BP18" s="2"/>
      <c r="BQ18" s="2"/>
      <c r="BR18" s="2"/>
      <c r="BS18" s="2"/>
      <c r="BT18" s="2"/>
      <c r="BU18" s="2"/>
      <c r="BV18" s="2"/>
      <c r="BW18" s="2"/>
      <c r="BX18" s="2"/>
      <c r="BY18" s="2"/>
      <c r="BZ18" s="2"/>
      <c r="CA18" s="2"/>
      <c r="CB18" s="2"/>
      <c r="CC18" s="2"/>
      <c r="CD18" s="2"/>
      <c r="CE18" s="2"/>
      <c r="CF18" s="2"/>
    </row>
    <row r="19" spans="1:84">
      <c r="A19" s="1" t="s">
        <v>245</v>
      </c>
      <c r="E19" s="2">
        <v>43054</v>
      </c>
      <c r="F19" s="2">
        <v>43054</v>
      </c>
      <c r="H19" s="2">
        <v>43054</v>
      </c>
      <c r="I19" s="2">
        <v>43054</v>
      </c>
      <c r="J19" s="2">
        <v>43054</v>
      </c>
      <c r="M19" s="2">
        <v>43249</v>
      </c>
      <c r="X19" s="2"/>
      <c r="Z19" s="2"/>
      <c r="AC19" s="2"/>
      <c r="AK19" s="2"/>
      <c r="AL19" s="2"/>
      <c r="AM19" s="2"/>
      <c r="AN19" s="2"/>
      <c r="AO19" s="2"/>
      <c r="AP19" s="2"/>
      <c r="AQ19" s="1" t="s">
        <v>245</v>
      </c>
      <c r="AU19" s="2">
        <v>43054</v>
      </c>
      <c r="AV19" s="2">
        <v>43054</v>
      </c>
      <c r="AX19" s="2">
        <v>43054</v>
      </c>
      <c r="AY19" s="2">
        <v>43054</v>
      </c>
      <c r="AZ19" s="2">
        <v>43054</v>
      </c>
      <c r="BC19" s="2">
        <v>43249</v>
      </c>
      <c r="BN19" s="2"/>
      <c r="BP19" s="2"/>
      <c r="BS19" s="2"/>
      <c r="CA19" s="2"/>
      <c r="CB19" s="2"/>
      <c r="CC19" s="2"/>
      <c r="CD19" s="2"/>
      <c r="CE19" s="2"/>
      <c r="CF19" s="2"/>
    </row>
    <row r="20" spans="1:84">
      <c r="A20" s="1" t="s">
        <v>246</v>
      </c>
      <c r="B20" s="1" t="s">
        <v>247</v>
      </c>
      <c r="C20" s="1" t="s">
        <v>318</v>
      </c>
      <c r="D20" s="1" t="s">
        <v>319</v>
      </c>
      <c r="E20" s="1" t="s">
        <v>320</v>
      </c>
      <c r="F20" s="1" t="s">
        <v>321</v>
      </c>
      <c r="G20" s="1" t="s">
        <v>322</v>
      </c>
      <c r="H20" s="1" t="s">
        <v>323</v>
      </c>
      <c r="I20" s="1" t="s">
        <v>324</v>
      </c>
      <c r="J20" s="1" t="s">
        <v>325</v>
      </c>
      <c r="K20" s="1" t="s">
        <v>326</v>
      </c>
      <c r="L20" s="1" t="s">
        <v>327</v>
      </c>
      <c r="M20" s="1" t="s">
        <v>328</v>
      </c>
      <c r="N20" s="1" t="s">
        <v>329</v>
      </c>
      <c r="O20" s="1" t="s">
        <v>330</v>
      </c>
      <c r="AQ20" s="1" t="s">
        <v>246</v>
      </c>
      <c r="AR20" s="1" t="s">
        <v>247</v>
      </c>
      <c r="AS20" s="1" t="s">
        <v>318</v>
      </c>
      <c r="AT20" s="1" t="s">
        <v>319</v>
      </c>
      <c r="AU20" s="1" t="s">
        <v>320</v>
      </c>
      <c r="AV20" s="1" t="s">
        <v>321</v>
      </c>
      <c r="AW20" s="1" t="s">
        <v>322</v>
      </c>
      <c r="AX20" s="1" t="s">
        <v>323</v>
      </c>
      <c r="AY20" s="1" t="s">
        <v>324</v>
      </c>
      <c r="AZ20" s="1" t="s">
        <v>325</v>
      </c>
      <c r="BA20" s="1" t="s">
        <v>326</v>
      </c>
      <c r="BB20" s="1" t="s">
        <v>327</v>
      </c>
      <c r="BC20" s="1" t="s">
        <v>328</v>
      </c>
      <c r="BD20" s="1" t="s">
        <v>329</v>
      </c>
      <c r="BE20" s="1" t="s">
        <v>330</v>
      </c>
    </row>
    <row r="21" spans="1:84">
      <c r="A21" s="1" t="s">
        <v>335</v>
      </c>
      <c r="B21" s="1" t="s">
        <v>336</v>
      </c>
      <c r="C21" s="1" t="s">
        <v>403</v>
      </c>
      <c r="D21" s="1" t="s">
        <v>404</v>
      </c>
      <c r="E21" s="1" t="s">
        <v>405</v>
      </c>
      <c r="F21" s="1" t="s">
        <v>406</v>
      </c>
      <c r="G21" s="1" t="s">
        <v>407</v>
      </c>
      <c r="H21" s="1" t="s">
        <v>408</v>
      </c>
      <c r="I21" s="1" t="s">
        <v>409</v>
      </c>
      <c r="J21" s="1" t="s">
        <v>410</v>
      </c>
      <c r="K21" s="1" t="s">
        <v>411</v>
      </c>
      <c r="L21" s="1" t="s">
        <v>412</v>
      </c>
      <c r="M21" s="1" t="s">
        <v>413</v>
      </c>
      <c r="N21" s="1" t="s">
        <v>414</v>
      </c>
      <c r="O21" s="1" t="s">
        <v>415</v>
      </c>
      <c r="AQ21" s="1" t="s">
        <v>335</v>
      </c>
      <c r="AR21" s="1" t="s">
        <v>336</v>
      </c>
      <c r="AS21" s="1" t="s">
        <v>403</v>
      </c>
      <c r="AT21" s="1" t="s">
        <v>404</v>
      </c>
      <c r="AU21" s="1" t="s">
        <v>405</v>
      </c>
      <c r="AV21" s="1" t="s">
        <v>406</v>
      </c>
      <c r="AW21" s="1" t="s">
        <v>407</v>
      </c>
      <c r="AX21" s="1" t="s">
        <v>408</v>
      </c>
      <c r="AY21" s="1" t="s">
        <v>409</v>
      </c>
      <c r="AZ21" s="1" t="s">
        <v>410</v>
      </c>
      <c r="BA21" s="1" t="s">
        <v>411</v>
      </c>
      <c r="BB21" s="1" t="s">
        <v>412</v>
      </c>
      <c r="BC21" s="1" t="s">
        <v>413</v>
      </c>
      <c r="BD21" s="1" t="s">
        <v>414</v>
      </c>
      <c r="BE21" s="1" t="s">
        <v>415</v>
      </c>
    </row>
  </sheetData>
  <hyperlinks>
    <hyperlink ref="M3" r:id="rId1" location="ss9" xr:uid="{00000000-0004-0000-0A00-000000000000}"/>
    <hyperlink ref="O3" r:id="rId2" xr:uid="{00000000-0004-0000-0A00-000001000000}"/>
    <hyperlink ref="O4" r:id="rId3" xr:uid="{00000000-0004-0000-0A00-000002000000}"/>
    <hyperlink ref="O5" r:id="rId4" xr:uid="{00000000-0004-0000-0A00-000003000000}"/>
    <hyperlink ref="M6" r:id="rId5" location="b50%20#b51" xr:uid="{00000000-0004-0000-0A00-000004000000}"/>
    <hyperlink ref="O6" r:id="rId6" xr:uid="{00000000-0004-0000-0A00-000005000000}"/>
    <hyperlink ref="O7" r:id="rId7" xr:uid="{00000000-0004-0000-0A00-000006000000}"/>
    <hyperlink ref="O8" r:id="rId8" xr:uid="{00000000-0004-0000-0A00-000007000000}"/>
    <hyperlink ref="M9" r:id="rId9" location="b52" xr:uid="{00000000-0004-0000-0A00-000008000000}"/>
    <hyperlink ref="O9" r:id="rId10" xr:uid="{00000000-0004-0000-0A00-000009000000}"/>
    <hyperlink ref="O10" r:id="rId11" xr:uid="{00000000-0004-0000-0A00-00000A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CG50"/>
  <sheetViews>
    <sheetView workbookViewId="0"/>
  </sheetViews>
  <sheetFormatPr baseColWidth="10" defaultColWidth="12.6640625" defaultRowHeight="15.75" customHeight="1"/>
  <cols>
    <col min="15" max="15" width="38.33203125" customWidth="1"/>
  </cols>
  <sheetData>
    <row r="1" spans="1:17">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c r="Q1" s="1" t="s">
        <v>7</v>
      </c>
    </row>
    <row r="2" spans="1:17">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c r="Q2" s="1" t="s">
        <v>1478</v>
      </c>
    </row>
    <row r="3" spans="1:17">
      <c r="D3" s="1" t="s">
        <v>924</v>
      </c>
      <c r="E3" s="1" t="s">
        <v>1479</v>
      </c>
      <c r="H3" s="1" t="s">
        <v>1480</v>
      </c>
      <c r="I3" s="1" t="s">
        <v>1046</v>
      </c>
      <c r="J3" s="1" t="s">
        <v>1481</v>
      </c>
      <c r="K3" s="1" t="s">
        <v>1046</v>
      </c>
      <c r="L3" s="1" t="s">
        <v>1046</v>
      </c>
      <c r="M3" s="13" t="s">
        <v>1482</v>
      </c>
      <c r="O3" s="13" t="s">
        <v>1483</v>
      </c>
      <c r="P3" s="1" t="s">
        <v>429</v>
      </c>
      <c r="Q3" s="1" t="s">
        <v>1484</v>
      </c>
    </row>
    <row r="4" spans="1:17">
      <c r="D4" s="1" t="s">
        <v>925</v>
      </c>
      <c r="E4" s="1" t="s">
        <v>1479</v>
      </c>
      <c r="H4" s="1" t="s">
        <v>1480</v>
      </c>
      <c r="I4" s="1" t="s">
        <v>1046</v>
      </c>
      <c r="J4" s="1" t="s">
        <v>1481</v>
      </c>
      <c r="K4" s="1" t="s">
        <v>1046</v>
      </c>
      <c r="L4" s="1" t="s">
        <v>1046</v>
      </c>
      <c r="M4" s="13" t="s">
        <v>1485</v>
      </c>
      <c r="O4" s="13" t="s">
        <v>1483</v>
      </c>
      <c r="P4" s="1" t="s">
        <v>429</v>
      </c>
      <c r="Q4" s="1" t="s">
        <v>1484</v>
      </c>
    </row>
    <row r="5" spans="1:17">
      <c r="D5" s="1" t="s">
        <v>926</v>
      </c>
      <c r="E5" s="1" t="s">
        <v>1479</v>
      </c>
      <c r="H5" s="1" t="s">
        <v>1480</v>
      </c>
      <c r="I5" s="1" t="s">
        <v>1046</v>
      </c>
      <c r="J5" s="1" t="s">
        <v>1481</v>
      </c>
      <c r="K5" s="1" t="s">
        <v>1046</v>
      </c>
      <c r="L5" s="1" t="s">
        <v>1046</v>
      </c>
      <c r="M5" s="13" t="s">
        <v>1486</v>
      </c>
      <c r="O5" s="13" t="s">
        <v>1483</v>
      </c>
      <c r="P5" s="1" t="s">
        <v>429</v>
      </c>
      <c r="Q5" s="1" t="s">
        <v>1484</v>
      </c>
    </row>
    <row r="6" spans="1:17">
      <c r="D6" s="1" t="s">
        <v>927</v>
      </c>
      <c r="E6" s="1" t="s">
        <v>1479</v>
      </c>
      <c r="H6" s="1" t="s">
        <v>1480</v>
      </c>
      <c r="I6" s="1" t="s">
        <v>1046</v>
      </c>
      <c r="J6" s="1" t="s">
        <v>1481</v>
      </c>
      <c r="K6" s="1" t="s">
        <v>1046</v>
      </c>
      <c r="L6" s="1" t="s">
        <v>1046</v>
      </c>
      <c r="M6" s="13" t="s">
        <v>1487</v>
      </c>
      <c r="O6" s="13" t="s">
        <v>1483</v>
      </c>
      <c r="P6" s="1" t="s">
        <v>429</v>
      </c>
      <c r="Q6" s="1" t="s">
        <v>1484</v>
      </c>
    </row>
    <row r="7" spans="1:17">
      <c r="D7" s="1" t="s">
        <v>928</v>
      </c>
      <c r="E7" s="1" t="s">
        <v>1479</v>
      </c>
      <c r="H7" s="1" t="s">
        <v>1480</v>
      </c>
      <c r="I7" s="1" t="s">
        <v>1046</v>
      </c>
      <c r="J7" s="1" t="s">
        <v>1481</v>
      </c>
      <c r="K7" s="1" t="s">
        <v>1046</v>
      </c>
      <c r="L7" s="1" t="s">
        <v>1046</v>
      </c>
      <c r="M7" s="13" t="s">
        <v>1488</v>
      </c>
      <c r="O7" s="13" t="s">
        <v>1483</v>
      </c>
      <c r="P7" s="1" t="s">
        <v>429</v>
      </c>
      <c r="Q7" s="1" t="s">
        <v>1484</v>
      </c>
    </row>
    <row r="8" spans="1:17">
      <c r="D8" s="1" t="s">
        <v>929</v>
      </c>
      <c r="E8" s="1" t="s">
        <v>1479</v>
      </c>
      <c r="H8" s="1" t="s">
        <v>1480</v>
      </c>
      <c r="I8" s="1" t="s">
        <v>1046</v>
      </c>
      <c r="J8" s="1" t="s">
        <v>1481</v>
      </c>
      <c r="K8" s="1" t="s">
        <v>1046</v>
      </c>
      <c r="L8" s="1" t="s">
        <v>1046</v>
      </c>
      <c r="M8" s="13" t="s">
        <v>1489</v>
      </c>
      <c r="O8" s="13" t="s">
        <v>1483</v>
      </c>
      <c r="P8" s="1" t="s">
        <v>429</v>
      </c>
      <c r="Q8" s="1" t="s">
        <v>1484</v>
      </c>
    </row>
    <row r="9" spans="1:17">
      <c r="D9" s="1" t="s">
        <v>1009</v>
      </c>
      <c r="H9" s="1" t="s">
        <v>1490</v>
      </c>
      <c r="I9" s="1" t="s">
        <v>1046</v>
      </c>
      <c r="J9" s="1" t="s">
        <v>1491</v>
      </c>
      <c r="K9" s="1" t="s">
        <v>1046</v>
      </c>
      <c r="L9" s="1" t="s">
        <v>1046</v>
      </c>
      <c r="M9" s="1" t="s">
        <v>1492</v>
      </c>
      <c r="O9" s="13" t="s">
        <v>1483</v>
      </c>
      <c r="P9" s="1" t="s">
        <v>429</v>
      </c>
      <c r="Q9" s="1" t="s">
        <v>1484</v>
      </c>
    </row>
    <row r="10" spans="1:17">
      <c r="D10" s="1" t="s">
        <v>1007</v>
      </c>
      <c r="H10" s="1" t="s">
        <v>1490</v>
      </c>
      <c r="I10" s="1" t="s">
        <v>1046</v>
      </c>
      <c r="J10" s="1" t="s">
        <v>1493</v>
      </c>
      <c r="K10" s="1" t="s">
        <v>1046</v>
      </c>
      <c r="L10" s="1" t="s">
        <v>1046</v>
      </c>
      <c r="M10" s="1" t="s">
        <v>1492</v>
      </c>
      <c r="O10" s="13" t="s">
        <v>1483</v>
      </c>
      <c r="P10" s="1" t="s">
        <v>429</v>
      </c>
      <c r="Q10" s="1" t="s">
        <v>1484</v>
      </c>
    </row>
    <row r="11" spans="1:17">
      <c r="D11" s="1" t="s">
        <v>892</v>
      </c>
      <c r="H11" s="1" t="s">
        <v>1490</v>
      </c>
      <c r="I11" s="1" t="s">
        <v>1046</v>
      </c>
      <c r="J11" s="1" t="s">
        <v>1494</v>
      </c>
      <c r="K11" s="1" t="s">
        <v>1046</v>
      </c>
      <c r="L11" s="1" t="s">
        <v>1046</v>
      </c>
      <c r="M11" s="1" t="s">
        <v>1495</v>
      </c>
      <c r="O11" s="13" t="s">
        <v>1483</v>
      </c>
      <c r="P11" s="1" t="s">
        <v>429</v>
      </c>
      <c r="Q11" s="1" t="s">
        <v>1484</v>
      </c>
    </row>
    <row r="12" spans="1:17">
      <c r="D12" s="1" t="s">
        <v>891</v>
      </c>
      <c r="H12" s="1" t="s">
        <v>1490</v>
      </c>
      <c r="I12" s="1" t="s">
        <v>1046</v>
      </c>
      <c r="J12" s="1" t="s">
        <v>1496</v>
      </c>
      <c r="K12" s="1" t="s">
        <v>1046</v>
      </c>
      <c r="L12" s="1" t="s">
        <v>1046</v>
      </c>
      <c r="M12" s="1" t="s">
        <v>1495</v>
      </c>
      <c r="O12" s="13" t="s">
        <v>1483</v>
      </c>
      <c r="P12" s="1" t="s">
        <v>429</v>
      </c>
      <c r="Q12" s="1" t="s">
        <v>1497</v>
      </c>
    </row>
    <row r="13" spans="1:17">
      <c r="D13" s="1" t="s">
        <v>896</v>
      </c>
      <c r="H13" s="1" t="s">
        <v>1490</v>
      </c>
      <c r="I13" s="1" t="s">
        <v>1046</v>
      </c>
      <c r="J13" s="1" t="s">
        <v>1498</v>
      </c>
      <c r="K13" s="1" t="s">
        <v>1046</v>
      </c>
      <c r="L13" s="1" t="s">
        <v>1046</v>
      </c>
      <c r="M13" s="1" t="s">
        <v>1499</v>
      </c>
      <c r="O13" s="13" t="s">
        <v>1483</v>
      </c>
      <c r="P13" s="1" t="s">
        <v>429</v>
      </c>
      <c r="Q13" s="1" t="s">
        <v>1497</v>
      </c>
    </row>
    <row r="14" spans="1:17">
      <c r="D14" s="1" t="s">
        <v>763</v>
      </c>
      <c r="H14" s="1" t="s">
        <v>1490</v>
      </c>
      <c r="I14" s="1" t="s">
        <v>1046</v>
      </c>
      <c r="J14" s="1" t="s">
        <v>1500</v>
      </c>
      <c r="K14" s="1" t="s">
        <v>1046</v>
      </c>
      <c r="L14" s="1" t="s">
        <v>1046</v>
      </c>
      <c r="M14" s="12" t="s">
        <v>1501</v>
      </c>
      <c r="O14" s="13" t="s">
        <v>1483</v>
      </c>
      <c r="P14" s="1" t="s">
        <v>429</v>
      </c>
      <c r="Q14" s="1" t="s">
        <v>1502</v>
      </c>
    </row>
    <row r="15" spans="1:17">
      <c r="D15" s="1" t="s">
        <v>900</v>
      </c>
      <c r="H15" s="1" t="s">
        <v>1503</v>
      </c>
      <c r="J15" s="1" t="s">
        <v>1046</v>
      </c>
      <c r="M15" s="12" t="s">
        <v>1504</v>
      </c>
      <c r="O15" s="13" t="s">
        <v>1483</v>
      </c>
      <c r="P15" s="1" t="s">
        <v>429</v>
      </c>
      <c r="Q15" s="1" t="s">
        <v>1497</v>
      </c>
    </row>
    <row r="16" spans="1:17">
      <c r="D16" s="1" t="s">
        <v>901</v>
      </c>
      <c r="H16" s="1" t="s">
        <v>1503</v>
      </c>
      <c r="J16" s="1" t="s">
        <v>1046</v>
      </c>
      <c r="M16" s="1" t="s">
        <v>1505</v>
      </c>
      <c r="N16" s="1" t="s">
        <v>1506</v>
      </c>
      <c r="O16" s="13" t="s">
        <v>1483</v>
      </c>
      <c r="P16" s="1" t="s">
        <v>429</v>
      </c>
    </row>
    <row r="17" spans="4:17">
      <c r="D17" s="1" t="s">
        <v>655</v>
      </c>
      <c r="H17" s="1" t="s">
        <v>1503</v>
      </c>
      <c r="J17" s="1" t="s">
        <v>1046</v>
      </c>
      <c r="M17" s="12" t="s">
        <v>1507</v>
      </c>
      <c r="O17" s="13" t="s">
        <v>1483</v>
      </c>
      <c r="P17" s="1" t="s">
        <v>429</v>
      </c>
      <c r="Q17" s="1" t="s">
        <v>1508</v>
      </c>
    </row>
    <row r="18" spans="4:17">
      <c r="D18" s="1" t="s">
        <v>468</v>
      </c>
      <c r="H18" s="1" t="s">
        <v>1503</v>
      </c>
      <c r="J18" s="1" t="s">
        <v>1046</v>
      </c>
      <c r="M18" s="12" t="s">
        <v>1509</v>
      </c>
      <c r="O18" s="13" t="s">
        <v>1483</v>
      </c>
      <c r="P18" s="1" t="s">
        <v>429</v>
      </c>
      <c r="Q18" s="1" t="s">
        <v>1497</v>
      </c>
    </row>
    <row r="19" spans="4:17">
      <c r="D19" s="1" t="s">
        <v>1030</v>
      </c>
      <c r="E19" s="1" t="s">
        <v>1510</v>
      </c>
      <c r="H19" s="1" t="s">
        <v>1480</v>
      </c>
      <c r="I19" s="1" t="s">
        <v>1046</v>
      </c>
      <c r="J19" s="1" t="s">
        <v>1481</v>
      </c>
      <c r="K19" s="1" t="s">
        <v>1046</v>
      </c>
      <c r="L19" s="1" t="s">
        <v>1046</v>
      </c>
      <c r="M19" s="1" t="s">
        <v>1511</v>
      </c>
      <c r="O19" s="13" t="s">
        <v>1483</v>
      </c>
      <c r="P19" s="1" t="s">
        <v>429</v>
      </c>
      <c r="Q19" s="1" t="s">
        <v>1484</v>
      </c>
    </row>
    <row r="20" spans="4:17">
      <c r="D20" s="1" t="s">
        <v>1031</v>
      </c>
      <c r="E20" s="1" t="s">
        <v>1510</v>
      </c>
      <c r="H20" s="1" t="s">
        <v>1480</v>
      </c>
      <c r="I20" s="1" t="s">
        <v>1046</v>
      </c>
      <c r="J20" s="1" t="s">
        <v>1481</v>
      </c>
      <c r="K20" s="1" t="s">
        <v>1046</v>
      </c>
      <c r="L20" s="1" t="s">
        <v>1046</v>
      </c>
      <c r="M20" s="1" t="s">
        <v>1511</v>
      </c>
      <c r="O20" s="13" t="s">
        <v>1483</v>
      </c>
      <c r="P20" s="1" t="s">
        <v>429</v>
      </c>
      <c r="Q20" s="1" t="s">
        <v>1484</v>
      </c>
    </row>
    <row r="21" spans="4:17">
      <c r="D21" s="1" t="s">
        <v>1023</v>
      </c>
      <c r="E21" s="1" t="s">
        <v>1510</v>
      </c>
      <c r="H21" s="1" t="s">
        <v>1480</v>
      </c>
      <c r="I21" s="1" t="s">
        <v>1046</v>
      </c>
      <c r="J21" s="1" t="s">
        <v>1481</v>
      </c>
      <c r="K21" s="1" t="s">
        <v>1046</v>
      </c>
      <c r="L21" s="1" t="s">
        <v>1046</v>
      </c>
      <c r="M21" s="1" t="s">
        <v>1511</v>
      </c>
      <c r="O21" s="13" t="s">
        <v>1483</v>
      </c>
      <c r="P21" s="1" t="s">
        <v>429</v>
      </c>
      <c r="Q21" s="1" t="s">
        <v>1484</v>
      </c>
    </row>
    <row r="22" spans="4:17">
      <c r="D22" s="1" t="s">
        <v>1024</v>
      </c>
      <c r="E22" s="1" t="s">
        <v>1510</v>
      </c>
      <c r="H22" s="1" t="s">
        <v>1480</v>
      </c>
      <c r="I22" s="1" t="s">
        <v>1046</v>
      </c>
      <c r="J22" s="1" t="s">
        <v>1481</v>
      </c>
      <c r="K22" s="1" t="s">
        <v>1046</v>
      </c>
      <c r="L22" s="1" t="s">
        <v>1046</v>
      </c>
      <c r="M22" s="1" t="s">
        <v>1511</v>
      </c>
      <c r="O22" s="13" t="s">
        <v>1483</v>
      </c>
      <c r="P22" s="1" t="s">
        <v>429</v>
      </c>
      <c r="Q22" s="1" t="s">
        <v>1484</v>
      </c>
    </row>
    <row r="23" spans="4:17">
      <c r="D23" s="1" t="s">
        <v>1017</v>
      </c>
      <c r="E23" s="1" t="s">
        <v>1510</v>
      </c>
      <c r="H23" s="1" t="s">
        <v>1480</v>
      </c>
      <c r="I23" s="1" t="s">
        <v>1046</v>
      </c>
      <c r="J23" s="1" t="s">
        <v>1481</v>
      </c>
      <c r="K23" s="1" t="s">
        <v>1046</v>
      </c>
      <c r="L23" s="1" t="s">
        <v>1046</v>
      </c>
      <c r="M23" s="1" t="s">
        <v>1511</v>
      </c>
      <c r="O23" s="13" t="s">
        <v>1483</v>
      </c>
      <c r="P23" s="1" t="s">
        <v>429</v>
      </c>
      <c r="Q23" s="1" t="s">
        <v>1484</v>
      </c>
    </row>
    <row r="24" spans="4:17">
      <c r="D24" s="1" t="s">
        <v>1032</v>
      </c>
      <c r="E24" s="1" t="s">
        <v>1510</v>
      </c>
      <c r="H24" s="1" t="s">
        <v>1480</v>
      </c>
      <c r="I24" s="1" t="s">
        <v>1046</v>
      </c>
      <c r="J24" s="1" t="s">
        <v>1481</v>
      </c>
      <c r="K24" s="1" t="s">
        <v>1046</v>
      </c>
      <c r="L24" s="1" t="s">
        <v>1046</v>
      </c>
      <c r="M24" s="1" t="s">
        <v>1511</v>
      </c>
      <c r="O24" s="13" t="s">
        <v>1483</v>
      </c>
      <c r="P24" s="1" t="s">
        <v>429</v>
      </c>
      <c r="Q24" s="1" t="s">
        <v>1484</v>
      </c>
    </row>
    <row r="25" spans="4:17">
      <c r="D25" s="1" t="s">
        <v>1012</v>
      </c>
      <c r="E25" s="1" t="s">
        <v>1510</v>
      </c>
      <c r="H25" s="1" t="s">
        <v>1480</v>
      </c>
      <c r="I25" s="1" t="s">
        <v>1046</v>
      </c>
      <c r="J25" s="1" t="s">
        <v>1481</v>
      </c>
      <c r="K25" s="1" t="s">
        <v>1046</v>
      </c>
      <c r="L25" s="1" t="s">
        <v>1046</v>
      </c>
      <c r="M25" s="1" t="s">
        <v>1511</v>
      </c>
      <c r="O25" s="13" t="s">
        <v>1483</v>
      </c>
      <c r="P25" s="1" t="s">
        <v>429</v>
      </c>
      <c r="Q25" s="1" t="s">
        <v>1484</v>
      </c>
    </row>
    <row r="26" spans="4:17">
      <c r="D26" s="1" t="s">
        <v>1016</v>
      </c>
      <c r="E26" s="1" t="s">
        <v>1510</v>
      </c>
      <c r="H26" s="1" t="s">
        <v>1480</v>
      </c>
      <c r="I26" s="1" t="s">
        <v>1046</v>
      </c>
      <c r="J26" s="1" t="s">
        <v>1481</v>
      </c>
      <c r="K26" s="1" t="s">
        <v>1046</v>
      </c>
      <c r="L26" s="1" t="s">
        <v>1046</v>
      </c>
      <c r="M26" s="1" t="s">
        <v>1511</v>
      </c>
      <c r="O26" s="13" t="s">
        <v>1483</v>
      </c>
      <c r="P26" s="1" t="s">
        <v>429</v>
      </c>
      <c r="Q26" s="1" t="s">
        <v>1484</v>
      </c>
    </row>
    <row r="27" spans="4:17">
      <c r="D27" s="1" t="s">
        <v>1029</v>
      </c>
      <c r="E27" s="1" t="s">
        <v>1510</v>
      </c>
      <c r="H27" s="1" t="s">
        <v>1480</v>
      </c>
      <c r="I27" s="1" t="s">
        <v>1046</v>
      </c>
      <c r="J27" s="1" t="s">
        <v>1481</v>
      </c>
      <c r="K27" s="1" t="s">
        <v>1046</v>
      </c>
      <c r="L27" s="1" t="s">
        <v>1046</v>
      </c>
      <c r="M27" s="1" t="s">
        <v>1511</v>
      </c>
      <c r="O27" s="13" t="s">
        <v>1483</v>
      </c>
      <c r="P27" s="1" t="s">
        <v>429</v>
      </c>
      <c r="Q27" s="1" t="s">
        <v>1484</v>
      </c>
    </row>
    <row r="28" spans="4:17">
      <c r="D28" s="1" t="s">
        <v>1033</v>
      </c>
      <c r="E28" s="1" t="s">
        <v>1510</v>
      </c>
      <c r="H28" s="1" t="s">
        <v>1480</v>
      </c>
      <c r="I28" s="1" t="s">
        <v>1046</v>
      </c>
      <c r="J28" s="1" t="s">
        <v>1481</v>
      </c>
      <c r="K28" s="1" t="s">
        <v>1046</v>
      </c>
      <c r="L28" s="1" t="s">
        <v>1046</v>
      </c>
      <c r="M28" s="1" t="s">
        <v>1511</v>
      </c>
      <c r="O28" s="13" t="s">
        <v>1483</v>
      </c>
      <c r="P28" s="1" t="s">
        <v>429</v>
      </c>
      <c r="Q28" s="1" t="s">
        <v>1484</v>
      </c>
    </row>
    <row r="29" spans="4:17">
      <c r="D29" s="1" t="s">
        <v>1020</v>
      </c>
      <c r="E29" s="1" t="s">
        <v>1512</v>
      </c>
      <c r="H29" s="1" t="s">
        <v>1480</v>
      </c>
      <c r="I29" s="1" t="s">
        <v>1046</v>
      </c>
      <c r="J29" s="1" t="s">
        <v>1481</v>
      </c>
      <c r="K29" s="1" t="s">
        <v>1046</v>
      </c>
      <c r="L29" s="1" t="s">
        <v>1046</v>
      </c>
      <c r="M29" s="1" t="s">
        <v>1513</v>
      </c>
      <c r="O29" s="13" t="s">
        <v>1483</v>
      </c>
      <c r="P29" s="1" t="s">
        <v>429</v>
      </c>
      <c r="Q29" s="1" t="s">
        <v>1484</v>
      </c>
    </row>
    <row r="30" spans="4:17">
      <c r="D30" s="1" t="s">
        <v>1019</v>
      </c>
      <c r="E30" s="1" t="s">
        <v>1512</v>
      </c>
      <c r="H30" s="1" t="s">
        <v>1480</v>
      </c>
      <c r="I30" s="1" t="s">
        <v>1046</v>
      </c>
      <c r="J30" s="1" t="s">
        <v>1481</v>
      </c>
      <c r="K30" s="1" t="s">
        <v>1046</v>
      </c>
      <c r="L30" s="1" t="s">
        <v>1046</v>
      </c>
      <c r="M30" s="1" t="s">
        <v>1513</v>
      </c>
      <c r="O30" s="13" t="s">
        <v>1483</v>
      </c>
      <c r="P30" s="1" t="s">
        <v>429</v>
      </c>
      <c r="Q30" s="1" t="s">
        <v>1484</v>
      </c>
    </row>
    <row r="31" spans="4:17">
      <c r="D31" s="1" t="s">
        <v>1014</v>
      </c>
      <c r="E31" s="1" t="s">
        <v>1512</v>
      </c>
      <c r="H31" s="1" t="s">
        <v>1480</v>
      </c>
      <c r="I31" s="1" t="s">
        <v>1046</v>
      </c>
      <c r="J31" s="1" t="s">
        <v>1481</v>
      </c>
      <c r="K31" s="1" t="s">
        <v>1046</v>
      </c>
      <c r="L31" s="1" t="s">
        <v>1046</v>
      </c>
      <c r="M31" s="1" t="s">
        <v>1513</v>
      </c>
      <c r="O31" s="13" t="s">
        <v>1483</v>
      </c>
      <c r="P31" s="1" t="s">
        <v>429</v>
      </c>
      <c r="Q31" s="1" t="s">
        <v>1484</v>
      </c>
    </row>
    <row r="32" spans="4:17">
      <c r="D32" s="1" t="s">
        <v>1028</v>
      </c>
      <c r="E32" s="1" t="s">
        <v>1512</v>
      </c>
      <c r="H32" s="1" t="s">
        <v>1480</v>
      </c>
      <c r="I32" s="1" t="s">
        <v>1046</v>
      </c>
      <c r="J32" s="1" t="s">
        <v>1481</v>
      </c>
      <c r="K32" s="1" t="s">
        <v>1046</v>
      </c>
      <c r="L32" s="1" t="s">
        <v>1046</v>
      </c>
      <c r="M32" s="1" t="s">
        <v>1513</v>
      </c>
      <c r="O32" s="13" t="s">
        <v>1483</v>
      </c>
      <c r="P32" s="1" t="s">
        <v>429</v>
      </c>
      <c r="Q32" s="1" t="s">
        <v>1484</v>
      </c>
    </row>
    <row r="33" spans="1:85">
      <c r="D33" s="1" t="s">
        <v>1026</v>
      </c>
      <c r="E33" s="1" t="s">
        <v>1512</v>
      </c>
      <c r="H33" s="1" t="s">
        <v>1480</v>
      </c>
      <c r="I33" s="1" t="s">
        <v>1046</v>
      </c>
      <c r="J33" s="1" t="s">
        <v>1481</v>
      </c>
      <c r="K33" s="1" t="s">
        <v>1046</v>
      </c>
      <c r="L33" s="1" t="s">
        <v>1046</v>
      </c>
      <c r="M33" s="1" t="s">
        <v>1513</v>
      </c>
      <c r="O33" s="13" t="s">
        <v>1483</v>
      </c>
      <c r="P33" s="1" t="s">
        <v>429</v>
      </c>
      <c r="Q33" s="1" t="s">
        <v>1484</v>
      </c>
    </row>
    <row r="34" spans="1:85">
      <c r="D34" s="1" t="s">
        <v>1041</v>
      </c>
      <c r="E34" s="1" t="s">
        <v>1514</v>
      </c>
      <c r="H34" s="1" t="s">
        <v>1480</v>
      </c>
      <c r="I34" s="1" t="s">
        <v>1046</v>
      </c>
      <c r="J34" s="1" t="s">
        <v>1481</v>
      </c>
      <c r="K34" s="1" t="s">
        <v>1046</v>
      </c>
      <c r="L34" s="1" t="s">
        <v>1046</v>
      </c>
      <c r="M34" s="1" t="s">
        <v>1515</v>
      </c>
      <c r="O34" s="13" t="s">
        <v>1483</v>
      </c>
      <c r="P34" s="1" t="s">
        <v>429</v>
      </c>
      <c r="Q34" s="1" t="s">
        <v>1484</v>
      </c>
    </row>
    <row r="35" spans="1:85">
      <c r="D35" s="1" t="s">
        <v>1034</v>
      </c>
      <c r="E35" s="1" t="s">
        <v>1514</v>
      </c>
      <c r="H35" s="1" t="s">
        <v>1480</v>
      </c>
      <c r="I35" s="1" t="s">
        <v>1046</v>
      </c>
      <c r="J35" s="1" t="s">
        <v>1481</v>
      </c>
      <c r="K35" s="1" t="s">
        <v>1046</v>
      </c>
      <c r="L35" s="1" t="s">
        <v>1046</v>
      </c>
      <c r="M35" s="1" t="s">
        <v>1515</v>
      </c>
      <c r="O35" s="13" t="s">
        <v>1483</v>
      </c>
      <c r="P35" s="1" t="s">
        <v>429</v>
      </c>
      <c r="Q35" s="1" t="s">
        <v>1484</v>
      </c>
    </row>
    <row r="36" spans="1:85">
      <c r="D36" s="1" t="s">
        <v>1035</v>
      </c>
      <c r="E36" s="1" t="s">
        <v>1514</v>
      </c>
      <c r="H36" s="1" t="s">
        <v>1480</v>
      </c>
      <c r="I36" s="1" t="s">
        <v>1046</v>
      </c>
      <c r="J36" s="1" t="s">
        <v>1481</v>
      </c>
      <c r="K36" s="1" t="s">
        <v>1046</v>
      </c>
      <c r="L36" s="1" t="s">
        <v>1046</v>
      </c>
      <c r="M36" s="1" t="s">
        <v>1515</v>
      </c>
      <c r="O36" s="13" t="s">
        <v>1483</v>
      </c>
      <c r="P36" s="1" t="s">
        <v>429</v>
      </c>
      <c r="Q36" s="1" t="s">
        <v>1484</v>
      </c>
    </row>
    <row r="37" spans="1:85">
      <c r="D37" s="1" t="s">
        <v>1036</v>
      </c>
      <c r="E37" s="1" t="s">
        <v>1514</v>
      </c>
      <c r="H37" s="1" t="s">
        <v>1480</v>
      </c>
      <c r="I37" s="1" t="s">
        <v>1046</v>
      </c>
      <c r="J37" s="1" t="s">
        <v>1481</v>
      </c>
      <c r="K37" s="1" t="s">
        <v>1046</v>
      </c>
      <c r="L37" s="1" t="s">
        <v>1046</v>
      </c>
      <c r="M37" s="1" t="s">
        <v>1515</v>
      </c>
      <c r="O37" s="13" t="s">
        <v>1483</v>
      </c>
      <c r="P37" s="1" t="s">
        <v>429</v>
      </c>
      <c r="Q37" s="1" t="s">
        <v>1484</v>
      </c>
    </row>
    <row r="38" spans="1:85">
      <c r="D38" s="1" t="s">
        <v>1037</v>
      </c>
      <c r="E38" s="1" t="s">
        <v>1514</v>
      </c>
      <c r="H38" s="1" t="s">
        <v>1480</v>
      </c>
      <c r="I38" s="1" t="s">
        <v>1046</v>
      </c>
      <c r="J38" s="1" t="s">
        <v>1481</v>
      </c>
      <c r="K38" s="1" t="s">
        <v>1046</v>
      </c>
      <c r="L38" s="1" t="s">
        <v>1046</v>
      </c>
      <c r="M38" s="1" t="s">
        <v>1515</v>
      </c>
      <c r="O38" s="13" t="s">
        <v>1483</v>
      </c>
      <c r="P38" s="1" t="s">
        <v>429</v>
      </c>
      <c r="Q38" s="1" t="s">
        <v>1484</v>
      </c>
    </row>
    <row r="39" spans="1:85">
      <c r="D39" s="1" t="s">
        <v>1038</v>
      </c>
      <c r="E39" s="1" t="s">
        <v>1514</v>
      </c>
      <c r="H39" s="1" t="s">
        <v>1480</v>
      </c>
      <c r="I39" s="1" t="s">
        <v>1046</v>
      </c>
      <c r="J39" s="1" t="s">
        <v>1481</v>
      </c>
      <c r="K39" s="1" t="s">
        <v>1046</v>
      </c>
      <c r="L39" s="1" t="s">
        <v>1046</v>
      </c>
      <c r="M39" s="1" t="s">
        <v>1515</v>
      </c>
      <c r="O39" s="13" t="s">
        <v>1483</v>
      </c>
      <c r="P39" s="1" t="s">
        <v>429</v>
      </c>
      <c r="Q39" s="1" t="s">
        <v>1484</v>
      </c>
    </row>
    <row r="40" spans="1:85">
      <c r="A40" s="1" t="s">
        <v>85</v>
      </c>
      <c r="B40" s="1" t="s">
        <v>97</v>
      </c>
      <c r="C40" s="1" t="s">
        <v>98</v>
      </c>
      <c r="D40" s="1" t="s">
        <v>98</v>
      </c>
      <c r="E40" s="1" t="s">
        <v>98</v>
      </c>
      <c r="F40" s="1" t="s">
        <v>98</v>
      </c>
      <c r="G40" s="1" t="s">
        <v>98</v>
      </c>
      <c r="H40" s="1" t="s">
        <v>98</v>
      </c>
      <c r="I40" s="1" t="s">
        <v>98</v>
      </c>
      <c r="J40" s="1" t="s">
        <v>98</v>
      </c>
      <c r="K40" s="1" t="s">
        <v>98</v>
      </c>
      <c r="L40" s="1" t="s">
        <v>98</v>
      </c>
      <c r="M40" s="1" t="s">
        <v>1477</v>
      </c>
      <c r="N40" s="1" t="s">
        <v>98</v>
      </c>
      <c r="O40" s="1" t="s">
        <v>98</v>
      </c>
      <c r="AR40" s="1" t="s">
        <v>85</v>
      </c>
      <c r="AS40" s="1" t="s">
        <v>97</v>
      </c>
      <c r="AT40" s="1" t="s">
        <v>98</v>
      </c>
      <c r="AU40" s="1" t="s">
        <v>98</v>
      </c>
      <c r="AV40" s="1" t="s">
        <v>98</v>
      </c>
      <c r="AW40" s="1" t="s">
        <v>98</v>
      </c>
      <c r="AX40" s="1" t="s">
        <v>98</v>
      </c>
      <c r="AY40" s="1" t="s">
        <v>98</v>
      </c>
      <c r="AZ40" s="1" t="s">
        <v>98</v>
      </c>
      <c r="BA40" s="1" t="s">
        <v>98</v>
      </c>
      <c r="BB40" s="1" t="s">
        <v>98</v>
      </c>
      <c r="BC40" s="1" t="s">
        <v>98</v>
      </c>
      <c r="BD40" s="1" t="s">
        <v>98</v>
      </c>
      <c r="BE40" s="1" t="s">
        <v>98</v>
      </c>
      <c r="BF40" s="1" t="s">
        <v>98</v>
      </c>
    </row>
    <row r="41" spans="1:85">
      <c r="A41" s="1" t="s">
        <v>103</v>
      </c>
      <c r="B41" s="1" t="s">
        <v>104</v>
      </c>
      <c r="C41" s="1" t="s">
        <v>175</v>
      </c>
      <c r="D41" s="1" t="s">
        <v>176</v>
      </c>
      <c r="E41" s="1" t="s">
        <v>177</v>
      </c>
      <c r="F41" s="1" t="s">
        <v>178</v>
      </c>
      <c r="G41" s="1" t="s">
        <v>179</v>
      </c>
      <c r="H41" s="1" t="s">
        <v>180</v>
      </c>
      <c r="I41" s="1" t="s">
        <v>181</v>
      </c>
      <c r="J41" s="1" t="s">
        <v>182</v>
      </c>
      <c r="K41" s="1" t="s">
        <v>183</v>
      </c>
      <c r="L41" s="1" t="s">
        <v>184</v>
      </c>
      <c r="M41" s="1" t="s">
        <v>185</v>
      </c>
      <c r="N41" s="1" t="s">
        <v>186</v>
      </c>
      <c r="O41" s="1" t="s">
        <v>187</v>
      </c>
      <c r="AR41" s="1" t="s">
        <v>103</v>
      </c>
      <c r="AS41" s="1" t="s">
        <v>104</v>
      </c>
      <c r="AT41" s="1" t="s">
        <v>175</v>
      </c>
      <c r="AU41" s="1" t="s">
        <v>176</v>
      </c>
      <c r="AV41" s="1" t="s">
        <v>177</v>
      </c>
      <c r="AW41" s="1" t="s">
        <v>178</v>
      </c>
      <c r="AX41" s="1" t="s">
        <v>179</v>
      </c>
      <c r="AY41" s="1" t="s">
        <v>180</v>
      </c>
      <c r="AZ41" s="1" t="s">
        <v>181</v>
      </c>
      <c r="BA41" s="1" t="s">
        <v>182</v>
      </c>
      <c r="BB41" s="1" t="s">
        <v>183</v>
      </c>
      <c r="BC41" s="1" t="s">
        <v>184</v>
      </c>
      <c r="BD41" s="1" t="s">
        <v>185</v>
      </c>
      <c r="BE41" s="1" t="s">
        <v>186</v>
      </c>
      <c r="BF41" s="1" t="s">
        <v>187</v>
      </c>
    </row>
    <row r="42" spans="1:85">
      <c r="A42" s="1" t="s">
        <v>207</v>
      </c>
      <c r="C42" s="1" t="s">
        <v>234</v>
      </c>
      <c r="D42" s="1" t="s">
        <v>235</v>
      </c>
      <c r="M42" s="1" t="s">
        <v>226</v>
      </c>
      <c r="AR42" s="1" t="s">
        <v>207</v>
      </c>
      <c r="AT42" s="1" t="s">
        <v>234</v>
      </c>
      <c r="AU42" s="1" t="s">
        <v>235</v>
      </c>
      <c r="BD42" s="1" t="s">
        <v>226</v>
      </c>
    </row>
    <row r="43" spans="1:85">
      <c r="A43" s="1" t="s">
        <v>236</v>
      </c>
      <c r="B43" s="1" t="s">
        <v>190</v>
      </c>
      <c r="C43" s="1" t="s">
        <v>201</v>
      </c>
      <c r="N43" s="1" t="s">
        <v>202</v>
      </c>
      <c r="AR43" s="1" t="s">
        <v>236</v>
      </c>
      <c r="AS43" s="1" t="s">
        <v>190</v>
      </c>
      <c r="AT43" s="1" t="s">
        <v>201</v>
      </c>
      <c r="BE43" s="1" t="s">
        <v>202</v>
      </c>
    </row>
    <row r="44" spans="1:85">
      <c r="A44" s="1" t="s">
        <v>237</v>
      </c>
      <c r="AR44" s="1" t="s">
        <v>237</v>
      </c>
    </row>
    <row r="45" spans="1:85">
      <c r="A45" s="1" t="s">
        <v>238</v>
      </c>
      <c r="AR45" s="1" t="s">
        <v>238</v>
      </c>
    </row>
    <row r="46" spans="1:85">
      <c r="A46" s="1" t="s">
        <v>239</v>
      </c>
      <c r="B46" s="1" t="s">
        <v>240</v>
      </c>
      <c r="C46" s="1" t="s">
        <v>240</v>
      </c>
      <c r="D46" s="1" t="s">
        <v>242</v>
      </c>
      <c r="E46" s="1" t="s">
        <v>242</v>
      </c>
      <c r="F46" s="1" t="s">
        <v>242</v>
      </c>
      <c r="G46" s="1" t="s">
        <v>243</v>
      </c>
      <c r="H46" s="1" t="s">
        <v>242</v>
      </c>
      <c r="I46" s="1" t="s">
        <v>242</v>
      </c>
      <c r="J46" s="1" t="s">
        <v>242</v>
      </c>
      <c r="K46" s="1" t="s">
        <v>242</v>
      </c>
      <c r="L46" s="1" t="s">
        <v>242</v>
      </c>
      <c r="M46" s="1" t="s">
        <v>242</v>
      </c>
      <c r="N46" s="1" t="s">
        <v>240</v>
      </c>
      <c r="O46" s="1" t="s">
        <v>243</v>
      </c>
      <c r="AR46" s="1" t="s">
        <v>239</v>
      </c>
      <c r="AS46" s="1" t="s">
        <v>240</v>
      </c>
      <c r="AT46" s="1" t="s">
        <v>240</v>
      </c>
      <c r="AU46" s="1" t="s">
        <v>242</v>
      </c>
      <c r="AV46" s="1" t="s">
        <v>242</v>
      </c>
      <c r="AW46" s="1" t="s">
        <v>242</v>
      </c>
      <c r="AX46" s="1" t="s">
        <v>243</v>
      </c>
      <c r="AY46" s="1" t="s">
        <v>242</v>
      </c>
      <c r="AZ46" s="1" t="s">
        <v>242</v>
      </c>
      <c r="BA46" s="1" t="s">
        <v>242</v>
      </c>
      <c r="BB46" s="1" t="s">
        <v>242</v>
      </c>
      <c r="BC46" s="1" t="s">
        <v>242</v>
      </c>
      <c r="BD46" s="1" t="s">
        <v>242</v>
      </c>
      <c r="BE46" s="1" t="s">
        <v>240</v>
      </c>
      <c r="BF46" s="1" t="s">
        <v>243</v>
      </c>
    </row>
    <row r="47" spans="1:85">
      <c r="A47" s="1" t="s">
        <v>244</v>
      </c>
      <c r="B47" s="2">
        <v>43405</v>
      </c>
      <c r="C47" s="2">
        <v>43405</v>
      </c>
      <c r="D47" s="2">
        <v>43032</v>
      </c>
      <c r="E47" s="2">
        <v>42971</v>
      </c>
      <c r="F47" s="2">
        <v>42971</v>
      </c>
      <c r="G47" s="2">
        <v>43361</v>
      </c>
      <c r="H47" s="2">
        <v>43005</v>
      </c>
      <c r="I47" s="2">
        <v>43032</v>
      </c>
      <c r="J47" s="2">
        <v>43005</v>
      </c>
      <c r="K47" s="2">
        <v>43005</v>
      </c>
      <c r="L47" s="2">
        <v>43005</v>
      </c>
      <c r="M47" s="2">
        <v>43005</v>
      </c>
      <c r="N47" s="2">
        <v>43405</v>
      </c>
      <c r="O47" s="2">
        <v>43361</v>
      </c>
      <c r="Y47" s="2"/>
      <c r="Z47" s="2"/>
      <c r="AA47" s="2"/>
      <c r="AB47" s="2"/>
      <c r="AC47" s="2"/>
      <c r="AD47" s="2"/>
      <c r="AE47" s="2"/>
      <c r="AF47" s="2"/>
      <c r="AG47" s="2"/>
      <c r="AH47" s="2"/>
      <c r="AI47" s="2"/>
      <c r="AJ47" s="2"/>
      <c r="AK47" s="2"/>
      <c r="AL47" s="2"/>
      <c r="AM47" s="2"/>
      <c r="AN47" s="2"/>
      <c r="AO47" s="2"/>
      <c r="AP47" s="2"/>
      <c r="AQ47" s="2"/>
      <c r="AR47" s="1" t="s">
        <v>244</v>
      </c>
      <c r="AS47" s="2">
        <v>43405</v>
      </c>
      <c r="AT47" s="2">
        <v>43405</v>
      </c>
      <c r="AU47" s="2">
        <v>43032</v>
      </c>
      <c r="AV47" s="2">
        <v>42971</v>
      </c>
      <c r="AW47" s="2">
        <v>42971</v>
      </c>
      <c r="AX47" s="2">
        <v>43361</v>
      </c>
      <c r="AY47" s="2">
        <v>43005</v>
      </c>
      <c r="AZ47" s="2">
        <v>43032</v>
      </c>
      <c r="BA47" s="2">
        <v>43005</v>
      </c>
      <c r="BB47" s="2">
        <v>43005</v>
      </c>
      <c r="BC47" s="2">
        <v>43005</v>
      </c>
      <c r="BD47" s="2">
        <v>43005</v>
      </c>
      <c r="BE47" s="2">
        <v>43405</v>
      </c>
      <c r="BF47" s="2">
        <v>43361</v>
      </c>
      <c r="BO47" s="2"/>
      <c r="BP47" s="2"/>
      <c r="BQ47" s="2"/>
      <c r="BR47" s="2"/>
      <c r="BS47" s="2"/>
      <c r="BT47" s="2"/>
      <c r="BU47" s="2"/>
      <c r="BV47" s="2"/>
      <c r="BW47" s="2"/>
      <c r="BX47" s="2"/>
      <c r="BY47" s="2"/>
      <c r="BZ47" s="2"/>
      <c r="CA47" s="2"/>
      <c r="CB47" s="2"/>
      <c r="CC47" s="2"/>
      <c r="CD47" s="2"/>
      <c r="CE47" s="2"/>
      <c r="CF47" s="2"/>
      <c r="CG47" s="2"/>
    </row>
    <row r="48" spans="1:85">
      <c r="A48" s="1" t="s">
        <v>245</v>
      </c>
      <c r="E48" s="2">
        <v>43054</v>
      </c>
      <c r="F48" s="2">
        <v>43054</v>
      </c>
      <c r="H48" s="2">
        <v>43054</v>
      </c>
      <c r="I48" s="2">
        <v>43054</v>
      </c>
      <c r="J48" s="2">
        <v>43054</v>
      </c>
      <c r="M48" s="2">
        <v>43249</v>
      </c>
      <c r="Y48" s="2"/>
      <c r="AA48" s="2"/>
      <c r="AD48" s="2"/>
      <c r="AL48" s="2"/>
      <c r="AM48" s="2"/>
      <c r="AN48" s="2"/>
      <c r="AO48" s="2"/>
      <c r="AP48" s="2"/>
      <c r="AQ48" s="2"/>
      <c r="AR48" s="1" t="s">
        <v>245</v>
      </c>
      <c r="AV48" s="2">
        <v>43054</v>
      </c>
      <c r="AW48" s="2">
        <v>43054</v>
      </c>
      <c r="AY48" s="2">
        <v>43054</v>
      </c>
      <c r="AZ48" s="2">
        <v>43054</v>
      </c>
      <c r="BA48" s="2">
        <v>43054</v>
      </c>
      <c r="BD48" s="2">
        <v>43249</v>
      </c>
      <c r="BO48" s="2"/>
      <c r="BQ48" s="2"/>
      <c r="BT48" s="2"/>
      <c r="CB48" s="2"/>
      <c r="CC48" s="2"/>
      <c r="CD48" s="2"/>
      <c r="CE48" s="2"/>
      <c r="CF48" s="2"/>
      <c r="CG48" s="2"/>
    </row>
    <row r="49" spans="1:58">
      <c r="A49" s="1" t="s">
        <v>246</v>
      </c>
      <c r="B49" s="1" t="s">
        <v>247</v>
      </c>
      <c r="C49" s="1" t="s">
        <v>318</v>
      </c>
      <c r="D49" s="1" t="s">
        <v>319</v>
      </c>
      <c r="E49" s="1" t="s">
        <v>320</v>
      </c>
      <c r="F49" s="1" t="s">
        <v>321</v>
      </c>
      <c r="G49" s="1" t="s">
        <v>322</v>
      </c>
      <c r="H49" s="1" t="s">
        <v>323</v>
      </c>
      <c r="I49" s="1" t="s">
        <v>324</v>
      </c>
      <c r="J49" s="1" t="s">
        <v>325</v>
      </c>
      <c r="K49" s="1" t="s">
        <v>326</v>
      </c>
      <c r="L49" s="1" t="s">
        <v>327</v>
      </c>
      <c r="M49" s="1" t="s">
        <v>328</v>
      </c>
      <c r="N49" s="1" t="s">
        <v>329</v>
      </c>
      <c r="O49" s="1" t="s">
        <v>330</v>
      </c>
      <c r="AR49" s="1" t="s">
        <v>246</v>
      </c>
      <c r="AS49" s="1" t="s">
        <v>247</v>
      </c>
      <c r="AT49" s="1" t="s">
        <v>318</v>
      </c>
      <c r="AU49" s="1" t="s">
        <v>319</v>
      </c>
      <c r="AV49" s="1" t="s">
        <v>320</v>
      </c>
      <c r="AW49" s="1" t="s">
        <v>321</v>
      </c>
      <c r="AX49" s="1" t="s">
        <v>322</v>
      </c>
      <c r="AY49" s="1" t="s">
        <v>323</v>
      </c>
      <c r="AZ49" s="1" t="s">
        <v>324</v>
      </c>
      <c r="BA49" s="1" t="s">
        <v>325</v>
      </c>
      <c r="BB49" s="1" t="s">
        <v>326</v>
      </c>
      <c r="BC49" s="1" t="s">
        <v>327</v>
      </c>
      <c r="BD49" s="1" t="s">
        <v>328</v>
      </c>
      <c r="BE49" s="1" t="s">
        <v>329</v>
      </c>
      <c r="BF49" s="1" t="s">
        <v>330</v>
      </c>
    </row>
    <row r="50" spans="1:58">
      <c r="A50" s="1" t="s">
        <v>335</v>
      </c>
      <c r="B50" s="1" t="s">
        <v>336</v>
      </c>
      <c r="C50" s="1" t="s">
        <v>403</v>
      </c>
      <c r="D50" s="1" t="s">
        <v>404</v>
      </c>
      <c r="E50" s="1" t="s">
        <v>405</v>
      </c>
      <c r="F50" s="1" t="s">
        <v>406</v>
      </c>
      <c r="G50" s="1" t="s">
        <v>407</v>
      </c>
      <c r="H50" s="1" t="s">
        <v>408</v>
      </c>
      <c r="I50" s="1" t="s">
        <v>409</v>
      </c>
      <c r="J50" s="1" t="s">
        <v>410</v>
      </c>
      <c r="K50" s="1" t="s">
        <v>411</v>
      </c>
      <c r="L50" s="1" t="s">
        <v>412</v>
      </c>
      <c r="M50" s="1" t="s">
        <v>413</v>
      </c>
      <c r="N50" s="1" t="s">
        <v>414</v>
      </c>
      <c r="O50" s="1" t="s">
        <v>415</v>
      </c>
      <c r="AR50" s="1" t="s">
        <v>335</v>
      </c>
      <c r="AS50" s="1" t="s">
        <v>336</v>
      </c>
      <c r="AT50" s="1" t="s">
        <v>403</v>
      </c>
      <c r="AU50" s="1" t="s">
        <v>404</v>
      </c>
      <c r="AV50" s="1" t="s">
        <v>405</v>
      </c>
      <c r="AW50" s="1" t="s">
        <v>406</v>
      </c>
      <c r="AX50" s="1" t="s">
        <v>407</v>
      </c>
      <c r="AY50" s="1" t="s">
        <v>408</v>
      </c>
      <c r="AZ50" s="1" t="s">
        <v>409</v>
      </c>
      <c r="BA50" s="1" t="s">
        <v>410</v>
      </c>
      <c r="BB50" s="1" t="s">
        <v>411</v>
      </c>
      <c r="BC50" s="1" t="s">
        <v>412</v>
      </c>
      <c r="BD50" s="1" t="s">
        <v>413</v>
      </c>
      <c r="BE50" s="1" t="s">
        <v>414</v>
      </c>
      <c r="BF50" s="1" t="s">
        <v>415</v>
      </c>
    </row>
  </sheetData>
  <hyperlinks>
    <hyperlink ref="M3" r:id="rId1" xr:uid="{00000000-0004-0000-0B00-000000000000}"/>
    <hyperlink ref="O3" r:id="rId2" xr:uid="{00000000-0004-0000-0B00-000001000000}"/>
    <hyperlink ref="M4" r:id="rId3" xr:uid="{00000000-0004-0000-0B00-000002000000}"/>
    <hyperlink ref="O4" r:id="rId4" xr:uid="{00000000-0004-0000-0B00-000003000000}"/>
    <hyperlink ref="M5" r:id="rId5" xr:uid="{00000000-0004-0000-0B00-000004000000}"/>
    <hyperlink ref="O5" r:id="rId6" xr:uid="{00000000-0004-0000-0B00-000005000000}"/>
    <hyperlink ref="M6" r:id="rId7" xr:uid="{00000000-0004-0000-0B00-000006000000}"/>
    <hyperlink ref="O6" r:id="rId8" xr:uid="{00000000-0004-0000-0B00-000007000000}"/>
    <hyperlink ref="M7" r:id="rId9" xr:uid="{00000000-0004-0000-0B00-000008000000}"/>
    <hyperlink ref="O7" r:id="rId10" xr:uid="{00000000-0004-0000-0B00-000009000000}"/>
    <hyperlink ref="M8" r:id="rId11" xr:uid="{00000000-0004-0000-0B00-00000A000000}"/>
    <hyperlink ref="O8" r:id="rId12" xr:uid="{00000000-0004-0000-0B00-00000B000000}"/>
    <hyperlink ref="O9" r:id="rId13" xr:uid="{00000000-0004-0000-0B00-00000C000000}"/>
    <hyperlink ref="O10" r:id="rId14" xr:uid="{00000000-0004-0000-0B00-00000D000000}"/>
    <hyperlink ref="O11" r:id="rId15" xr:uid="{00000000-0004-0000-0B00-00000E000000}"/>
    <hyperlink ref="O12" r:id="rId16" xr:uid="{00000000-0004-0000-0B00-00000F000000}"/>
    <hyperlink ref="O13" r:id="rId17" xr:uid="{00000000-0004-0000-0B00-000010000000}"/>
    <hyperlink ref="M14" r:id="rId18" location="ref-CR30" xr:uid="{00000000-0004-0000-0B00-000011000000}"/>
    <hyperlink ref="O14" r:id="rId19" xr:uid="{00000000-0004-0000-0B00-000012000000}"/>
    <hyperlink ref="M15" r:id="rId20" location="ref-CR28" xr:uid="{00000000-0004-0000-0B00-000013000000}"/>
    <hyperlink ref="O15" r:id="rId21" xr:uid="{00000000-0004-0000-0B00-000014000000}"/>
    <hyperlink ref="O16" r:id="rId22" xr:uid="{00000000-0004-0000-0B00-000015000000}"/>
    <hyperlink ref="M17" r:id="rId23" location="ref-CR28" xr:uid="{00000000-0004-0000-0B00-000016000000}"/>
    <hyperlink ref="O17" r:id="rId24" xr:uid="{00000000-0004-0000-0B00-000017000000}"/>
    <hyperlink ref="M18" r:id="rId25" location="ref-CR28" xr:uid="{00000000-0004-0000-0B00-000018000000}"/>
    <hyperlink ref="O18" r:id="rId26" xr:uid="{00000000-0004-0000-0B00-000019000000}"/>
    <hyperlink ref="O19" r:id="rId27" xr:uid="{00000000-0004-0000-0B00-00001A000000}"/>
    <hyperlink ref="O20" r:id="rId28" xr:uid="{00000000-0004-0000-0B00-00001B000000}"/>
    <hyperlink ref="O21" r:id="rId29" xr:uid="{00000000-0004-0000-0B00-00001C000000}"/>
    <hyperlink ref="O22" r:id="rId30" xr:uid="{00000000-0004-0000-0B00-00001D000000}"/>
    <hyperlink ref="O23" r:id="rId31" xr:uid="{00000000-0004-0000-0B00-00001E000000}"/>
    <hyperlink ref="O24" r:id="rId32" xr:uid="{00000000-0004-0000-0B00-00001F000000}"/>
    <hyperlink ref="O25" r:id="rId33" xr:uid="{00000000-0004-0000-0B00-000020000000}"/>
    <hyperlink ref="O26" r:id="rId34" xr:uid="{00000000-0004-0000-0B00-000021000000}"/>
    <hyperlink ref="O27" r:id="rId35" xr:uid="{00000000-0004-0000-0B00-000022000000}"/>
    <hyperlink ref="O28" r:id="rId36" xr:uid="{00000000-0004-0000-0B00-000023000000}"/>
    <hyperlink ref="O29" r:id="rId37" xr:uid="{00000000-0004-0000-0B00-000024000000}"/>
    <hyperlink ref="O30" r:id="rId38" xr:uid="{00000000-0004-0000-0B00-000025000000}"/>
    <hyperlink ref="O31" r:id="rId39" xr:uid="{00000000-0004-0000-0B00-000026000000}"/>
    <hyperlink ref="O32" r:id="rId40" xr:uid="{00000000-0004-0000-0B00-000027000000}"/>
    <hyperlink ref="O33" r:id="rId41" xr:uid="{00000000-0004-0000-0B00-000028000000}"/>
    <hyperlink ref="O34" r:id="rId42" xr:uid="{00000000-0004-0000-0B00-000029000000}"/>
    <hyperlink ref="O35" r:id="rId43" xr:uid="{00000000-0004-0000-0B00-00002A000000}"/>
    <hyperlink ref="O36" r:id="rId44" xr:uid="{00000000-0004-0000-0B00-00002B000000}"/>
    <hyperlink ref="O37" r:id="rId45" xr:uid="{00000000-0004-0000-0B00-00002C000000}"/>
    <hyperlink ref="O38" r:id="rId46" xr:uid="{00000000-0004-0000-0B00-00002D000000}"/>
    <hyperlink ref="O39" r:id="rId47" xr:uid="{00000000-0004-0000-0B00-00002E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CF15"/>
  <sheetViews>
    <sheetView workbookViewId="0"/>
  </sheetViews>
  <sheetFormatPr baseColWidth="10" defaultColWidth="12.6640625" defaultRowHeight="15.75" customHeight="1"/>
  <sheetData>
    <row r="1" spans="1:84">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c r="Q1" s="1" t="s">
        <v>7</v>
      </c>
    </row>
    <row r="2" spans="1:84">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c r="Q2" s="1" t="s">
        <v>1516</v>
      </c>
    </row>
    <row r="3" spans="1:84">
      <c r="D3" s="4" t="s">
        <v>1001</v>
      </c>
      <c r="H3" s="1" t="s">
        <v>1045</v>
      </c>
      <c r="I3" s="1" t="s">
        <v>1046</v>
      </c>
      <c r="J3" s="1" t="s">
        <v>1517</v>
      </c>
      <c r="K3" s="1" t="s">
        <v>1046</v>
      </c>
      <c r="L3" s="1" t="s">
        <v>1046</v>
      </c>
      <c r="M3" s="1" t="s">
        <v>1518</v>
      </c>
      <c r="N3" s="1" t="s">
        <v>1477</v>
      </c>
      <c r="O3" s="16" t="s">
        <v>1519</v>
      </c>
      <c r="P3" s="1" t="s">
        <v>428</v>
      </c>
    </row>
    <row r="4" spans="1:84">
      <c r="D4" s="4" t="s">
        <v>903</v>
      </c>
      <c r="H4" s="1" t="s">
        <v>1045</v>
      </c>
      <c r="I4" s="1" t="s">
        <v>1046</v>
      </c>
      <c r="J4" s="1" t="s">
        <v>1520</v>
      </c>
      <c r="K4" s="1" t="s">
        <v>1046</v>
      </c>
      <c r="L4" s="1" t="s">
        <v>1046</v>
      </c>
      <c r="M4" s="13" t="s">
        <v>1521</v>
      </c>
      <c r="N4" s="1" t="s">
        <v>1522</v>
      </c>
      <c r="O4" s="16" t="s">
        <v>1519</v>
      </c>
      <c r="P4" s="1" t="s">
        <v>428</v>
      </c>
    </row>
    <row r="5" spans="1:84">
      <c r="A5" s="1" t="s">
        <v>85</v>
      </c>
      <c r="B5" s="1" t="s">
        <v>97</v>
      </c>
      <c r="C5" s="1" t="s">
        <v>98</v>
      </c>
      <c r="D5" s="1" t="s">
        <v>98</v>
      </c>
      <c r="E5" s="1" t="s">
        <v>98</v>
      </c>
      <c r="F5" s="1" t="s">
        <v>98</v>
      </c>
      <c r="G5" s="1" t="s">
        <v>98</v>
      </c>
      <c r="H5" s="1" t="s">
        <v>98</v>
      </c>
      <c r="I5" s="1" t="s">
        <v>98</v>
      </c>
      <c r="J5" s="1" t="s">
        <v>98</v>
      </c>
      <c r="K5" s="1" t="s">
        <v>98</v>
      </c>
      <c r="L5" s="1" t="s">
        <v>98</v>
      </c>
      <c r="M5" s="1" t="s">
        <v>1477</v>
      </c>
      <c r="N5" s="1" t="s">
        <v>98</v>
      </c>
      <c r="O5" s="1" t="s">
        <v>98</v>
      </c>
      <c r="AQ5" s="1" t="s">
        <v>85</v>
      </c>
      <c r="AR5" s="1" t="s">
        <v>97</v>
      </c>
      <c r="AS5" s="1" t="s">
        <v>98</v>
      </c>
      <c r="AT5" s="1" t="s">
        <v>98</v>
      </c>
      <c r="AU5" s="1" t="s">
        <v>98</v>
      </c>
      <c r="AV5" s="1" t="s">
        <v>98</v>
      </c>
      <c r="AW5" s="1" t="s">
        <v>98</v>
      </c>
      <c r="AX5" s="1" t="s">
        <v>98</v>
      </c>
      <c r="AY5" s="1" t="s">
        <v>98</v>
      </c>
      <c r="AZ5" s="1" t="s">
        <v>98</v>
      </c>
      <c r="BA5" s="1" t="s">
        <v>98</v>
      </c>
      <c r="BB5" s="1" t="s">
        <v>98</v>
      </c>
      <c r="BC5" s="1" t="s">
        <v>98</v>
      </c>
      <c r="BD5" s="1" t="s">
        <v>98</v>
      </c>
      <c r="BE5" s="1" t="s">
        <v>98</v>
      </c>
    </row>
    <row r="6" spans="1:84">
      <c r="A6" s="1" t="s">
        <v>103</v>
      </c>
      <c r="B6" s="1" t="s">
        <v>104</v>
      </c>
      <c r="C6" s="1" t="s">
        <v>175</v>
      </c>
      <c r="D6" s="1" t="s">
        <v>176</v>
      </c>
      <c r="E6" s="1" t="s">
        <v>177</v>
      </c>
      <c r="F6" s="1" t="s">
        <v>178</v>
      </c>
      <c r="G6" s="1" t="s">
        <v>179</v>
      </c>
      <c r="H6" s="1" t="s">
        <v>180</v>
      </c>
      <c r="I6" s="1" t="s">
        <v>181</v>
      </c>
      <c r="J6" s="1" t="s">
        <v>182</v>
      </c>
      <c r="K6" s="1" t="s">
        <v>183</v>
      </c>
      <c r="L6" s="1" t="s">
        <v>184</v>
      </c>
      <c r="M6" s="1" t="s">
        <v>185</v>
      </c>
      <c r="N6" s="1" t="s">
        <v>186</v>
      </c>
      <c r="O6" s="1" t="s">
        <v>187</v>
      </c>
      <c r="AQ6" s="1" t="s">
        <v>103</v>
      </c>
      <c r="AR6" s="1" t="s">
        <v>104</v>
      </c>
      <c r="AS6" s="1" t="s">
        <v>175</v>
      </c>
      <c r="AT6" s="1" t="s">
        <v>176</v>
      </c>
      <c r="AU6" s="1" t="s">
        <v>177</v>
      </c>
      <c r="AV6" s="1" t="s">
        <v>178</v>
      </c>
      <c r="AW6" s="1" t="s">
        <v>179</v>
      </c>
      <c r="AX6" s="1" t="s">
        <v>180</v>
      </c>
      <c r="AY6" s="1" t="s">
        <v>181</v>
      </c>
      <c r="AZ6" s="1" t="s">
        <v>182</v>
      </c>
      <c r="BA6" s="1" t="s">
        <v>183</v>
      </c>
      <c r="BB6" s="1" t="s">
        <v>184</v>
      </c>
      <c r="BC6" s="1" t="s">
        <v>185</v>
      </c>
      <c r="BD6" s="1" t="s">
        <v>186</v>
      </c>
      <c r="BE6" s="1" t="s">
        <v>187</v>
      </c>
    </row>
    <row r="7" spans="1:84">
      <c r="A7" s="1" t="s">
        <v>207</v>
      </c>
      <c r="C7" s="1" t="s">
        <v>234</v>
      </c>
      <c r="D7" s="1" t="s">
        <v>235</v>
      </c>
      <c r="M7" s="1" t="s">
        <v>226</v>
      </c>
      <c r="AQ7" s="1" t="s">
        <v>207</v>
      </c>
      <c r="AS7" s="1" t="s">
        <v>234</v>
      </c>
      <c r="AT7" s="1" t="s">
        <v>235</v>
      </c>
      <c r="BC7" s="1" t="s">
        <v>226</v>
      </c>
    </row>
    <row r="8" spans="1:84">
      <c r="A8" s="1" t="s">
        <v>236</v>
      </c>
      <c r="B8" s="1" t="s">
        <v>190</v>
      </c>
      <c r="C8" s="1" t="s">
        <v>201</v>
      </c>
      <c r="N8" s="1" t="s">
        <v>202</v>
      </c>
      <c r="AQ8" s="1" t="s">
        <v>236</v>
      </c>
      <c r="AR8" s="1" t="s">
        <v>190</v>
      </c>
      <c r="AS8" s="1" t="s">
        <v>201</v>
      </c>
      <c r="BD8" s="1" t="s">
        <v>202</v>
      </c>
    </row>
    <row r="9" spans="1:84">
      <c r="A9" s="1" t="s">
        <v>237</v>
      </c>
      <c r="AQ9" s="1" t="s">
        <v>237</v>
      </c>
    </row>
    <row r="10" spans="1:84">
      <c r="A10" s="1" t="s">
        <v>238</v>
      </c>
      <c r="AQ10" s="1" t="s">
        <v>238</v>
      </c>
    </row>
    <row r="11" spans="1:84">
      <c r="A11" s="1" t="s">
        <v>239</v>
      </c>
      <c r="B11" s="1" t="s">
        <v>240</v>
      </c>
      <c r="C11" s="1" t="s">
        <v>240</v>
      </c>
      <c r="D11" s="1" t="s">
        <v>242</v>
      </c>
      <c r="E11" s="1" t="s">
        <v>242</v>
      </c>
      <c r="F11" s="1" t="s">
        <v>242</v>
      </c>
      <c r="G11" s="1" t="s">
        <v>243</v>
      </c>
      <c r="H11" s="1" t="s">
        <v>242</v>
      </c>
      <c r="I11" s="1" t="s">
        <v>242</v>
      </c>
      <c r="J11" s="1" t="s">
        <v>242</v>
      </c>
      <c r="K11" s="1" t="s">
        <v>242</v>
      </c>
      <c r="L11" s="1" t="s">
        <v>242</v>
      </c>
      <c r="M11" s="1" t="s">
        <v>242</v>
      </c>
      <c r="N11" s="1" t="s">
        <v>240</v>
      </c>
      <c r="O11" s="1" t="s">
        <v>243</v>
      </c>
      <c r="AQ11" s="1" t="s">
        <v>239</v>
      </c>
      <c r="AR11" s="1" t="s">
        <v>240</v>
      </c>
      <c r="AS11" s="1" t="s">
        <v>240</v>
      </c>
      <c r="AT11" s="1" t="s">
        <v>242</v>
      </c>
      <c r="AU11" s="1" t="s">
        <v>242</v>
      </c>
      <c r="AV11" s="1" t="s">
        <v>242</v>
      </c>
      <c r="AW11" s="1" t="s">
        <v>243</v>
      </c>
      <c r="AX11" s="1" t="s">
        <v>242</v>
      </c>
      <c r="AY11" s="1" t="s">
        <v>242</v>
      </c>
      <c r="AZ11" s="1" t="s">
        <v>242</v>
      </c>
      <c r="BA11" s="1" t="s">
        <v>242</v>
      </c>
      <c r="BB11" s="1" t="s">
        <v>242</v>
      </c>
      <c r="BC11" s="1" t="s">
        <v>242</v>
      </c>
      <c r="BD11" s="1" t="s">
        <v>240</v>
      </c>
      <c r="BE11" s="1" t="s">
        <v>243</v>
      </c>
    </row>
    <row r="12" spans="1:84">
      <c r="A12" s="1" t="s">
        <v>244</v>
      </c>
      <c r="B12" s="2">
        <v>43405</v>
      </c>
      <c r="C12" s="2">
        <v>43405</v>
      </c>
      <c r="D12" s="2">
        <v>43032</v>
      </c>
      <c r="E12" s="2">
        <v>42971</v>
      </c>
      <c r="F12" s="2">
        <v>42971</v>
      </c>
      <c r="G12" s="2">
        <v>43361</v>
      </c>
      <c r="H12" s="2">
        <v>43005</v>
      </c>
      <c r="I12" s="2">
        <v>43032</v>
      </c>
      <c r="J12" s="2">
        <v>43005</v>
      </c>
      <c r="K12" s="2">
        <v>43005</v>
      </c>
      <c r="L12" s="2">
        <v>43005</v>
      </c>
      <c r="M12" s="2">
        <v>43005</v>
      </c>
      <c r="N12" s="2">
        <v>43405</v>
      </c>
      <c r="O12" s="2">
        <v>43361</v>
      </c>
      <c r="X12" s="2"/>
      <c r="Y12" s="2"/>
      <c r="Z12" s="2"/>
      <c r="AA12" s="2"/>
      <c r="AB12" s="2"/>
      <c r="AC12" s="2"/>
      <c r="AD12" s="2"/>
      <c r="AE12" s="2"/>
      <c r="AF12" s="2"/>
      <c r="AG12" s="2"/>
      <c r="AH12" s="2"/>
      <c r="AI12" s="2"/>
      <c r="AJ12" s="2"/>
      <c r="AK12" s="2"/>
      <c r="AL12" s="2"/>
      <c r="AM12" s="2"/>
      <c r="AN12" s="2"/>
      <c r="AO12" s="2"/>
      <c r="AP12" s="2"/>
      <c r="AQ12" s="1" t="s">
        <v>244</v>
      </c>
      <c r="AR12" s="2">
        <v>43405</v>
      </c>
      <c r="AS12" s="2">
        <v>43405</v>
      </c>
      <c r="AT12" s="2">
        <v>43032</v>
      </c>
      <c r="AU12" s="2">
        <v>42971</v>
      </c>
      <c r="AV12" s="2">
        <v>42971</v>
      </c>
      <c r="AW12" s="2">
        <v>43361</v>
      </c>
      <c r="AX12" s="2">
        <v>43005</v>
      </c>
      <c r="AY12" s="2">
        <v>43032</v>
      </c>
      <c r="AZ12" s="2">
        <v>43005</v>
      </c>
      <c r="BA12" s="2">
        <v>43005</v>
      </c>
      <c r="BB12" s="2">
        <v>43005</v>
      </c>
      <c r="BC12" s="2">
        <v>43005</v>
      </c>
      <c r="BD12" s="2">
        <v>43405</v>
      </c>
      <c r="BE12" s="2">
        <v>43361</v>
      </c>
      <c r="BN12" s="2"/>
      <c r="BO12" s="2"/>
      <c r="BP12" s="2"/>
      <c r="BQ12" s="2"/>
      <c r="BR12" s="2"/>
      <c r="BS12" s="2"/>
      <c r="BT12" s="2"/>
      <c r="BU12" s="2"/>
      <c r="BV12" s="2"/>
      <c r="BW12" s="2"/>
      <c r="BX12" s="2"/>
      <c r="BY12" s="2"/>
      <c r="BZ12" s="2"/>
      <c r="CA12" s="2"/>
      <c r="CB12" s="2"/>
      <c r="CC12" s="2"/>
      <c r="CD12" s="2"/>
      <c r="CE12" s="2"/>
      <c r="CF12" s="2"/>
    </row>
    <row r="13" spans="1:84">
      <c r="A13" s="1" t="s">
        <v>245</v>
      </c>
      <c r="E13" s="2">
        <v>43054</v>
      </c>
      <c r="F13" s="2">
        <v>43054</v>
      </c>
      <c r="H13" s="2">
        <v>43054</v>
      </c>
      <c r="I13" s="2">
        <v>43054</v>
      </c>
      <c r="J13" s="2">
        <v>43054</v>
      </c>
      <c r="M13" s="2">
        <v>43249</v>
      </c>
      <c r="X13" s="2"/>
      <c r="Z13" s="2"/>
      <c r="AC13" s="2"/>
      <c r="AK13" s="2"/>
      <c r="AL13" s="2"/>
      <c r="AM13" s="2"/>
      <c r="AN13" s="2"/>
      <c r="AO13" s="2"/>
      <c r="AP13" s="2"/>
      <c r="AQ13" s="1" t="s">
        <v>245</v>
      </c>
      <c r="AU13" s="2">
        <v>43054</v>
      </c>
      <c r="AV13" s="2">
        <v>43054</v>
      </c>
      <c r="AX13" s="2">
        <v>43054</v>
      </c>
      <c r="AY13" s="2">
        <v>43054</v>
      </c>
      <c r="AZ13" s="2">
        <v>43054</v>
      </c>
      <c r="BC13" s="2">
        <v>43249</v>
      </c>
      <c r="BN13" s="2"/>
      <c r="BP13" s="2"/>
      <c r="BS13" s="2"/>
      <c r="CA13" s="2"/>
      <c r="CB13" s="2"/>
      <c r="CC13" s="2"/>
      <c r="CD13" s="2"/>
      <c r="CE13" s="2"/>
      <c r="CF13" s="2"/>
    </row>
    <row r="14" spans="1:84">
      <c r="A14" s="1" t="s">
        <v>246</v>
      </c>
      <c r="B14" s="1" t="s">
        <v>247</v>
      </c>
      <c r="C14" s="1" t="s">
        <v>318</v>
      </c>
      <c r="D14" s="1" t="s">
        <v>319</v>
      </c>
      <c r="E14" s="1" t="s">
        <v>320</v>
      </c>
      <c r="F14" s="1" t="s">
        <v>321</v>
      </c>
      <c r="G14" s="1" t="s">
        <v>322</v>
      </c>
      <c r="H14" s="1" t="s">
        <v>323</v>
      </c>
      <c r="I14" s="1" t="s">
        <v>324</v>
      </c>
      <c r="J14" s="1" t="s">
        <v>325</v>
      </c>
      <c r="K14" s="1" t="s">
        <v>326</v>
      </c>
      <c r="L14" s="1" t="s">
        <v>327</v>
      </c>
      <c r="M14" s="1" t="s">
        <v>328</v>
      </c>
      <c r="N14" s="1" t="s">
        <v>329</v>
      </c>
      <c r="O14" s="1" t="s">
        <v>330</v>
      </c>
      <c r="AQ14" s="1" t="s">
        <v>246</v>
      </c>
      <c r="AR14" s="1" t="s">
        <v>247</v>
      </c>
      <c r="AS14" s="1" t="s">
        <v>318</v>
      </c>
      <c r="AT14" s="1" t="s">
        <v>319</v>
      </c>
      <c r="AU14" s="1" t="s">
        <v>320</v>
      </c>
      <c r="AV14" s="1" t="s">
        <v>321</v>
      </c>
      <c r="AW14" s="1" t="s">
        <v>322</v>
      </c>
      <c r="AX14" s="1" t="s">
        <v>323</v>
      </c>
      <c r="AY14" s="1" t="s">
        <v>324</v>
      </c>
      <c r="AZ14" s="1" t="s">
        <v>325</v>
      </c>
      <c r="BA14" s="1" t="s">
        <v>326</v>
      </c>
      <c r="BB14" s="1" t="s">
        <v>327</v>
      </c>
      <c r="BC14" s="1" t="s">
        <v>328</v>
      </c>
      <c r="BD14" s="1" t="s">
        <v>329</v>
      </c>
      <c r="BE14" s="1" t="s">
        <v>330</v>
      </c>
    </row>
    <row r="15" spans="1:84">
      <c r="A15" s="1" t="s">
        <v>335</v>
      </c>
      <c r="B15" s="1" t="s">
        <v>336</v>
      </c>
      <c r="C15" s="1" t="s">
        <v>403</v>
      </c>
      <c r="D15" s="1" t="s">
        <v>404</v>
      </c>
      <c r="E15" s="1" t="s">
        <v>405</v>
      </c>
      <c r="F15" s="1" t="s">
        <v>406</v>
      </c>
      <c r="G15" s="1" t="s">
        <v>407</v>
      </c>
      <c r="H15" s="1" t="s">
        <v>408</v>
      </c>
      <c r="I15" s="1" t="s">
        <v>409</v>
      </c>
      <c r="J15" s="1" t="s">
        <v>410</v>
      </c>
      <c r="K15" s="1" t="s">
        <v>411</v>
      </c>
      <c r="L15" s="1" t="s">
        <v>412</v>
      </c>
      <c r="M15" s="1" t="s">
        <v>413</v>
      </c>
      <c r="N15" s="1" t="s">
        <v>414</v>
      </c>
      <c r="O15" s="1" t="s">
        <v>415</v>
      </c>
      <c r="AQ15" s="1" t="s">
        <v>335</v>
      </c>
      <c r="AR15" s="1" t="s">
        <v>336</v>
      </c>
      <c r="AS15" s="1" t="s">
        <v>403</v>
      </c>
      <c r="AT15" s="1" t="s">
        <v>404</v>
      </c>
      <c r="AU15" s="1" t="s">
        <v>405</v>
      </c>
      <c r="AV15" s="1" t="s">
        <v>406</v>
      </c>
      <c r="AW15" s="1" t="s">
        <v>407</v>
      </c>
      <c r="AX15" s="1" t="s">
        <v>408</v>
      </c>
      <c r="AY15" s="1" t="s">
        <v>409</v>
      </c>
      <c r="AZ15" s="1" t="s">
        <v>410</v>
      </c>
      <c r="BA15" s="1" t="s">
        <v>411</v>
      </c>
      <c r="BB15" s="1" t="s">
        <v>412</v>
      </c>
      <c r="BC15" s="1" t="s">
        <v>413</v>
      </c>
      <c r="BD15" s="1" t="s">
        <v>414</v>
      </c>
      <c r="BE15" s="1" t="s">
        <v>415</v>
      </c>
    </row>
  </sheetData>
  <hyperlinks>
    <hyperlink ref="M4" r:id="rId1" xr:uid="{00000000-0004-0000-0C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CZ42"/>
  <sheetViews>
    <sheetView workbookViewId="0"/>
  </sheetViews>
  <sheetFormatPr baseColWidth="10" defaultColWidth="12.6640625" defaultRowHeight="15.75" customHeight="1"/>
  <cols>
    <col min="4" max="4" width="18.33203125" customWidth="1"/>
    <col min="6" max="6" width="18.21875" customWidth="1"/>
    <col min="8" max="8" width="26.6640625" customWidth="1"/>
    <col min="13" max="13" width="127.44140625" customWidth="1"/>
    <col min="46" max="46" width="18.33203125" customWidth="1"/>
    <col min="48" max="48" width="18.21875" customWidth="1"/>
    <col min="50" max="50" width="26.6640625" customWidth="1"/>
  </cols>
  <sheetData>
    <row r="1" spans="1:104" ht="13.2">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c r="AQ1" s="1" t="s">
        <v>0</v>
      </c>
      <c r="AR1" s="1" t="s">
        <v>1</v>
      </c>
      <c r="AS1" s="1" t="s">
        <v>7</v>
      </c>
      <c r="AT1" s="1" t="s">
        <v>7</v>
      </c>
      <c r="AU1" s="1" t="s">
        <v>7</v>
      </c>
      <c r="AV1" s="1" t="s">
        <v>7</v>
      </c>
      <c r="AW1" s="1" t="s">
        <v>7</v>
      </c>
      <c r="AX1" s="1" t="s">
        <v>7</v>
      </c>
      <c r="AY1" s="1" t="s">
        <v>7</v>
      </c>
      <c r="AZ1" s="1" t="s">
        <v>7</v>
      </c>
      <c r="BA1" s="1" t="s">
        <v>7</v>
      </c>
      <c r="BB1" s="1" t="s">
        <v>7</v>
      </c>
      <c r="BC1" s="1" t="s">
        <v>7</v>
      </c>
      <c r="BD1" s="1" t="s">
        <v>7</v>
      </c>
      <c r="BE1" s="1" t="s">
        <v>7</v>
      </c>
      <c r="CG1" s="1" t="s">
        <v>7</v>
      </c>
      <c r="CH1" s="1" t="s">
        <v>1</v>
      </c>
      <c r="CI1" s="1" t="s">
        <v>1</v>
      </c>
      <c r="CJ1" s="1" t="s">
        <v>1</v>
      </c>
      <c r="CK1" s="1" t="s">
        <v>1</v>
      </c>
      <c r="CL1" s="1" t="s">
        <v>1</v>
      </c>
      <c r="CM1" s="1" t="s">
        <v>1</v>
      </c>
      <c r="CN1" s="1" t="s">
        <v>1</v>
      </c>
      <c r="CO1" s="1" t="s">
        <v>1</v>
      </c>
      <c r="CP1" s="1" t="s">
        <v>1</v>
      </c>
      <c r="CQ1" s="1" t="s">
        <v>1</v>
      </c>
      <c r="CR1" s="1" t="s">
        <v>1</v>
      </c>
      <c r="CS1" s="1" t="s">
        <v>3</v>
      </c>
      <c r="CT1" s="1" t="s">
        <v>3</v>
      </c>
      <c r="CU1" s="1" t="s">
        <v>7</v>
      </c>
      <c r="CV1" s="1" t="s">
        <v>7</v>
      </c>
      <c r="CW1" s="1" t="s">
        <v>1</v>
      </c>
      <c r="CX1" s="1" t="s">
        <v>1</v>
      </c>
      <c r="CY1" s="1" t="s">
        <v>1</v>
      </c>
      <c r="CZ1" s="1" t="s">
        <v>1</v>
      </c>
    </row>
    <row r="2" spans="1:104" ht="13.2">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c r="AQ2" s="1" t="s">
        <v>8</v>
      </c>
      <c r="AR2" s="1" t="s">
        <v>9</v>
      </c>
      <c r="AS2" s="1" t="s">
        <v>80</v>
      </c>
      <c r="AT2" s="1" t="s">
        <v>81</v>
      </c>
      <c r="AU2" s="1" t="s">
        <v>82</v>
      </c>
      <c r="AV2" s="1" t="s">
        <v>83</v>
      </c>
      <c r="AW2" s="1" t="s">
        <v>84</v>
      </c>
      <c r="AX2" s="1" t="s">
        <v>85</v>
      </c>
      <c r="AY2" s="1" t="s">
        <v>86</v>
      </c>
      <c r="AZ2" s="1" t="s">
        <v>87</v>
      </c>
      <c r="BA2" s="1" t="s">
        <v>88</v>
      </c>
      <c r="BB2" s="1" t="s">
        <v>89</v>
      </c>
      <c r="BC2" s="1" t="s">
        <v>90</v>
      </c>
      <c r="BD2" s="1" t="s">
        <v>91</v>
      </c>
      <c r="BE2" s="1" t="s">
        <v>92</v>
      </c>
      <c r="CG2" s="1" t="s">
        <v>92</v>
      </c>
      <c r="CH2" s="1" t="s">
        <v>10</v>
      </c>
      <c r="CI2" s="1" t="s">
        <v>11</v>
      </c>
      <c r="CJ2" s="1" t="s">
        <v>9</v>
      </c>
      <c r="CK2" s="1" t="s">
        <v>12</v>
      </c>
      <c r="CL2" s="1" t="s">
        <v>13</v>
      </c>
      <c r="CM2" s="1" t="s">
        <v>93</v>
      </c>
      <c r="CN2" s="1" t="s">
        <v>94</v>
      </c>
      <c r="CO2" s="1" t="s">
        <v>95</v>
      </c>
      <c r="CP2" s="1" t="s">
        <v>96</v>
      </c>
      <c r="CQ2" s="1" t="s">
        <v>19</v>
      </c>
      <c r="CR2" s="1" t="s">
        <v>20</v>
      </c>
      <c r="CS2" s="1" t="s">
        <v>29</v>
      </c>
      <c r="CT2" s="1" t="s">
        <v>30</v>
      </c>
      <c r="CU2" s="1" t="s">
        <v>80</v>
      </c>
      <c r="CV2" s="1" t="s">
        <v>91</v>
      </c>
      <c r="CW2" s="1" t="s">
        <v>93</v>
      </c>
      <c r="CX2" s="1" t="s">
        <v>94</v>
      </c>
      <c r="CY2" s="1" t="s">
        <v>95</v>
      </c>
      <c r="CZ2" s="1" t="s">
        <v>96</v>
      </c>
    </row>
    <row r="3" spans="1:104" ht="13.2">
      <c r="C3" s="4"/>
      <c r="D3" s="4" t="s">
        <v>683</v>
      </c>
      <c r="H3" s="1" t="s">
        <v>102</v>
      </c>
      <c r="I3" s="4" t="s">
        <v>1523</v>
      </c>
      <c r="J3" s="1" t="s">
        <v>1046</v>
      </c>
      <c r="M3" s="4" t="s">
        <v>1524</v>
      </c>
      <c r="N3" s="4" t="s">
        <v>1525</v>
      </c>
      <c r="O3" s="13" t="s">
        <v>1526</v>
      </c>
      <c r="P3" s="1" t="s">
        <v>426</v>
      </c>
      <c r="AS3" s="4"/>
      <c r="AT3" s="4" t="s">
        <v>967</v>
      </c>
      <c r="AX3" s="1" t="s">
        <v>102</v>
      </c>
      <c r="AY3" s="4" t="s">
        <v>1143</v>
      </c>
      <c r="BC3" s="4" t="s">
        <v>1527</v>
      </c>
      <c r="BD3" s="4"/>
      <c r="BE3" s="13" t="s">
        <v>1528</v>
      </c>
    </row>
    <row r="4" spans="1:104" ht="13.2">
      <c r="C4" s="4"/>
      <c r="D4" s="4" t="s">
        <v>629</v>
      </c>
      <c r="H4" s="1" t="s">
        <v>102</v>
      </c>
      <c r="I4" s="4" t="s">
        <v>1529</v>
      </c>
      <c r="J4" s="1" t="s">
        <v>1046</v>
      </c>
      <c r="M4" s="4" t="s">
        <v>1530</v>
      </c>
      <c r="N4" s="4" t="s">
        <v>1525</v>
      </c>
      <c r="O4" s="13" t="s">
        <v>1526</v>
      </c>
      <c r="P4" s="1" t="s">
        <v>426</v>
      </c>
      <c r="AS4" s="4"/>
      <c r="AT4" s="4" t="s">
        <v>969</v>
      </c>
      <c r="AX4" s="1" t="s">
        <v>102</v>
      </c>
      <c r="AY4" s="4" t="s">
        <v>1531</v>
      </c>
      <c r="BC4" s="4" t="s">
        <v>1532</v>
      </c>
      <c r="BD4" s="4"/>
      <c r="BE4" s="13" t="s">
        <v>1528</v>
      </c>
    </row>
    <row r="5" spans="1:104" ht="13.2">
      <c r="C5" s="4"/>
      <c r="D5" s="4" t="s">
        <v>624</v>
      </c>
      <c r="H5" s="1" t="s">
        <v>102</v>
      </c>
      <c r="I5" s="4" t="s">
        <v>1533</v>
      </c>
      <c r="J5" s="1" t="s">
        <v>1046</v>
      </c>
      <c r="M5" s="4" t="s">
        <v>1534</v>
      </c>
      <c r="N5" s="4" t="s">
        <v>1525</v>
      </c>
      <c r="O5" s="13" t="s">
        <v>1526</v>
      </c>
      <c r="P5" s="1" t="s">
        <v>426</v>
      </c>
      <c r="AS5" s="4"/>
      <c r="AT5" s="4" t="s">
        <v>978</v>
      </c>
      <c r="AX5" s="1" t="s">
        <v>102</v>
      </c>
      <c r="AY5" s="4" t="s">
        <v>1143</v>
      </c>
      <c r="BC5" s="4" t="s">
        <v>1535</v>
      </c>
      <c r="BD5" s="4"/>
      <c r="BE5" s="13" t="s">
        <v>1528</v>
      </c>
    </row>
    <row r="6" spans="1:104" ht="13.2">
      <c r="C6" s="4"/>
      <c r="D6" s="4" t="s">
        <v>466</v>
      </c>
      <c r="H6" s="1" t="s">
        <v>102</v>
      </c>
      <c r="I6" s="4" t="s">
        <v>1536</v>
      </c>
      <c r="J6" s="1" t="s">
        <v>1046</v>
      </c>
      <c r="M6" s="4" t="s">
        <v>1537</v>
      </c>
      <c r="N6" s="4" t="s">
        <v>1525</v>
      </c>
      <c r="O6" s="13" t="s">
        <v>1526</v>
      </c>
      <c r="P6" s="1" t="s">
        <v>426</v>
      </c>
      <c r="AS6" s="4"/>
      <c r="AT6" s="4" t="s">
        <v>971</v>
      </c>
      <c r="AX6" s="1" t="s">
        <v>102</v>
      </c>
      <c r="AY6" s="4" t="s">
        <v>1531</v>
      </c>
      <c r="BC6" s="4" t="s">
        <v>1538</v>
      </c>
      <c r="BD6" s="4"/>
      <c r="BE6" s="13" t="s">
        <v>1528</v>
      </c>
    </row>
    <row r="7" spans="1:104" ht="13.2">
      <c r="C7" s="4"/>
      <c r="D7" s="4" t="s">
        <v>671</v>
      </c>
      <c r="H7" s="1" t="s">
        <v>102</v>
      </c>
      <c r="I7" s="4" t="s">
        <v>1539</v>
      </c>
      <c r="J7" s="1" t="s">
        <v>1046</v>
      </c>
      <c r="M7" s="4" t="s">
        <v>1540</v>
      </c>
      <c r="N7" s="4" t="s">
        <v>1525</v>
      </c>
      <c r="O7" s="13" t="s">
        <v>1526</v>
      </c>
      <c r="P7" s="1" t="s">
        <v>426</v>
      </c>
      <c r="AS7" s="4"/>
      <c r="AT7" s="4" t="s">
        <v>979</v>
      </c>
      <c r="AX7" s="1" t="s">
        <v>102</v>
      </c>
      <c r="AY7" s="4" t="s">
        <v>1143</v>
      </c>
      <c r="BC7" s="4" t="s">
        <v>1541</v>
      </c>
      <c r="BD7" s="4"/>
      <c r="BE7" s="13" t="s">
        <v>1528</v>
      </c>
    </row>
    <row r="8" spans="1:104" ht="13.2">
      <c r="C8" s="4"/>
      <c r="D8" s="4" t="s">
        <v>636</v>
      </c>
      <c r="H8" s="1" t="s">
        <v>102</v>
      </c>
      <c r="I8" s="4" t="s">
        <v>1523</v>
      </c>
      <c r="J8" s="1" t="s">
        <v>1046</v>
      </c>
      <c r="M8" s="4" t="s">
        <v>1542</v>
      </c>
      <c r="N8" s="4" t="s">
        <v>1543</v>
      </c>
      <c r="O8" s="13" t="s">
        <v>1526</v>
      </c>
      <c r="P8" s="1" t="s">
        <v>426</v>
      </c>
      <c r="AS8" s="4"/>
      <c r="AT8" s="4" t="s">
        <v>980</v>
      </c>
      <c r="AX8" s="1" t="s">
        <v>102</v>
      </c>
      <c r="AY8" s="4" t="s">
        <v>1143</v>
      </c>
      <c r="BC8" s="4" t="s">
        <v>1544</v>
      </c>
      <c r="BD8" s="4"/>
      <c r="BE8" s="13" t="s">
        <v>1528</v>
      </c>
    </row>
    <row r="9" spans="1:104" ht="13.2">
      <c r="C9" s="4"/>
      <c r="D9" s="4" t="s">
        <v>649</v>
      </c>
      <c r="H9" s="1" t="s">
        <v>102</v>
      </c>
      <c r="I9" s="4" t="s">
        <v>1523</v>
      </c>
      <c r="J9" s="1" t="s">
        <v>1046</v>
      </c>
      <c r="M9" s="4" t="s">
        <v>1545</v>
      </c>
      <c r="N9" s="4" t="s">
        <v>1543</v>
      </c>
      <c r="O9" s="13" t="s">
        <v>1526</v>
      </c>
      <c r="P9" s="1" t="s">
        <v>426</v>
      </c>
      <c r="AS9" s="4"/>
      <c r="AT9" s="4" t="s">
        <v>981</v>
      </c>
      <c r="AX9" s="1" t="s">
        <v>102</v>
      </c>
      <c r="AY9" s="4" t="s">
        <v>1143</v>
      </c>
      <c r="BC9" s="4" t="s">
        <v>1546</v>
      </c>
      <c r="BD9" s="4"/>
      <c r="BE9" s="13" t="s">
        <v>1528</v>
      </c>
    </row>
    <row r="10" spans="1:104" ht="13.2">
      <c r="C10" s="4"/>
      <c r="D10" s="4" t="s">
        <v>643</v>
      </c>
      <c r="H10" s="1" t="s">
        <v>102</v>
      </c>
      <c r="I10" s="4" t="s">
        <v>1536</v>
      </c>
      <c r="J10" s="1" t="s">
        <v>1046</v>
      </c>
      <c r="M10" s="4" t="s">
        <v>1547</v>
      </c>
      <c r="N10" s="4" t="s">
        <v>1525</v>
      </c>
      <c r="O10" s="13" t="s">
        <v>1526</v>
      </c>
      <c r="P10" s="1" t="s">
        <v>426</v>
      </c>
      <c r="AS10" s="4"/>
      <c r="AT10" s="4" t="s">
        <v>974</v>
      </c>
      <c r="AX10" s="1" t="s">
        <v>102</v>
      </c>
      <c r="AY10" s="4" t="s">
        <v>1143</v>
      </c>
      <c r="BC10" s="4" t="s">
        <v>1548</v>
      </c>
      <c r="BD10" s="4"/>
      <c r="BE10" s="13" t="s">
        <v>1528</v>
      </c>
    </row>
    <row r="11" spans="1:104" ht="13.2">
      <c r="C11" s="4"/>
      <c r="D11" s="4" t="s">
        <v>652</v>
      </c>
      <c r="H11" s="1" t="s">
        <v>102</v>
      </c>
      <c r="I11" s="4" t="s">
        <v>1536</v>
      </c>
      <c r="J11" s="1" t="s">
        <v>1046</v>
      </c>
      <c r="M11" s="4" t="s">
        <v>1549</v>
      </c>
      <c r="N11" s="4" t="s">
        <v>1543</v>
      </c>
      <c r="O11" s="13" t="s">
        <v>1526</v>
      </c>
      <c r="P11" s="1" t="s">
        <v>426</v>
      </c>
      <c r="AS11" s="4"/>
      <c r="AT11" s="4" t="s">
        <v>982</v>
      </c>
      <c r="AX11" s="1" t="s">
        <v>102</v>
      </c>
      <c r="AY11" s="4" t="s">
        <v>1550</v>
      </c>
      <c r="BC11" s="4" t="s">
        <v>1551</v>
      </c>
      <c r="BD11" s="4"/>
      <c r="BE11" s="13" t="s">
        <v>1528</v>
      </c>
    </row>
    <row r="12" spans="1:104" ht="13.2">
      <c r="C12" s="4"/>
      <c r="D12" s="4" t="s">
        <v>1552</v>
      </c>
      <c r="I12" s="4" t="s">
        <v>1536</v>
      </c>
      <c r="M12" s="4" t="s">
        <v>1553</v>
      </c>
      <c r="N12" s="4" t="s">
        <v>1554</v>
      </c>
      <c r="O12" s="13" t="s">
        <v>1526</v>
      </c>
      <c r="P12" s="1" t="s">
        <v>426</v>
      </c>
      <c r="AS12" s="4"/>
      <c r="AT12" s="4" t="s">
        <v>983</v>
      </c>
      <c r="AX12" s="1" t="s">
        <v>102</v>
      </c>
      <c r="AY12" s="4" t="s">
        <v>1143</v>
      </c>
      <c r="BC12" s="4" t="s">
        <v>1555</v>
      </c>
      <c r="BD12" s="4"/>
      <c r="BE12" s="13" t="s">
        <v>1528</v>
      </c>
    </row>
    <row r="13" spans="1:104" ht="13.2">
      <c r="C13" s="4"/>
      <c r="D13" s="4" t="s">
        <v>1556</v>
      </c>
      <c r="I13" s="4" t="s">
        <v>1523</v>
      </c>
      <c r="M13" s="4" t="s">
        <v>1557</v>
      </c>
      <c r="N13" s="4" t="s">
        <v>1554</v>
      </c>
      <c r="O13" s="13" t="s">
        <v>1526</v>
      </c>
      <c r="P13" s="1" t="s">
        <v>426</v>
      </c>
      <c r="AS13" s="4"/>
      <c r="AT13" s="4" t="s">
        <v>984</v>
      </c>
      <c r="AX13" s="1" t="s">
        <v>102</v>
      </c>
      <c r="AY13" s="4" t="s">
        <v>1558</v>
      </c>
      <c r="BC13" s="4" t="s">
        <v>1559</v>
      </c>
      <c r="BD13" s="4"/>
      <c r="BE13" s="13" t="s">
        <v>1528</v>
      </c>
    </row>
    <row r="14" spans="1:104" ht="13.2">
      <c r="C14" s="4"/>
      <c r="D14" s="4" t="s">
        <v>1560</v>
      </c>
      <c r="I14" s="4" t="s">
        <v>1523</v>
      </c>
      <c r="M14" s="4" t="s">
        <v>1561</v>
      </c>
      <c r="N14" s="4" t="s">
        <v>1562</v>
      </c>
      <c r="O14" s="13" t="s">
        <v>1526</v>
      </c>
      <c r="P14" s="1" t="s">
        <v>426</v>
      </c>
      <c r="AS14" s="4"/>
      <c r="AT14" s="4" t="s">
        <v>985</v>
      </c>
      <c r="AX14" s="1" t="s">
        <v>102</v>
      </c>
      <c r="AY14" s="4" t="s">
        <v>1531</v>
      </c>
      <c r="BC14" s="4" t="s">
        <v>1563</v>
      </c>
      <c r="BD14" s="4"/>
      <c r="BE14" s="13" t="s">
        <v>1528</v>
      </c>
    </row>
    <row r="15" spans="1:104" ht="13.2">
      <c r="C15" s="4"/>
      <c r="D15" s="4" t="s">
        <v>672</v>
      </c>
      <c r="H15" s="1" t="s">
        <v>102</v>
      </c>
      <c r="I15" s="4" t="s">
        <v>1539</v>
      </c>
      <c r="J15" s="1" t="s">
        <v>1046</v>
      </c>
      <c r="M15" s="4" t="s">
        <v>1564</v>
      </c>
      <c r="N15" s="4" t="s">
        <v>1525</v>
      </c>
      <c r="O15" s="13" t="s">
        <v>1526</v>
      </c>
      <c r="P15" s="1" t="s">
        <v>426</v>
      </c>
      <c r="AS15" s="4"/>
      <c r="AT15" s="4" t="s">
        <v>986</v>
      </c>
      <c r="AX15" s="1" t="s">
        <v>102</v>
      </c>
      <c r="AY15" s="4" t="s">
        <v>1143</v>
      </c>
      <c r="BC15" s="4" t="s">
        <v>1565</v>
      </c>
      <c r="BD15" s="4"/>
      <c r="BE15" s="13" t="s">
        <v>1528</v>
      </c>
      <c r="CG15" s="2"/>
      <c r="CH15" s="2"/>
      <c r="CI15" s="2"/>
      <c r="CJ15" s="2"/>
      <c r="CK15" s="2"/>
      <c r="CL15" s="2"/>
      <c r="CM15" s="2"/>
      <c r="CN15" s="2"/>
      <c r="CO15" s="2"/>
      <c r="CP15" s="2"/>
      <c r="CQ15" s="2"/>
      <c r="CR15" s="2"/>
      <c r="CS15" s="2"/>
      <c r="CT15" s="2"/>
      <c r="CU15" s="2"/>
      <c r="CV15" s="2"/>
      <c r="CW15" s="2"/>
      <c r="CX15" s="2"/>
      <c r="CY15" s="2"/>
      <c r="CZ15" s="2"/>
    </row>
    <row r="16" spans="1:104" ht="13.2">
      <c r="C16" s="4"/>
      <c r="D16" s="4" t="s">
        <v>686</v>
      </c>
      <c r="H16" s="1" t="s">
        <v>102</v>
      </c>
      <c r="I16" s="4" t="s">
        <v>1523</v>
      </c>
      <c r="J16" s="1" t="s">
        <v>1046</v>
      </c>
      <c r="M16" s="4" t="s">
        <v>1566</v>
      </c>
      <c r="N16" s="4" t="s">
        <v>1525</v>
      </c>
      <c r="O16" s="13" t="s">
        <v>1526</v>
      </c>
      <c r="P16" s="1" t="s">
        <v>426</v>
      </c>
      <c r="AS16" s="4"/>
      <c r="AT16" s="4" t="s">
        <v>963</v>
      </c>
      <c r="AX16" s="4" t="s">
        <v>1045</v>
      </c>
      <c r="AY16" s="1" t="s">
        <v>1046</v>
      </c>
      <c r="BC16" s="4" t="s">
        <v>1567</v>
      </c>
      <c r="BD16" s="4"/>
      <c r="BE16" s="13" t="s">
        <v>1528</v>
      </c>
      <c r="CH16" s="2"/>
      <c r="CJ16" s="2"/>
      <c r="CM16" s="2"/>
      <c r="CU16" s="2"/>
      <c r="CV16" s="2"/>
      <c r="CW16" s="2"/>
      <c r="CX16" s="2"/>
      <c r="CY16" s="2"/>
      <c r="CZ16" s="2"/>
    </row>
    <row r="17" spans="1:57" ht="13.2">
      <c r="C17" s="4"/>
      <c r="D17" s="4" t="s">
        <v>663</v>
      </c>
      <c r="H17" s="1" t="s">
        <v>102</v>
      </c>
      <c r="I17" s="4" t="s">
        <v>1539</v>
      </c>
      <c r="J17" s="1" t="s">
        <v>1046</v>
      </c>
      <c r="M17" s="4" t="s">
        <v>1568</v>
      </c>
      <c r="N17" s="4" t="s">
        <v>1525</v>
      </c>
      <c r="O17" s="13" t="s">
        <v>1526</v>
      </c>
      <c r="P17" s="1" t="s">
        <v>426</v>
      </c>
      <c r="AS17" s="4"/>
      <c r="AT17" s="4" t="s">
        <v>670</v>
      </c>
      <c r="AX17" s="1" t="s">
        <v>102</v>
      </c>
      <c r="AY17" s="4" t="s">
        <v>1569</v>
      </c>
      <c r="BC17" s="4" t="s">
        <v>1570</v>
      </c>
      <c r="BD17" s="4"/>
      <c r="BE17" s="13" t="s">
        <v>1528</v>
      </c>
    </row>
    <row r="18" spans="1:57" ht="13.2">
      <c r="C18" s="4"/>
      <c r="D18" s="4" t="s">
        <v>476</v>
      </c>
      <c r="H18" s="1" t="s">
        <v>102</v>
      </c>
      <c r="I18" s="4" t="s">
        <v>1536</v>
      </c>
      <c r="J18" s="1" t="s">
        <v>1046</v>
      </c>
      <c r="M18" s="4" t="s">
        <v>1571</v>
      </c>
      <c r="N18" s="4" t="s">
        <v>1525</v>
      </c>
      <c r="O18" s="13" t="s">
        <v>1526</v>
      </c>
      <c r="P18" s="1" t="s">
        <v>426</v>
      </c>
      <c r="AS18" s="4"/>
      <c r="AT18" s="4" t="s">
        <v>783</v>
      </c>
      <c r="AX18" s="4" t="s">
        <v>1045</v>
      </c>
      <c r="AY18" s="1" t="s">
        <v>1046</v>
      </c>
      <c r="BC18" s="4" t="s">
        <v>1572</v>
      </c>
      <c r="BD18" s="4"/>
      <c r="BE18" s="13" t="s">
        <v>1528</v>
      </c>
    </row>
    <row r="19" spans="1:57" ht="13.2">
      <c r="C19" s="4"/>
      <c r="D19" s="4" t="s">
        <v>478</v>
      </c>
      <c r="H19" s="1" t="s">
        <v>102</v>
      </c>
      <c r="I19" s="4" t="s">
        <v>1536</v>
      </c>
      <c r="J19" s="1" t="s">
        <v>1046</v>
      </c>
      <c r="M19" s="4" t="s">
        <v>1573</v>
      </c>
      <c r="N19" s="4" t="s">
        <v>1525</v>
      </c>
      <c r="O19" s="13" t="s">
        <v>1526</v>
      </c>
      <c r="P19" s="1" t="s">
        <v>426</v>
      </c>
      <c r="AS19" s="4"/>
      <c r="AT19" s="4" t="s">
        <v>784</v>
      </c>
      <c r="AX19" s="4" t="s">
        <v>1045</v>
      </c>
      <c r="AY19" s="1" t="s">
        <v>1046</v>
      </c>
      <c r="BC19" s="4" t="s">
        <v>1574</v>
      </c>
      <c r="BD19" s="4"/>
      <c r="BE19" s="13" t="s">
        <v>1528</v>
      </c>
    </row>
    <row r="20" spans="1:57" ht="15.75" customHeight="1">
      <c r="C20" s="4"/>
      <c r="D20" s="4" t="s">
        <v>479</v>
      </c>
      <c r="H20" s="1" t="s">
        <v>102</v>
      </c>
      <c r="I20" s="4" t="s">
        <v>1536</v>
      </c>
      <c r="J20" s="1" t="s">
        <v>1046</v>
      </c>
      <c r="M20" s="4" t="s">
        <v>1575</v>
      </c>
      <c r="N20" s="4" t="s">
        <v>1525</v>
      </c>
      <c r="O20" s="13" t="s">
        <v>1526</v>
      </c>
      <c r="P20" s="1" t="s">
        <v>426</v>
      </c>
      <c r="AS20" s="4"/>
      <c r="AT20" s="4" t="s">
        <v>785</v>
      </c>
      <c r="AX20" s="4" t="s">
        <v>1045</v>
      </c>
      <c r="AY20" s="1" t="s">
        <v>1046</v>
      </c>
      <c r="AZ20" s="3"/>
      <c r="BC20" s="4" t="s">
        <v>1576</v>
      </c>
      <c r="BD20" s="4"/>
      <c r="BE20" s="13" t="s">
        <v>1528</v>
      </c>
    </row>
    <row r="21" spans="1:57" ht="13.2">
      <c r="C21" s="4"/>
      <c r="D21" s="4" t="s">
        <v>1577</v>
      </c>
      <c r="I21" s="4" t="s">
        <v>1578</v>
      </c>
      <c r="M21" s="4" t="s">
        <v>1579</v>
      </c>
      <c r="N21" s="4" t="s">
        <v>1554</v>
      </c>
      <c r="O21" s="13" t="s">
        <v>1526</v>
      </c>
      <c r="P21" s="1" t="s">
        <v>426</v>
      </c>
      <c r="AS21" s="4"/>
      <c r="AT21" s="4" t="s">
        <v>825</v>
      </c>
      <c r="AX21" s="1" t="s">
        <v>102</v>
      </c>
      <c r="AY21" s="1" t="s">
        <v>1046</v>
      </c>
      <c r="BC21" s="4" t="s">
        <v>1580</v>
      </c>
      <c r="BD21" s="4"/>
      <c r="BE21" s="13" t="s">
        <v>1528</v>
      </c>
    </row>
    <row r="22" spans="1:57" ht="13.2">
      <c r="C22" s="4"/>
      <c r="D22" s="4" t="s">
        <v>1581</v>
      </c>
      <c r="I22" s="4" t="s">
        <v>1578</v>
      </c>
      <c r="M22" s="4" t="s">
        <v>1582</v>
      </c>
      <c r="N22" s="4" t="s">
        <v>1554</v>
      </c>
      <c r="O22" s="13" t="s">
        <v>1526</v>
      </c>
      <c r="P22" s="1" t="s">
        <v>426</v>
      </c>
      <c r="AS22" s="4"/>
      <c r="AT22" s="4" t="s">
        <v>826</v>
      </c>
      <c r="AX22" s="1" t="s">
        <v>102</v>
      </c>
      <c r="AY22" s="1" t="s">
        <v>1046</v>
      </c>
      <c r="BC22" s="4" t="s">
        <v>1583</v>
      </c>
      <c r="BD22" s="4"/>
      <c r="BE22" s="13" t="s">
        <v>1528</v>
      </c>
    </row>
    <row r="23" spans="1:57" ht="15.75" customHeight="1">
      <c r="C23" s="4"/>
      <c r="D23" s="4" t="s">
        <v>1584</v>
      </c>
      <c r="H23" s="4"/>
      <c r="I23" s="4" t="s">
        <v>1536</v>
      </c>
      <c r="J23" s="3"/>
      <c r="M23" s="4" t="s">
        <v>1585</v>
      </c>
      <c r="N23" s="4" t="s">
        <v>1562</v>
      </c>
      <c r="O23" s="13" t="s">
        <v>1526</v>
      </c>
      <c r="P23" s="1" t="s">
        <v>426</v>
      </c>
      <c r="AS23" s="4"/>
      <c r="AT23" s="4" t="s">
        <v>762</v>
      </c>
      <c r="AX23" s="4" t="s">
        <v>1045</v>
      </c>
      <c r="AY23" s="1" t="s">
        <v>1046</v>
      </c>
      <c r="AZ23" s="3"/>
      <c r="BC23" s="4" t="s">
        <v>1586</v>
      </c>
      <c r="BD23" s="4"/>
      <c r="BE23" s="13" t="s">
        <v>1528</v>
      </c>
    </row>
    <row r="24" spans="1:57" ht="15.75" customHeight="1">
      <c r="C24" s="4"/>
      <c r="D24" s="4" t="s">
        <v>484</v>
      </c>
      <c r="H24" s="1" t="s">
        <v>102</v>
      </c>
      <c r="I24" s="4" t="s">
        <v>1587</v>
      </c>
      <c r="J24" s="1" t="s">
        <v>1046</v>
      </c>
      <c r="M24" s="4" t="s">
        <v>1588</v>
      </c>
      <c r="N24" s="4" t="s">
        <v>1525</v>
      </c>
      <c r="O24" s="13" t="s">
        <v>1526</v>
      </c>
      <c r="P24" s="1" t="s">
        <v>426</v>
      </c>
      <c r="AS24" s="4"/>
      <c r="AT24" s="4" t="s">
        <v>778</v>
      </c>
      <c r="AX24" s="1" t="s">
        <v>102</v>
      </c>
      <c r="AY24" s="4" t="s">
        <v>1589</v>
      </c>
      <c r="AZ24" s="3"/>
      <c r="BC24" s="4" t="s">
        <v>1590</v>
      </c>
      <c r="BD24" s="4"/>
      <c r="BE24" s="13" t="s">
        <v>1528</v>
      </c>
    </row>
    <row r="25" spans="1:57" ht="15.75" customHeight="1">
      <c r="C25" s="4"/>
      <c r="D25" s="4" t="s">
        <v>490</v>
      </c>
      <c r="H25" s="1" t="s">
        <v>102</v>
      </c>
      <c r="I25" s="4" t="s">
        <v>1587</v>
      </c>
      <c r="J25" s="1" t="s">
        <v>1046</v>
      </c>
      <c r="M25" s="4" t="s">
        <v>1591</v>
      </c>
      <c r="N25" s="4" t="s">
        <v>1525</v>
      </c>
      <c r="O25" s="13" t="s">
        <v>1526</v>
      </c>
      <c r="P25" s="1" t="s">
        <v>426</v>
      </c>
      <c r="AS25" s="4"/>
      <c r="AT25" s="4" t="s">
        <v>904</v>
      </c>
      <c r="AX25" s="1" t="s">
        <v>102</v>
      </c>
      <c r="AY25" s="1" t="s">
        <v>1046</v>
      </c>
      <c r="AZ25" s="3"/>
      <c r="BC25" s="4" t="s">
        <v>1592</v>
      </c>
      <c r="BD25" s="4"/>
      <c r="BE25" s="13" t="s">
        <v>1528</v>
      </c>
    </row>
    <row r="26" spans="1:57" ht="13.2">
      <c r="C26" s="4"/>
      <c r="D26" s="4" t="s">
        <v>491</v>
      </c>
      <c r="H26" s="1" t="s">
        <v>102</v>
      </c>
      <c r="I26" s="4" t="s">
        <v>1587</v>
      </c>
      <c r="J26" s="1" t="s">
        <v>1046</v>
      </c>
      <c r="M26" s="4" t="s">
        <v>1593</v>
      </c>
      <c r="N26" s="4" t="s">
        <v>1525</v>
      </c>
      <c r="O26" s="13" t="s">
        <v>1526</v>
      </c>
      <c r="P26" s="1" t="s">
        <v>426</v>
      </c>
      <c r="AS26" s="4"/>
      <c r="AT26" s="4" t="s">
        <v>906</v>
      </c>
      <c r="AX26" s="1" t="s">
        <v>102</v>
      </c>
      <c r="AY26" s="1" t="s">
        <v>1046</v>
      </c>
      <c r="BC26" s="4" t="s">
        <v>1594</v>
      </c>
      <c r="BD26" s="4"/>
      <c r="BE26" s="13" t="s">
        <v>1528</v>
      </c>
    </row>
    <row r="27" spans="1:57" ht="13.2">
      <c r="C27" s="4"/>
      <c r="D27" s="4" t="s">
        <v>645</v>
      </c>
      <c r="H27" s="1" t="s">
        <v>102</v>
      </c>
      <c r="I27" s="4" t="s">
        <v>1587</v>
      </c>
      <c r="J27" s="1" t="s">
        <v>1046</v>
      </c>
      <c r="M27" s="4" t="s">
        <v>1595</v>
      </c>
      <c r="N27" s="4" t="s">
        <v>1596</v>
      </c>
      <c r="O27" s="13" t="s">
        <v>1526</v>
      </c>
      <c r="P27" s="1" t="s">
        <v>426</v>
      </c>
      <c r="AS27" s="4"/>
      <c r="AT27" s="4" t="s">
        <v>907</v>
      </c>
      <c r="AX27" s="1" t="s">
        <v>102</v>
      </c>
      <c r="AY27" s="1" t="s">
        <v>1046</v>
      </c>
      <c r="BC27" s="4" t="s">
        <v>1597</v>
      </c>
      <c r="BD27" s="4"/>
      <c r="BE27" s="13" t="s">
        <v>1528</v>
      </c>
    </row>
    <row r="28" spans="1:57" ht="13.2">
      <c r="C28" s="4"/>
      <c r="D28" s="4" t="s">
        <v>687</v>
      </c>
      <c r="H28" s="1" t="s">
        <v>102</v>
      </c>
      <c r="I28" s="4" t="s">
        <v>1587</v>
      </c>
      <c r="J28" s="1" t="s">
        <v>1046</v>
      </c>
      <c r="M28" s="4" t="s">
        <v>1598</v>
      </c>
      <c r="N28" s="4" t="s">
        <v>1525</v>
      </c>
      <c r="O28" s="13" t="s">
        <v>1526</v>
      </c>
      <c r="P28" s="1" t="s">
        <v>426</v>
      </c>
      <c r="AS28" s="4"/>
      <c r="AT28" s="4" t="s">
        <v>908</v>
      </c>
      <c r="AX28" s="1" t="s">
        <v>102</v>
      </c>
      <c r="AY28" s="1" t="s">
        <v>1046</v>
      </c>
      <c r="BC28" s="4" t="s">
        <v>1599</v>
      </c>
      <c r="BD28" s="4"/>
      <c r="BE28" s="13" t="s">
        <v>1528</v>
      </c>
    </row>
    <row r="29" spans="1:57" ht="13.2">
      <c r="C29" s="4"/>
      <c r="D29" s="4" t="s">
        <v>688</v>
      </c>
      <c r="H29" s="1" t="s">
        <v>102</v>
      </c>
      <c r="I29" s="4" t="s">
        <v>1536</v>
      </c>
      <c r="J29" s="1" t="s">
        <v>1046</v>
      </c>
      <c r="M29" s="4" t="s">
        <v>1600</v>
      </c>
      <c r="N29" s="4" t="s">
        <v>1525</v>
      </c>
      <c r="O29" s="13" t="s">
        <v>1526</v>
      </c>
      <c r="P29" s="1" t="s">
        <v>426</v>
      </c>
      <c r="AS29" s="4"/>
      <c r="AT29" s="4" t="s">
        <v>909</v>
      </c>
      <c r="AX29" s="1" t="s">
        <v>102</v>
      </c>
      <c r="AY29" s="1" t="s">
        <v>1046</v>
      </c>
      <c r="BC29" s="4" t="s">
        <v>1601</v>
      </c>
      <c r="BD29" s="4"/>
      <c r="BE29" s="13" t="s">
        <v>1528</v>
      </c>
    </row>
    <row r="30" spans="1:57" ht="13.2">
      <c r="C30" s="4"/>
      <c r="D30" s="4" t="s">
        <v>488</v>
      </c>
      <c r="H30" s="1" t="s">
        <v>102</v>
      </c>
      <c r="I30" s="4" t="s">
        <v>1587</v>
      </c>
      <c r="J30" s="1" t="s">
        <v>1046</v>
      </c>
      <c r="M30" s="4" t="s">
        <v>1602</v>
      </c>
      <c r="N30" s="4" t="s">
        <v>1525</v>
      </c>
      <c r="O30" s="13" t="s">
        <v>1526</v>
      </c>
      <c r="P30" s="1" t="s">
        <v>426</v>
      </c>
      <c r="AS30" s="4"/>
      <c r="AT30" s="4" t="s">
        <v>910</v>
      </c>
      <c r="AX30" s="1" t="s">
        <v>102</v>
      </c>
      <c r="AY30" s="1" t="s">
        <v>1046</v>
      </c>
      <c r="BC30" s="4" t="s">
        <v>1603</v>
      </c>
      <c r="BD30" s="4"/>
      <c r="BE30" s="13" t="s">
        <v>1528</v>
      </c>
    </row>
    <row r="31" spans="1:57" ht="13.2">
      <c r="C31" s="4"/>
      <c r="D31" s="4" t="s">
        <v>680</v>
      </c>
      <c r="H31" s="1" t="s">
        <v>102</v>
      </c>
      <c r="I31" s="4" t="s">
        <v>1523</v>
      </c>
      <c r="J31" s="1" t="s">
        <v>1046</v>
      </c>
      <c r="M31" s="4" t="s">
        <v>1604</v>
      </c>
      <c r="N31" s="4" t="s">
        <v>1525</v>
      </c>
      <c r="O31" s="13" t="s">
        <v>1526</v>
      </c>
      <c r="P31" s="1" t="s">
        <v>426</v>
      </c>
      <c r="AS31" s="4"/>
      <c r="AT31" s="4" t="s">
        <v>911</v>
      </c>
      <c r="AX31" s="1" t="s">
        <v>102</v>
      </c>
      <c r="AY31" s="1" t="s">
        <v>1046</v>
      </c>
      <c r="BC31" s="4" t="s">
        <v>1605</v>
      </c>
      <c r="BD31" s="4"/>
      <c r="BE31" s="13" t="s">
        <v>1528</v>
      </c>
    </row>
    <row r="32" spans="1:57" ht="13.2">
      <c r="A32" s="1" t="s">
        <v>85</v>
      </c>
      <c r="B32" s="1" t="s">
        <v>97</v>
      </c>
      <c r="C32" s="1" t="s">
        <v>98</v>
      </c>
      <c r="D32" s="1" t="s">
        <v>98</v>
      </c>
      <c r="E32" s="1" t="s">
        <v>98</v>
      </c>
      <c r="F32" s="1" t="s">
        <v>98</v>
      </c>
      <c r="G32" s="1" t="s">
        <v>98</v>
      </c>
      <c r="H32" s="1" t="s">
        <v>98</v>
      </c>
      <c r="I32" s="1" t="s">
        <v>98</v>
      </c>
      <c r="J32" s="1" t="s">
        <v>98</v>
      </c>
      <c r="K32" s="1" t="s">
        <v>98</v>
      </c>
      <c r="L32" s="1" t="s">
        <v>98</v>
      </c>
      <c r="M32" s="1" t="s">
        <v>98</v>
      </c>
      <c r="N32" s="1" t="s">
        <v>98</v>
      </c>
      <c r="O32" s="1" t="s">
        <v>98</v>
      </c>
      <c r="AQ32" s="1" t="s">
        <v>85</v>
      </c>
      <c r="AR32" s="1" t="s">
        <v>97</v>
      </c>
      <c r="AS32" s="1" t="s">
        <v>98</v>
      </c>
      <c r="AT32" s="1" t="s">
        <v>98</v>
      </c>
      <c r="AU32" s="1" t="s">
        <v>98</v>
      </c>
      <c r="AV32" s="1" t="s">
        <v>98</v>
      </c>
      <c r="AW32" s="1" t="s">
        <v>98</v>
      </c>
      <c r="AX32" s="1" t="s">
        <v>98</v>
      </c>
      <c r="AY32" s="1" t="s">
        <v>98</v>
      </c>
      <c r="AZ32" s="1" t="s">
        <v>98</v>
      </c>
      <c r="BA32" s="1" t="s">
        <v>98</v>
      </c>
      <c r="BB32" s="1" t="s">
        <v>98</v>
      </c>
      <c r="BC32" s="1" t="s">
        <v>98</v>
      </c>
      <c r="BD32" s="1" t="s">
        <v>98</v>
      </c>
      <c r="BE32" s="1" t="s">
        <v>98</v>
      </c>
    </row>
    <row r="33" spans="1:84" ht="13.2">
      <c r="A33" s="1" t="s">
        <v>103</v>
      </c>
      <c r="B33" s="1" t="s">
        <v>104</v>
      </c>
      <c r="C33" s="1" t="s">
        <v>175</v>
      </c>
      <c r="D33" s="1" t="s">
        <v>176</v>
      </c>
      <c r="E33" s="1" t="s">
        <v>177</v>
      </c>
      <c r="F33" s="1" t="s">
        <v>178</v>
      </c>
      <c r="G33" s="1" t="s">
        <v>179</v>
      </c>
      <c r="H33" s="1" t="s">
        <v>180</v>
      </c>
      <c r="I33" s="1" t="s">
        <v>181</v>
      </c>
      <c r="J33" s="1" t="s">
        <v>182</v>
      </c>
      <c r="K33" s="1" t="s">
        <v>183</v>
      </c>
      <c r="L33" s="1" t="s">
        <v>184</v>
      </c>
      <c r="M33" s="1" t="s">
        <v>185</v>
      </c>
      <c r="N33" s="1" t="s">
        <v>186</v>
      </c>
      <c r="O33" s="1" t="s">
        <v>187</v>
      </c>
      <c r="AQ33" s="1" t="s">
        <v>103</v>
      </c>
      <c r="AR33" s="1" t="s">
        <v>104</v>
      </c>
      <c r="AS33" s="1" t="s">
        <v>175</v>
      </c>
      <c r="AT33" s="1" t="s">
        <v>176</v>
      </c>
      <c r="AU33" s="1" t="s">
        <v>177</v>
      </c>
      <c r="AV33" s="1" t="s">
        <v>178</v>
      </c>
      <c r="AW33" s="1" t="s">
        <v>179</v>
      </c>
      <c r="AX33" s="1" t="s">
        <v>180</v>
      </c>
      <c r="AY33" s="1" t="s">
        <v>181</v>
      </c>
      <c r="AZ33" s="1" t="s">
        <v>182</v>
      </c>
      <c r="BA33" s="1" t="s">
        <v>183</v>
      </c>
      <c r="BB33" s="1" t="s">
        <v>184</v>
      </c>
      <c r="BC33" s="1" t="s">
        <v>185</v>
      </c>
      <c r="BD33" s="1" t="s">
        <v>186</v>
      </c>
      <c r="BE33" s="1" t="s">
        <v>187</v>
      </c>
    </row>
    <row r="34" spans="1:84" ht="13.2">
      <c r="A34" s="1" t="s">
        <v>207</v>
      </c>
      <c r="C34" s="1" t="s">
        <v>234</v>
      </c>
      <c r="D34" s="1" t="s">
        <v>235</v>
      </c>
      <c r="M34" s="1" t="s">
        <v>226</v>
      </c>
      <c r="AQ34" s="1" t="s">
        <v>207</v>
      </c>
      <c r="AS34" s="1" t="s">
        <v>234</v>
      </c>
      <c r="AT34" s="1" t="s">
        <v>235</v>
      </c>
      <c r="BC34" s="1" t="s">
        <v>226</v>
      </c>
    </row>
    <row r="35" spans="1:84" ht="13.2">
      <c r="A35" s="1" t="s">
        <v>236</v>
      </c>
      <c r="B35" s="1" t="s">
        <v>190</v>
      </c>
      <c r="C35" s="1" t="s">
        <v>201</v>
      </c>
      <c r="N35" s="1" t="s">
        <v>202</v>
      </c>
      <c r="AQ35" s="1" t="s">
        <v>236</v>
      </c>
      <c r="AR35" s="1" t="s">
        <v>190</v>
      </c>
      <c r="AS35" s="1" t="s">
        <v>201</v>
      </c>
      <c r="BD35" s="1" t="s">
        <v>202</v>
      </c>
    </row>
    <row r="36" spans="1:84" ht="13.2">
      <c r="A36" s="1" t="s">
        <v>237</v>
      </c>
      <c r="AQ36" s="1" t="s">
        <v>237</v>
      </c>
    </row>
    <row r="37" spans="1:84" ht="13.2">
      <c r="A37" s="1" t="s">
        <v>238</v>
      </c>
      <c r="AQ37" s="1" t="s">
        <v>238</v>
      </c>
    </row>
    <row r="38" spans="1:84" ht="13.2">
      <c r="A38" s="1" t="s">
        <v>239</v>
      </c>
      <c r="B38" s="1" t="s">
        <v>240</v>
      </c>
      <c r="C38" s="1" t="s">
        <v>240</v>
      </c>
      <c r="D38" s="1" t="s">
        <v>242</v>
      </c>
      <c r="E38" s="1" t="s">
        <v>242</v>
      </c>
      <c r="F38" s="1" t="s">
        <v>242</v>
      </c>
      <c r="G38" s="1" t="s">
        <v>243</v>
      </c>
      <c r="H38" s="1" t="s">
        <v>242</v>
      </c>
      <c r="I38" s="1" t="s">
        <v>242</v>
      </c>
      <c r="J38" s="1" t="s">
        <v>242</v>
      </c>
      <c r="K38" s="1" t="s">
        <v>242</v>
      </c>
      <c r="L38" s="1" t="s">
        <v>242</v>
      </c>
      <c r="M38" s="1" t="s">
        <v>242</v>
      </c>
      <c r="N38" s="1" t="s">
        <v>240</v>
      </c>
      <c r="O38" s="1" t="s">
        <v>243</v>
      </c>
      <c r="AQ38" s="1" t="s">
        <v>239</v>
      </c>
      <c r="AR38" s="1" t="s">
        <v>240</v>
      </c>
      <c r="AS38" s="1" t="s">
        <v>240</v>
      </c>
      <c r="AT38" s="1" t="s">
        <v>242</v>
      </c>
      <c r="AU38" s="1" t="s">
        <v>242</v>
      </c>
      <c r="AV38" s="1" t="s">
        <v>242</v>
      </c>
      <c r="AW38" s="1" t="s">
        <v>243</v>
      </c>
      <c r="AX38" s="1" t="s">
        <v>242</v>
      </c>
      <c r="AY38" s="1" t="s">
        <v>242</v>
      </c>
      <c r="AZ38" s="1" t="s">
        <v>242</v>
      </c>
      <c r="BA38" s="1" t="s">
        <v>242</v>
      </c>
      <c r="BB38" s="1" t="s">
        <v>242</v>
      </c>
      <c r="BC38" s="1" t="s">
        <v>242</v>
      </c>
      <c r="BD38" s="1" t="s">
        <v>240</v>
      </c>
      <c r="BE38" s="1" t="s">
        <v>243</v>
      </c>
    </row>
    <row r="39" spans="1:84" ht="13.2">
      <c r="A39" s="1" t="s">
        <v>244</v>
      </c>
      <c r="B39" s="2">
        <v>43405</v>
      </c>
      <c r="C39" s="2">
        <v>43405</v>
      </c>
      <c r="D39" s="2">
        <v>43032</v>
      </c>
      <c r="E39" s="2">
        <v>42971</v>
      </c>
      <c r="F39" s="2">
        <v>42971</v>
      </c>
      <c r="G39" s="2">
        <v>43361</v>
      </c>
      <c r="H39" s="2">
        <v>43005</v>
      </c>
      <c r="I39" s="2">
        <v>43032</v>
      </c>
      <c r="J39" s="2">
        <v>43005</v>
      </c>
      <c r="K39" s="2">
        <v>43005</v>
      </c>
      <c r="L39" s="2">
        <v>43005</v>
      </c>
      <c r="M39" s="2">
        <v>43005</v>
      </c>
      <c r="N39" s="2">
        <v>43405</v>
      </c>
      <c r="O39" s="2">
        <v>43361</v>
      </c>
      <c r="X39" s="2"/>
      <c r="Y39" s="2"/>
      <c r="Z39" s="2"/>
      <c r="AA39" s="2"/>
      <c r="AB39" s="2"/>
      <c r="AC39" s="2"/>
      <c r="AD39" s="2"/>
      <c r="AE39" s="2"/>
      <c r="AF39" s="2"/>
      <c r="AG39" s="2"/>
      <c r="AH39" s="2"/>
      <c r="AI39" s="2"/>
      <c r="AJ39" s="2"/>
      <c r="AK39" s="2"/>
      <c r="AL39" s="2"/>
      <c r="AM39" s="2"/>
      <c r="AN39" s="2"/>
      <c r="AO39" s="2"/>
      <c r="AP39" s="2"/>
      <c r="AQ39" s="1" t="s">
        <v>244</v>
      </c>
      <c r="AR39" s="2">
        <v>43405</v>
      </c>
      <c r="AS39" s="2">
        <v>43405</v>
      </c>
      <c r="AT39" s="2">
        <v>43032</v>
      </c>
      <c r="AU39" s="2">
        <v>42971</v>
      </c>
      <c r="AV39" s="2">
        <v>42971</v>
      </c>
      <c r="AW39" s="2">
        <v>43361</v>
      </c>
      <c r="AX39" s="2">
        <v>43005</v>
      </c>
      <c r="AY39" s="2">
        <v>43032</v>
      </c>
      <c r="AZ39" s="2">
        <v>43005</v>
      </c>
      <c r="BA39" s="2">
        <v>43005</v>
      </c>
      <c r="BB39" s="2">
        <v>43005</v>
      </c>
      <c r="BC39" s="2">
        <v>43005</v>
      </c>
      <c r="BD39" s="2">
        <v>43405</v>
      </c>
      <c r="BE39" s="2">
        <v>43361</v>
      </c>
      <c r="BN39" s="2"/>
      <c r="BO39" s="2"/>
      <c r="BP39" s="2"/>
      <c r="BQ39" s="2"/>
      <c r="BR39" s="2"/>
      <c r="BS39" s="2"/>
      <c r="BT39" s="2"/>
      <c r="BU39" s="2"/>
      <c r="BV39" s="2"/>
      <c r="BW39" s="2"/>
      <c r="BX39" s="2"/>
      <c r="BY39" s="2"/>
      <c r="BZ39" s="2"/>
      <c r="CA39" s="2"/>
      <c r="CB39" s="2"/>
      <c r="CC39" s="2"/>
      <c r="CD39" s="2"/>
      <c r="CE39" s="2"/>
      <c r="CF39" s="2"/>
    </row>
    <row r="40" spans="1:84" ht="13.2">
      <c r="A40" s="1" t="s">
        <v>245</v>
      </c>
      <c r="E40" s="2">
        <v>43054</v>
      </c>
      <c r="F40" s="2">
        <v>43054</v>
      </c>
      <c r="H40" s="2">
        <v>43054</v>
      </c>
      <c r="I40" s="2">
        <v>43054</v>
      </c>
      <c r="J40" s="2">
        <v>43054</v>
      </c>
      <c r="M40" s="2">
        <v>43249</v>
      </c>
      <c r="X40" s="2"/>
      <c r="Z40" s="2"/>
      <c r="AC40" s="2"/>
      <c r="AK40" s="2"/>
      <c r="AL40" s="2"/>
      <c r="AM40" s="2"/>
      <c r="AN40" s="2"/>
      <c r="AO40" s="2"/>
      <c r="AP40" s="2"/>
      <c r="AQ40" s="1" t="s">
        <v>245</v>
      </c>
      <c r="AU40" s="2">
        <v>43054</v>
      </c>
      <c r="AV40" s="2">
        <v>43054</v>
      </c>
      <c r="AX40" s="2">
        <v>43054</v>
      </c>
      <c r="AY40" s="2">
        <v>43054</v>
      </c>
      <c r="AZ40" s="2">
        <v>43054</v>
      </c>
      <c r="BC40" s="2">
        <v>43249</v>
      </c>
      <c r="BN40" s="2"/>
      <c r="BP40" s="2"/>
      <c r="BS40" s="2"/>
      <c r="CA40" s="2"/>
      <c r="CB40" s="2"/>
      <c r="CC40" s="2"/>
      <c r="CD40" s="2"/>
      <c r="CE40" s="2"/>
      <c r="CF40" s="2"/>
    </row>
    <row r="41" spans="1:84" ht="13.2">
      <c r="A41" s="1" t="s">
        <v>246</v>
      </c>
      <c r="B41" s="1" t="s">
        <v>247</v>
      </c>
      <c r="C41" s="1" t="s">
        <v>318</v>
      </c>
      <c r="D41" s="1" t="s">
        <v>319</v>
      </c>
      <c r="E41" s="1" t="s">
        <v>320</v>
      </c>
      <c r="F41" s="1" t="s">
        <v>321</v>
      </c>
      <c r="G41" s="1" t="s">
        <v>322</v>
      </c>
      <c r="H41" s="1" t="s">
        <v>323</v>
      </c>
      <c r="I41" s="1" t="s">
        <v>324</v>
      </c>
      <c r="J41" s="1" t="s">
        <v>325</v>
      </c>
      <c r="K41" s="1" t="s">
        <v>326</v>
      </c>
      <c r="L41" s="1" t="s">
        <v>327</v>
      </c>
      <c r="M41" s="1" t="s">
        <v>328</v>
      </c>
      <c r="N41" s="1" t="s">
        <v>329</v>
      </c>
      <c r="O41" s="1" t="s">
        <v>330</v>
      </c>
      <c r="AQ41" s="1" t="s">
        <v>246</v>
      </c>
      <c r="AR41" s="1" t="s">
        <v>247</v>
      </c>
      <c r="AS41" s="1" t="s">
        <v>318</v>
      </c>
      <c r="AT41" s="1" t="s">
        <v>319</v>
      </c>
      <c r="AU41" s="1" t="s">
        <v>320</v>
      </c>
      <c r="AV41" s="1" t="s">
        <v>321</v>
      </c>
      <c r="AW41" s="1" t="s">
        <v>322</v>
      </c>
      <c r="AX41" s="1" t="s">
        <v>323</v>
      </c>
      <c r="AY41" s="1" t="s">
        <v>324</v>
      </c>
      <c r="AZ41" s="1" t="s">
        <v>325</v>
      </c>
      <c r="BA41" s="1" t="s">
        <v>326</v>
      </c>
      <c r="BB41" s="1" t="s">
        <v>327</v>
      </c>
      <c r="BC41" s="1" t="s">
        <v>328</v>
      </c>
      <c r="BD41" s="1" t="s">
        <v>329</v>
      </c>
      <c r="BE41" s="1" t="s">
        <v>330</v>
      </c>
    </row>
    <row r="42" spans="1:84" ht="13.2">
      <c r="A42" s="1" t="s">
        <v>335</v>
      </c>
      <c r="B42" s="1" t="s">
        <v>336</v>
      </c>
      <c r="C42" s="1" t="s">
        <v>403</v>
      </c>
      <c r="D42" s="1" t="s">
        <v>404</v>
      </c>
      <c r="E42" s="1" t="s">
        <v>405</v>
      </c>
      <c r="F42" s="1" t="s">
        <v>406</v>
      </c>
      <c r="G42" s="1" t="s">
        <v>407</v>
      </c>
      <c r="H42" s="1" t="s">
        <v>408</v>
      </c>
      <c r="I42" s="1" t="s">
        <v>409</v>
      </c>
      <c r="J42" s="1" t="s">
        <v>410</v>
      </c>
      <c r="K42" s="1" t="s">
        <v>411</v>
      </c>
      <c r="L42" s="1" t="s">
        <v>412</v>
      </c>
      <c r="M42" s="1" t="s">
        <v>413</v>
      </c>
      <c r="N42" s="1" t="s">
        <v>414</v>
      </c>
      <c r="O42" s="1" t="s">
        <v>415</v>
      </c>
      <c r="AQ42" s="1" t="s">
        <v>335</v>
      </c>
      <c r="AR42" s="1" t="s">
        <v>336</v>
      </c>
      <c r="AS42" s="1" t="s">
        <v>403</v>
      </c>
      <c r="AT42" s="1" t="s">
        <v>404</v>
      </c>
      <c r="AU42" s="1" t="s">
        <v>405</v>
      </c>
      <c r="AV42" s="1" t="s">
        <v>406</v>
      </c>
      <c r="AW42" s="1" t="s">
        <v>407</v>
      </c>
      <c r="AX42" s="1" t="s">
        <v>408</v>
      </c>
      <c r="AY42" s="1" t="s">
        <v>409</v>
      </c>
      <c r="AZ42" s="1" t="s">
        <v>410</v>
      </c>
      <c r="BA42" s="1" t="s">
        <v>411</v>
      </c>
      <c r="BB42" s="1" t="s">
        <v>412</v>
      </c>
      <c r="BC42" s="1" t="s">
        <v>413</v>
      </c>
      <c r="BD42" s="1" t="s">
        <v>414</v>
      </c>
      <c r="BE42" s="1" t="s">
        <v>415</v>
      </c>
    </row>
  </sheetData>
  <hyperlinks>
    <hyperlink ref="O3" r:id="rId1" xr:uid="{00000000-0004-0000-0D00-000000000000}"/>
    <hyperlink ref="BE3" r:id="rId2" xr:uid="{00000000-0004-0000-0D00-000001000000}"/>
    <hyperlink ref="O4" r:id="rId3" xr:uid="{00000000-0004-0000-0D00-000002000000}"/>
    <hyperlink ref="BE4" r:id="rId4" xr:uid="{00000000-0004-0000-0D00-000003000000}"/>
    <hyperlink ref="O5" r:id="rId5" xr:uid="{00000000-0004-0000-0D00-000004000000}"/>
    <hyperlink ref="BE5" r:id="rId6" xr:uid="{00000000-0004-0000-0D00-000005000000}"/>
    <hyperlink ref="O6" r:id="rId7" xr:uid="{00000000-0004-0000-0D00-000006000000}"/>
    <hyperlink ref="BE6" r:id="rId8" xr:uid="{00000000-0004-0000-0D00-000007000000}"/>
    <hyperlink ref="O7" r:id="rId9" xr:uid="{00000000-0004-0000-0D00-000008000000}"/>
    <hyperlink ref="BE7" r:id="rId10" xr:uid="{00000000-0004-0000-0D00-000009000000}"/>
    <hyperlink ref="O8" r:id="rId11" xr:uid="{00000000-0004-0000-0D00-00000A000000}"/>
    <hyperlink ref="BE8" r:id="rId12" xr:uid="{00000000-0004-0000-0D00-00000B000000}"/>
    <hyperlink ref="O9" r:id="rId13" xr:uid="{00000000-0004-0000-0D00-00000C000000}"/>
    <hyperlink ref="BE9" r:id="rId14" xr:uid="{00000000-0004-0000-0D00-00000D000000}"/>
    <hyperlink ref="O10" r:id="rId15" xr:uid="{00000000-0004-0000-0D00-00000E000000}"/>
    <hyperlink ref="BE10" r:id="rId16" xr:uid="{00000000-0004-0000-0D00-00000F000000}"/>
    <hyperlink ref="O11" r:id="rId17" xr:uid="{00000000-0004-0000-0D00-000010000000}"/>
    <hyperlink ref="BE11" r:id="rId18" xr:uid="{00000000-0004-0000-0D00-000011000000}"/>
    <hyperlink ref="O12" r:id="rId19" xr:uid="{00000000-0004-0000-0D00-000012000000}"/>
    <hyperlink ref="BE12" r:id="rId20" xr:uid="{00000000-0004-0000-0D00-000013000000}"/>
    <hyperlink ref="O13" r:id="rId21" xr:uid="{00000000-0004-0000-0D00-000014000000}"/>
    <hyperlink ref="BE13" r:id="rId22" xr:uid="{00000000-0004-0000-0D00-000015000000}"/>
    <hyperlink ref="O14" r:id="rId23" xr:uid="{00000000-0004-0000-0D00-000016000000}"/>
    <hyperlink ref="BE14" r:id="rId24" xr:uid="{00000000-0004-0000-0D00-000017000000}"/>
    <hyperlink ref="O15" r:id="rId25" xr:uid="{00000000-0004-0000-0D00-000018000000}"/>
    <hyperlink ref="BE15" r:id="rId26" xr:uid="{00000000-0004-0000-0D00-000019000000}"/>
    <hyperlink ref="O16" r:id="rId27" xr:uid="{00000000-0004-0000-0D00-00001A000000}"/>
    <hyperlink ref="BE16" r:id="rId28" xr:uid="{00000000-0004-0000-0D00-00001B000000}"/>
    <hyperlink ref="O17" r:id="rId29" xr:uid="{00000000-0004-0000-0D00-00001C000000}"/>
    <hyperlink ref="BE17" r:id="rId30" xr:uid="{00000000-0004-0000-0D00-00001D000000}"/>
    <hyperlink ref="O18" r:id="rId31" xr:uid="{00000000-0004-0000-0D00-00001E000000}"/>
    <hyperlink ref="BE18" r:id="rId32" xr:uid="{00000000-0004-0000-0D00-00001F000000}"/>
    <hyperlink ref="O19" r:id="rId33" xr:uid="{00000000-0004-0000-0D00-000020000000}"/>
    <hyperlink ref="BE19" r:id="rId34" xr:uid="{00000000-0004-0000-0D00-000021000000}"/>
    <hyperlink ref="O20" r:id="rId35" xr:uid="{00000000-0004-0000-0D00-000022000000}"/>
    <hyperlink ref="BE20" r:id="rId36" xr:uid="{00000000-0004-0000-0D00-000023000000}"/>
    <hyperlink ref="O21" r:id="rId37" xr:uid="{00000000-0004-0000-0D00-000024000000}"/>
    <hyperlink ref="BE21" r:id="rId38" xr:uid="{00000000-0004-0000-0D00-000025000000}"/>
    <hyperlink ref="O22" r:id="rId39" xr:uid="{00000000-0004-0000-0D00-000026000000}"/>
    <hyperlink ref="BE22" r:id="rId40" xr:uid="{00000000-0004-0000-0D00-000027000000}"/>
    <hyperlink ref="O23" r:id="rId41" xr:uid="{00000000-0004-0000-0D00-000028000000}"/>
    <hyperlink ref="BE23" r:id="rId42" xr:uid="{00000000-0004-0000-0D00-000029000000}"/>
    <hyperlink ref="O24" r:id="rId43" xr:uid="{00000000-0004-0000-0D00-00002A000000}"/>
    <hyperlink ref="BE24" r:id="rId44" xr:uid="{00000000-0004-0000-0D00-00002B000000}"/>
    <hyperlink ref="O25" r:id="rId45" xr:uid="{00000000-0004-0000-0D00-00002C000000}"/>
    <hyperlink ref="BE25" r:id="rId46" xr:uid="{00000000-0004-0000-0D00-00002D000000}"/>
    <hyperlink ref="O26" r:id="rId47" xr:uid="{00000000-0004-0000-0D00-00002E000000}"/>
    <hyperlink ref="BE26" r:id="rId48" xr:uid="{00000000-0004-0000-0D00-00002F000000}"/>
    <hyperlink ref="O27" r:id="rId49" xr:uid="{00000000-0004-0000-0D00-000030000000}"/>
    <hyperlink ref="BE27" r:id="rId50" xr:uid="{00000000-0004-0000-0D00-000031000000}"/>
    <hyperlink ref="O28" r:id="rId51" xr:uid="{00000000-0004-0000-0D00-000032000000}"/>
    <hyperlink ref="BE28" r:id="rId52" xr:uid="{00000000-0004-0000-0D00-000033000000}"/>
    <hyperlink ref="O29" r:id="rId53" xr:uid="{00000000-0004-0000-0D00-000034000000}"/>
    <hyperlink ref="BE29" r:id="rId54" xr:uid="{00000000-0004-0000-0D00-000035000000}"/>
    <hyperlink ref="O30" r:id="rId55" xr:uid="{00000000-0004-0000-0D00-000036000000}"/>
    <hyperlink ref="BE30" r:id="rId56" xr:uid="{00000000-0004-0000-0D00-000037000000}"/>
    <hyperlink ref="O31" r:id="rId57" xr:uid="{00000000-0004-0000-0D00-000038000000}"/>
    <hyperlink ref="BE31" r:id="rId58" xr:uid="{00000000-0004-0000-0D00-000039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E69138"/>
    <outlinePr summaryBelow="0" summaryRight="0"/>
  </sheetPr>
  <dimension ref="A1:KI67"/>
  <sheetViews>
    <sheetView workbookViewId="0">
      <pane ySplit="2" topLeftCell="A3" activePane="bottomLeft" state="frozen"/>
      <selection pane="bottomLeft" activeCell="B4" sqref="B4"/>
    </sheetView>
  </sheetViews>
  <sheetFormatPr baseColWidth="10" defaultColWidth="12.6640625" defaultRowHeight="15.75" customHeight="1"/>
  <cols>
    <col min="4" max="4" width="17.109375" customWidth="1"/>
    <col min="14" max="14" width="58.6640625" customWidth="1"/>
  </cols>
  <sheetData>
    <row r="1" spans="1:16">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row>
    <row r="2" spans="1:16">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row>
    <row r="3" spans="1:16">
      <c r="D3" s="17" t="s">
        <v>463</v>
      </c>
      <c r="H3" s="1" t="s">
        <v>102</v>
      </c>
      <c r="I3" s="14" t="s">
        <v>1136</v>
      </c>
      <c r="J3" s="1" t="s">
        <v>1046</v>
      </c>
      <c r="M3" s="14" t="s">
        <v>1606</v>
      </c>
      <c r="N3" s="14"/>
      <c r="O3" s="13" t="s">
        <v>1607</v>
      </c>
      <c r="P3" s="1" t="s">
        <v>422</v>
      </c>
    </row>
    <row r="4" spans="1:16">
      <c r="D4" s="17" t="s">
        <v>555</v>
      </c>
      <c r="H4" s="1" t="s">
        <v>102</v>
      </c>
      <c r="I4" s="14" t="s">
        <v>1136</v>
      </c>
      <c r="J4" s="1" t="s">
        <v>1046</v>
      </c>
      <c r="M4" s="14" t="s">
        <v>1608</v>
      </c>
      <c r="N4" s="14"/>
      <c r="O4" s="13" t="s">
        <v>1607</v>
      </c>
      <c r="P4" s="1" t="s">
        <v>422</v>
      </c>
    </row>
    <row r="5" spans="1:16">
      <c r="D5" s="17" t="s">
        <v>482</v>
      </c>
      <c r="H5" s="1" t="s">
        <v>102</v>
      </c>
      <c r="I5" s="14" t="s">
        <v>1407</v>
      </c>
      <c r="J5" s="1" t="s">
        <v>1046</v>
      </c>
      <c r="M5" s="18" t="s">
        <v>1609</v>
      </c>
      <c r="N5" s="14"/>
      <c r="O5" s="13" t="s">
        <v>1607</v>
      </c>
      <c r="P5" s="1" t="s">
        <v>422</v>
      </c>
    </row>
    <row r="6" spans="1:16">
      <c r="D6" s="17" t="s">
        <v>493</v>
      </c>
      <c r="H6" s="1" t="s">
        <v>102</v>
      </c>
      <c r="I6" s="1" t="s">
        <v>1407</v>
      </c>
      <c r="J6" s="1" t="s">
        <v>1046</v>
      </c>
      <c r="M6" s="18" t="s">
        <v>1610</v>
      </c>
      <c r="O6" s="13" t="s">
        <v>1607</v>
      </c>
      <c r="P6" s="1" t="s">
        <v>422</v>
      </c>
    </row>
    <row r="7" spans="1:16">
      <c r="D7" s="17" t="s">
        <v>669</v>
      </c>
      <c r="H7" s="1" t="s">
        <v>102</v>
      </c>
      <c r="I7" s="1" t="s">
        <v>1611</v>
      </c>
      <c r="J7" s="1" t="s">
        <v>1046</v>
      </c>
      <c r="M7" s="14" t="s">
        <v>1612</v>
      </c>
      <c r="O7" s="13" t="s">
        <v>1607</v>
      </c>
      <c r="P7" s="1" t="s">
        <v>422</v>
      </c>
    </row>
    <row r="8" spans="1:16">
      <c r="D8" s="17" t="s">
        <v>678</v>
      </c>
      <c r="H8" s="1" t="s">
        <v>102</v>
      </c>
      <c r="I8" s="1" t="s">
        <v>1611</v>
      </c>
      <c r="J8" s="1" t="s">
        <v>1046</v>
      </c>
      <c r="M8" s="14" t="s">
        <v>1613</v>
      </c>
      <c r="O8" s="13" t="s">
        <v>1607</v>
      </c>
      <c r="P8" s="1" t="s">
        <v>422</v>
      </c>
    </row>
    <row r="9" spans="1:16">
      <c r="D9" s="1" t="s">
        <v>1614</v>
      </c>
      <c r="H9" s="1" t="s">
        <v>102</v>
      </c>
      <c r="I9" s="1" t="s">
        <v>1611</v>
      </c>
      <c r="J9" s="1" t="s">
        <v>1046</v>
      </c>
      <c r="M9" s="18" t="s">
        <v>1615</v>
      </c>
      <c r="O9" s="13" t="s">
        <v>1607</v>
      </c>
      <c r="P9" s="1" t="s">
        <v>422</v>
      </c>
    </row>
    <row r="10" spans="1:16">
      <c r="D10" s="1" t="s">
        <v>1616</v>
      </c>
      <c r="H10" s="1" t="s">
        <v>102</v>
      </c>
      <c r="I10" s="1" t="s">
        <v>1611</v>
      </c>
      <c r="J10" s="1" t="s">
        <v>1046</v>
      </c>
      <c r="M10" s="18" t="s">
        <v>1617</v>
      </c>
      <c r="O10" s="13" t="s">
        <v>1607</v>
      </c>
      <c r="P10" s="1" t="s">
        <v>422</v>
      </c>
    </row>
    <row r="11" spans="1:16">
      <c r="D11" s="17" t="s">
        <v>659</v>
      </c>
      <c r="H11" s="1" t="s">
        <v>102</v>
      </c>
      <c r="I11" s="1" t="s">
        <v>1611</v>
      </c>
      <c r="J11" s="1" t="s">
        <v>1046</v>
      </c>
      <c r="M11" s="18" t="s">
        <v>1618</v>
      </c>
      <c r="O11" s="13" t="s">
        <v>1607</v>
      </c>
      <c r="P11" s="1" t="s">
        <v>422</v>
      </c>
    </row>
    <row r="12" spans="1:16">
      <c r="D12" s="17" t="s">
        <v>633</v>
      </c>
      <c r="H12" s="1" t="s">
        <v>102</v>
      </c>
      <c r="I12" s="1" t="s">
        <v>1611</v>
      </c>
      <c r="J12" s="1" t="s">
        <v>1046</v>
      </c>
      <c r="M12" s="14" t="s">
        <v>1619</v>
      </c>
      <c r="O12" s="13" t="s">
        <v>1607</v>
      </c>
      <c r="P12" s="1" t="s">
        <v>422</v>
      </c>
    </row>
    <row r="13" spans="1:16">
      <c r="D13" s="17" t="s">
        <v>640</v>
      </c>
      <c r="H13" s="1" t="s">
        <v>102</v>
      </c>
      <c r="I13" s="1" t="s">
        <v>1046</v>
      </c>
      <c r="J13" s="1" t="s">
        <v>1046</v>
      </c>
      <c r="M13" s="14" t="s">
        <v>1620</v>
      </c>
      <c r="O13" s="13" t="s">
        <v>1607</v>
      </c>
      <c r="P13" s="1" t="s">
        <v>422</v>
      </c>
    </row>
    <row r="14" spans="1:16">
      <c r="D14" s="17" t="s">
        <v>627</v>
      </c>
      <c r="H14" s="1" t="s">
        <v>102</v>
      </c>
      <c r="I14" s="1" t="s">
        <v>1046</v>
      </c>
      <c r="J14" s="1" t="s">
        <v>1046</v>
      </c>
      <c r="M14" s="14" t="s">
        <v>1621</v>
      </c>
      <c r="O14" s="13" t="s">
        <v>1607</v>
      </c>
      <c r="P14" s="1" t="s">
        <v>422</v>
      </c>
    </row>
    <row r="15" spans="1:16">
      <c r="D15" s="17" t="s">
        <v>622</v>
      </c>
      <c r="H15" s="1" t="s">
        <v>102</v>
      </c>
      <c r="I15" s="1" t="s">
        <v>1622</v>
      </c>
      <c r="J15" s="1" t="s">
        <v>1046</v>
      </c>
      <c r="M15" s="14" t="s">
        <v>1623</v>
      </c>
      <c r="O15" s="13" t="s">
        <v>1607</v>
      </c>
      <c r="P15" s="1" t="s">
        <v>422</v>
      </c>
    </row>
    <row r="16" spans="1:16">
      <c r="D16" s="17" t="s">
        <v>661</v>
      </c>
      <c r="H16" s="1" t="s">
        <v>102</v>
      </c>
      <c r="I16" s="1" t="s">
        <v>1611</v>
      </c>
      <c r="J16" s="1" t="s">
        <v>1046</v>
      </c>
      <c r="M16" s="14" t="s">
        <v>1624</v>
      </c>
      <c r="O16" s="13" t="s">
        <v>1607</v>
      </c>
      <c r="P16" s="1" t="s">
        <v>422</v>
      </c>
    </row>
    <row r="17" spans="4:16">
      <c r="D17" s="17" t="s">
        <v>641</v>
      </c>
      <c r="H17" s="1" t="s">
        <v>102</v>
      </c>
      <c r="I17" s="1" t="s">
        <v>1136</v>
      </c>
      <c r="J17" s="1" t="s">
        <v>1046</v>
      </c>
      <c r="M17" s="14" t="s">
        <v>1625</v>
      </c>
      <c r="O17" s="13" t="s">
        <v>1607</v>
      </c>
      <c r="P17" s="1" t="s">
        <v>422</v>
      </c>
    </row>
    <row r="18" spans="4:16">
      <c r="D18" s="17" t="s">
        <v>646</v>
      </c>
      <c r="H18" s="1" t="s">
        <v>102</v>
      </c>
      <c r="I18" s="1" t="s">
        <v>1611</v>
      </c>
      <c r="J18" s="1" t="s">
        <v>1046</v>
      </c>
      <c r="M18" s="18" t="s">
        <v>1626</v>
      </c>
      <c r="O18" s="13" t="s">
        <v>1607</v>
      </c>
      <c r="P18" s="1" t="s">
        <v>422</v>
      </c>
    </row>
    <row r="19" spans="4:16">
      <c r="D19" s="17" t="s">
        <v>650</v>
      </c>
      <c r="H19" s="1" t="s">
        <v>102</v>
      </c>
      <c r="I19" s="1" t="s">
        <v>1136</v>
      </c>
      <c r="J19" s="1" t="s">
        <v>1046</v>
      </c>
      <c r="M19" s="18" t="s">
        <v>1627</v>
      </c>
      <c r="O19" s="13" t="s">
        <v>1607</v>
      </c>
      <c r="P19" s="1" t="s">
        <v>422</v>
      </c>
    </row>
    <row r="20" spans="4:16">
      <c r="D20" s="17" t="s">
        <v>654</v>
      </c>
      <c r="H20" s="1" t="s">
        <v>102</v>
      </c>
      <c r="I20" s="1" t="s">
        <v>1611</v>
      </c>
      <c r="J20" s="1" t="s">
        <v>1046</v>
      </c>
      <c r="M20" s="14" t="s">
        <v>1628</v>
      </c>
      <c r="O20" s="13" t="s">
        <v>1607</v>
      </c>
      <c r="P20" s="1" t="s">
        <v>422</v>
      </c>
    </row>
    <row r="21" spans="4:16">
      <c r="D21" s="17" t="s">
        <v>876</v>
      </c>
      <c r="H21" s="1" t="s">
        <v>102</v>
      </c>
      <c r="I21" s="1" t="s">
        <v>1629</v>
      </c>
      <c r="J21" s="1" t="s">
        <v>1046</v>
      </c>
      <c r="M21" s="18" t="s">
        <v>1630</v>
      </c>
      <c r="O21" s="13" t="s">
        <v>1607</v>
      </c>
      <c r="P21" s="1" t="s">
        <v>422</v>
      </c>
    </row>
    <row r="22" spans="4:16">
      <c r="D22" s="17" t="s">
        <v>881</v>
      </c>
      <c r="H22" s="1" t="s">
        <v>102</v>
      </c>
      <c r="I22" s="1" t="s">
        <v>1631</v>
      </c>
      <c r="J22" s="1" t="s">
        <v>1046</v>
      </c>
      <c r="M22" s="14" t="s">
        <v>1632</v>
      </c>
      <c r="O22" s="13" t="s">
        <v>1607</v>
      </c>
      <c r="P22" s="1" t="s">
        <v>422</v>
      </c>
    </row>
    <row r="23" spans="4:16">
      <c r="D23" s="17" t="s">
        <v>718</v>
      </c>
      <c r="H23" s="1" t="s">
        <v>1045</v>
      </c>
      <c r="I23" s="1" t="s">
        <v>1046</v>
      </c>
      <c r="J23" s="1" t="s">
        <v>1633</v>
      </c>
      <c r="K23" s="1" t="s">
        <v>1046</v>
      </c>
      <c r="L23" s="1" t="s">
        <v>1046</v>
      </c>
      <c r="M23" s="14" t="s">
        <v>1634</v>
      </c>
      <c r="O23" s="13" t="s">
        <v>1607</v>
      </c>
      <c r="P23" s="1" t="s">
        <v>422</v>
      </c>
    </row>
    <row r="24" spans="4:16">
      <c r="D24" s="17" t="s">
        <v>882</v>
      </c>
      <c r="H24" s="1" t="s">
        <v>1045</v>
      </c>
      <c r="I24" s="1" t="s">
        <v>1046</v>
      </c>
      <c r="J24" s="1" t="s">
        <v>1635</v>
      </c>
      <c r="K24" s="1" t="s">
        <v>1046</v>
      </c>
      <c r="L24" s="1" t="s">
        <v>1046</v>
      </c>
      <c r="M24" s="18" t="s">
        <v>1636</v>
      </c>
      <c r="O24" s="13" t="s">
        <v>1607</v>
      </c>
      <c r="P24" s="1" t="s">
        <v>422</v>
      </c>
    </row>
    <row r="25" spans="4:16">
      <c r="D25" s="17" t="s">
        <v>870</v>
      </c>
      <c r="H25" s="1" t="s">
        <v>102</v>
      </c>
      <c r="I25" s="1" t="s">
        <v>1637</v>
      </c>
      <c r="J25" s="1" t="s">
        <v>1046</v>
      </c>
      <c r="M25" s="1" t="s">
        <v>1638</v>
      </c>
      <c r="O25" s="13" t="s">
        <v>1607</v>
      </c>
      <c r="P25" s="1" t="s">
        <v>422</v>
      </c>
    </row>
    <row r="26" spans="4:16">
      <c r="D26" s="17" t="s">
        <v>732</v>
      </c>
      <c r="H26" s="1" t="s">
        <v>102</v>
      </c>
      <c r="I26" s="1" t="s">
        <v>1639</v>
      </c>
      <c r="J26" s="1" t="s">
        <v>1046</v>
      </c>
      <c r="M26" s="18" t="s">
        <v>1640</v>
      </c>
      <c r="O26" s="13" t="s">
        <v>1607</v>
      </c>
      <c r="P26" s="1" t="s">
        <v>422</v>
      </c>
    </row>
    <row r="27" spans="4:16">
      <c r="D27" s="17" t="s">
        <v>786</v>
      </c>
      <c r="H27" s="1" t="s">
        <v>102</v>
      </c>
      <c r="I27" s="1" t="s">
        <v>1641</v>
      </c>
      <c r="J27" s="1" t="s">
        <v>1046</v>
      </c>
      <c r="M27" s="14" t="s">
        <v>1642</v>
      </c>
      <c r="O27" s="13" t="s">
        <v>1607</v>
      </c>
      <c r="P27" s="1" t="s">
        <v>422</v>
      </c>
    </row>
    <row r="28" spans="4:16">
      <c r="D28" s="17" t="s">
        <v>789</v>
      </c>
      <c r="H28" s="1" t="s">
        <v>102</v>
      </c>
      <c r="I28" s="1" t="s">
        <v>1641</v>
      </c>
      <c r="J28" s="1" t="s">
        <v>1046</v>
      </c>
      <c r="M28" s="14" t="s">
        <v>1643</v>
      </c>
      <c r="O28" s="13" t="s">
        <v>1607</v>
      </c>
      <c r="P28" s="1" t="s">
        <v>422</v>
      </c>
    </row>
    <row r="29" spans="4:16">
      <c r="D29" s="17" t="s">
        <v>791</v>
      </c>
      <c r="H29" s="1" t="s">
        <v>102</v>
      </c>
      <c r="I29" s="1" t="s">
        <v>1641</v>
      </c>
      <c r="J29" s="1" t="s">
        <v>1046</v>
      </c>
      <c r="M29" s="14" t="s">
        <v>1644</v>
      </c>
      <c r="O29" s="13" t="s">
        <v>1607</v>
      </c>
      <c r="P29" s="1" t="s">
        <v>422</v>
      </c>
    </row>
    <row r="30" spans="4:16">
      <c r="D30" s="17" t="s">
        <v>793</v>
      </c>
      <c r="H30" s="1" t="s">
        <v>102</v>
      </c>
      <c r="I30" s="1" t="s">
        <v>1641</v>
      </c>
      <c r="J30" s="1" t="s">
        <v>1046</v>
      </c>
      <c r="M30" s="14" t="s">
        <v>1645</v>
      </c>
      <c r="O30" s="13" t="s">
        <v>1607</v>
      </c>
      <c r="P30" s="1" t="s">
        <v>422</v>
      </c>
    </row>
    <row r="31" spans="4:16">
      <c r="D31" s="17" t="s">
        <v>797</v>
      </c>
      <c r="H31" s="1" t="s">
        <v>102</v>
      </c>
      <c r="I31" s="1" t="s">
        <v>1641</v>
      </c>
      <c r="J31" s="1" t="s">
        <v>1046</v>
      </c>
      <c r="M31" s="14" t="s">
        <v>1646</v>
      </c>
      <c r="O31" s="13" t="s">
        <v>1607</v>
      </c>
      <c r="P31" s="1" t="s">
        <v>422</v>
      </c>
    </row>
    <row r="32" spans="4:16">
      <c r="D32" s="17" t="s">
        <v>802</v>
      </c>
      <c r="H32" s="1" t="s">
        <v>102</v>
      </c>
      <c r="I32" s="1" t="s">
        <v>1641</v>
      </c>
      <c r="J32" s="1" t="s">
        <v>1046</v>
      </c>
      <c r="M32" s="18" t="s">
        <v>1647</v>
      </c>
      <c r="O32" s="13" t="s">
        <v>1607</v>
      </c>
      <c r="P32" s="1" t="s">
        <v>422</v>
      </c>
    </row>
    <row r="33" spans="4:16">
      <c r="D33" s="17" t="s">
        <v>806</v>
      </c>
      <c r="H33" s="1" t="s">
        <v>102</v>
      </c>
      <c r="I33" s="1" t="s">
        <v>1641</v>
      </c>
      <c r="J33" s="1" t="s">
        <v>1046</v>
      </c>
      <c r="M33" s="14" t="s">
        <v>1648</v>
      </c>
      <c r="O33" s="13" t="s">
        <v>1607</v>
      </c>
      <c r="P33" s="1" t="s">
        <v>422</v>
      </c>
    </row>
    <row r="34" spans="4:16">
      <c r="D34" s="17" t="s">
        <v>809</v>
      </c>
      <c r="H34" s="1" t="s">
        <v>102</v>
      </c>
      <c r="I34" s="1" t="s">
        <v>1641</v>
      </c>
      <c r="J34" s="1" t="s">
        <v>1046</v>
      </c>
      <c r="M34" s="18" t="s">
        <v>1649</v>
      </c>
      <c r="O34" s="13" t="s">
        <v>1607</v>
      </c>
      <c r="P34" s="1" t="s">
        <v>422</v>
      </c>
    </row>
    <row r="35" spans="4:16">
      <c r="D35" s="17" t="s">
        <v>810</v>
      </c>
      <c r="H35" s="1" t="s">
        <v>102</v>
      </c>
      <c r="I35" s="1" t="s">
        <v>1641</v>
      </c>
      <c r="J35" s="1" t="s">
        <v>1046</v>
      </c>
      <c r="M35" s="18" t="s">
        <v>1650</v>
      </c>
      <c r="O35" s="13" t="s">
        <v>1607</v>
      </c>
      <c r="P35" s="1" t="s">
        <v>422</v>
      </c>
    </row>
    <row r="36" spans="4:16">
      <c r="D36" s="17" t="s">
        <v>811</v>
      </c>
      <c r="H36" s="1" t="s">
        <v>102</v>
      </c>
      <c r="I36" s="1" t="s">
        <v>1641</v>
      </c>
      <c r="J36" s="1" t="s">
        <v>1046</v>
      </c>
      <c r="M36" s="14" t="s">
        <v>1651</v>
      </c>
      <c r="O36" s="13" t="s">
        <v>1607</v>
      </c>
      <c r="P36" s="1" t="s">
        <v>422</v>
      </c>
    </row>
    <row r="37" spans="4:16">
      <c r="D37" s="17" t="s">
        <v>815</v>
      </c>
      <c r="H37" s="1" t="s">
        <v>102</v>
      </c>
      <c r="I37" s="1" t="s">
        <v>1641</v>
      </c>
      <c r="J37" s="1" t="s">
        <v>1046</v>
      </c>
      <c r="M37" s="18" t="s">
        <v>1652</v>
      </c>
      <c r="O37" s="13" t="s">
        <v>1607</v>
      </c>
      <c r="P37" s="1" t="s">
        <v>422</v>
      </c>
    </row>
    <row r="38" spans="4:16">
      <c r="D38" s="17" t="s">
        <v>819</v>
      </c>
      <c r="H38" s="1" t="s">
        <v>102</v>
      </c>
      <c r="I38" s="1" t="s">
        <v>1641</v>
      </c>
      <c r="J38" s="1" t="s">
        <v>1046</v>
      </c>
      <c r="M38" s="18" t="s">
        <v>1653</v>
      </c>
      <c r="O38" s="13" t="s">
        <v>1607</v>
      </c>
      <c r="P38" s="1" t="s">
        <v>422</v>
      </c>
    </row>
    <row r="39" spans="4:16">
      <c r="D39" s="17" t="s">
        <v>821</v>
      </c>
      <c r="H39" s="1" t="s">
        <v>102</v>
      </c>
      <c r="I39" s="1" t="s">
        <v>1641</v>
      </c>
      <c r="J39" s="1" t="s">
        <v>1046</v>
      </c>
      <c r="M39" s="14" t="s">
        <v>1654</v>
      </c>
      <c r="O39" s="13" t="s">
        <v>1607</v>
      </c>
      <c r="P39" s="1" t="s">
        <v>422</v>
      </c>
    </row>
    <row r="40" spans="4:16">
      <c r="D40" s="17" t="s">
        <v>824</v>
      </c>
      <c r="H40" s="1" t="s">
        <v>1045</v>
      </c>
      <c r="I40" s="1" t="s">
        <v>1046</v>
      </c>
      <c r="J40" s="1" t="s">
        <v>1655</v>
      </c>
      <c r="K40" s="1" t="s">
        <v>1046</v>
      </c>
      <c r="L40" s="1" t="s">
        <v>1046</v>
      </c>
      <c r="M40" s="1" t="s">
        <v>1656</v>
      </c>
      <c r="O40" s="13" t="s">
        <v>1607</v>
      </c>
      <c r="P40" s="1" t="s">
        <v>422</v>
      </c>
    </row>
    <row r="41" spans="4:16">
      <c r="D41" s="17" t="s">
        <v>761</v>
      </c>
      <c r="H41" s="1" t="s">
        <v>1045</v>
      </c>
      <c r="I41" s="1" t="s">
        <v>1046</v>
      </c>
      <c r="J41" s="18" t="s">
        <v>1657</v>
      </c>
      <c r="K41" s="1" t="s">
        <v>1046</v>
      </c>
      <c r="L41" s="1" t="s">
        <v>1046</v>
      </c>
      <c r="M41" s="14" t="s">
        <v>1658</v>
      </c>
      <c r="O41" s="13" t="s">
        <v>1607</v>
      </c>
      <c r="P41" s="1" t="s">
        <v>422</v>
      </c>
    </row>
    <row r="42" spans="4:16">
      <c r="D42" s="17" t="s">
        <v>832</v>
      </c>
      <c r="H42" s="1" t="s">
        <v>1045</v>
      </c>
      <c r="I42" s="1" t="s">
        <v>1046</v>
      </c>
      <c r="J42" s="1" t="s">
        <v>1659</v>
      </c>
      <c r="K42" s="1" t="s">
        <v>1046</v>
      </c>
      <c r="L42" s="1" t="s">
        <v>1046</v>
      </c>
      <c r="M42" s="14" t="s">
        <v>1660</v>
      </c>
      <c r="O42" s="13" t="s">
        <v>1607</v>
      </c>
      <c r="P42" s="1" t="s">
        <v>422</v>
      </c>
    </row>
    <row r="43" spans="4:16">
      <c r="D43" s="17" t="s">
        <v>751</v>
      </c>
      <c r="H43" s="1" t="s">
        <v>1045</v>
      </c>
      <c r="I43" s="1" t="s">
        <v>1046</v>
      </c>
      <c r="J43" s="14" t="s">
        <v>1661</v>
      </c>
      <c r="K43" s="1" t="s">
        <v>1046</v>
      </c>
      <c r="L43" s="1" t="s">
        <v>1046</v>
      </c>
      <c r="M43" s="14" t="s">
        <v>1662</v>
      </c>
      <c r="O43" s="13" t="s">
        <v>1607</v>
      </c>
      <c r="P43" s="1" t="s">
        <v>422</v>
      </c>
    </row>
    <row r="44" spans="4:16">
      <c r="D44" s="17" t="s">
        <v>850</v>
      </c>
      <c r="H44" s="1" t="s">
        <v>1045</v>
      </c>
      <c r="I44" s="1" t="s">
        <v>1046</v>
      </c>
      <c r="J44" s="1" t="s">
        <v>1633</v>
      </c>
      <c r="K44" s="1" t="s">
        <v>1046</v>
      </c>
      <c r="L44" s="1" t="s">
        <v>1046</v>
      </c>
      <c r="M44" s="14" t="s">
        <v>1663</v>
      </c>
      <c r="O44" s="13" t="s">
        <v>1607</v>
      </c>
      <c r="P44" s="1" t="s">
        <v>422</v>
      </c>
    </row>
    <row r="45" spans="4:16">
      <c r="D45" s="17" t="s">
        <v>854</v>
      </c>
      <c r="H45" s="1" t="s">
        <v>1045</v>
      </c>
      <c r="I45" s="1" t="s">
        <v>1046</v>
      </c>
      <c r="J45" s="1" t="s">
        <v>1633</v>
      </c>
      <c r="K45" s="1" t="s">
        <v>1046</v>
      </c>
      <c r="L45" s="1" t="s">
        <v>1046</v>
      </c>
      <c r="M45" s="18" t="s">
        <v>1664</v>
      </c>
      <c r="O45" s="13" t="s">
        <v>1607</v>
      </c>
      <c r="P45" s="1" t="s">
        <v>422</v>
      </c>
    </row>
    <row r="46" spans="4:16">
      <c r="D46" s="17" t="s">
        <v>864</v>
      </c>
      <c r="H46" s="1" t="s">
        <v>1045</v>
      </c>
      <c r="I46" s="1" t="s">
        <v>1046</v>
      </c>
      <c r="J46" s="1" t="s">
        <v>1633</v>
      </c>
      <c r="K46" s="1" t="s">
        <v>1046</v>
      </c>
      <c r="L46" s="1" t="s">
        <v>1046</v>
      </c>
      <c r="M46" s="14" t="s">
        <v>1665</v>
      </c>
      <c r="O46" s="13" t="s">
        <v>1607</v>
      </c>
      <c r="P46" s="1" t="s">
        <v>422</v>
      </c>
    </row>
    <row r="47" spans="4:16">
      <c r="D47" s="17" t="s">
        <v>865</v>
      </c>
      <c r="H47" s="1" t="s">
        <v>1045</v>
      </c>
      <c r="I47" s="1" t="s">
        <v>1046</v>
      </c>
      <c r="J47" s="1" t="s">
        <v>1633</v>
      </c>
      <c r="K47" s="1" t="s">
        <v>1046</v>
      </c>
      <c r="L47" s="1" t="s">
        <v>1046</v>
      </c>
      <c r="M47" s="18" t="s">
        <v>1666</v>
      </c>
      <c r="O47" s="13" t="s">
        <v>1607</v>
      </c>
      <c r="P47" s="1" t="s">
        <v>422</v>
      </c>
    </row>
    <row r="48" spans="4:16">
      <c r="D48" s="17" t="s">
        <v>883</v>
      </c>
      <c r="H48" s="1" t="s">
        <v>102</v>
      </c>
      <c r="I48" s="1" t="s">
        <v>1667</v>
      </c>
      <c r="J48" s="1" t="s">
        <v>1046</v>
      </c>
      <c r="M48" s="14" t="s">
        <v>1668</v>
      </c>
      <c r="O48" s="13" t="s">
        <v>1607</v>
      </c>
      <c r="P48" s="1" t="s">
        <v>422</v>
      </c>
    </row>
    <row r="49" spans="1:295">
      <c r="D49" s="17" t="s">
        <v>885</v>
      </c>
      <c r="H49" s="1" t="s">
        <v>102</v>
      </c>
      <c r="I49" s="1" t="s">
        <v>1667</v>
      </c>
      <c r="J49" s="1" t="s">
        <v>1046</v>
      </c>
      <c r="M49" s="14" t="s">
        <v>1669</v>
      </c>
      <c r="O49" s="13" t="s">
        <v>1607</v>
      </c>
      <c r="P49" s="1" t="s">
        <v>422</v>
      </c>
    </row>
    <row r="50" spans="1:295">
      <c r="D50" s="17" t="s">
        <v>887</v>
      </c>
      <c r="H50" s="1" t="s">
        <v>102</v>
      </c>
      <c r="I50" s="1" t="s">
        <v>1667</v>
      </c>
      <c r="J50" s="1" t="s">
        <v>1046</v>
      </c>
      <c r="M50" s="18" t="s">
        <v>1670</v>
      </c>
      <c r="O50" s="13" t="s">
        <v>1607</v>
      </c>
      <c r="P50" s="1" t="s">
        <v>422</v>
      </c>
    </row>
    <row r="51" spans="1:295">
      <c r="D51" s="17" t="s">
        <v>888</v>
      </c>
      <c r="H51" s="1" t="s">
        <v>1045</v>
      </c>
      <c r="I51" s="1" t="s">
        <v>1046</v>
      </c>
      <c r="J51" s="1" t="s">
        <v>1633</v>
      </c>
      <c r="K51" s="1" t="s">
        <v>1046</v>
      </c>
      <c r="L51" s="1" t="s">
        <v>1046</v>
      </c>
      <c r="M51" s="14" t="s">
        <v>1671</v>
      </c>
      <c r="O51" s="13" t="s">
        <v>1607</v>
      </c>
      <c r="P51" s="1" t="s">
        <v>422</v>
      </c>
    </row>
    <row r="52" spans="1:295">
      <c r="D52" s="17" t="s">
        <v>889</v>
      </c>
      <c r="H52" s="1" t="s">
        <v>1045</v>
      </c>
      <c r="I52" s="1" t="s">
        <v>1046</v>
      </c>
      <c r="J52" s="1" t="s">
        <v>1672</v>
      </c>
      <c r="K52" s="1" t="s">
        <v>1046</v>
      </c>
      <c r="L52" s="1" t="s">
        <v>1046</v>
      </c>
      <c r="M52" s="18" t="s">
        <v>1673</v>
      </c>
      <c r="O52" s="13" t="s">
        <v>1607</v>
      </c>
      <c r="P52" s="1" t="s">
        <v>422</v>
      </c>
    </row>
    <row r="53" spans="1:295">
      <c r="D53" s="17" t="s">
        <v>893</v>
      </c>
      <c r="H53" s="1" t="s">
        <v>1045</v>
      </c>
      <c r="I53" s="1" t="s">
        <v>1046</v>
      </c>
      <c r="J53" s="1" t="s">
        <v>1633</v>
      </c>
      <c r="K53" s="1" t="s">
        <v>1046</v>
      </c>
      <c r="L53" s="1" t="s">
        <v>1046</v>
      </c>
      <c r="M53" s="18" t="s">
        <v>1674</v>
      </c>
      <c r="O53" s="13" t="s">
        <v>1607</v>
      </c>
      <c r="P53" s="1" t="s">
        <v>422</v>
      </c>
    </row>
    <row r="54" spans="1:295">
      <c r="D54" s="17" t="s">
        <v>894</v>
      </c>
      <c r="H54" s="1" t="s">
        <v>1045</v>
      </c>
      <c r="I54" s="1" t="s">
        <v>1046</v>
      </c>
      <c r="J54" s="1" t="s">
        <v>1633</v>
      </c>
      <c r="K54" s="1" t="s">
        <v>1046</v>
      </c>
      <c r="L54" s="1" t="s">
        <v>1046</v>
      </c>
      <c r="M54" s="18" t="s">
        <v>1675</v>
      </c>
      <c r="O54" s="13" t="s">
        <v>1607</v>
      </c>
      <c r="P54" s="1" t="s">
        <v>422</v>
      </c>
    </row>
    <row r="55" spans="1:295">
      <c r="D55" s="1" t="s">
        <v>1676</v>
      </c>
      <c r="H55" s="1" t="s">
        <v>1045</v>
      </c>
      <c r="I55" s="1" t="s">
        <v>1046</v>
      </c>
      <c r="J55" s="1" t="s">
        <v>1677</v>
      </c>
      <c r="K55" s="1" t="s">
        <v>1046</v>
      </c>
      <c r="L55" s="1" t="s">
        <v>1046</v>
      </c>
      <c r="M55" s="14" t="s">
        <v>1678</v>
      </c>
      <c r="O55" s="13" t="s">
        <v>1607</v>
      </c>
      <c r="P55" s="1" t="s">
        <v>422</v>
      </c>
    </row>
    <row r="56" spans="1:295">
      <c r="D56" s="1" t="s">
        <v>1679</v>
      </c>
      <c r="H56" s="1" t="s">
        <v>102</v>
      </c>
      <c r="I56" s="1" t="s">
        <v>1046</v>
      </c>
      <c r="J56" s="1" t="s">
        <v>1046</v>
      </c>
      <c r="K56" s="1">
        <v>1</v>
      </c>
      <c r="L56" s="1">
        <v>9</v>
      </c>
      <c r="M56" s="14" t="s">
        <v>1680</v>
      </c>
      <c r="N56" s="4"/>
      <c r="O56" s="13" t="s">
        <v>1607</v>
      </c>
      <c r="P56" s="1" t="s">
        <v>422</v>
      </c>
    </row>
    <row r="57" spans="1:295">
      <c r="A57" s="1" t="s">
        <v>85</v>
      </c>
      <c r="B57" s="1" t="s">
        <v>97</v>
      </c>
      <c r="C57" s="1" t="s">
        <v>98</v>
      </c>
      <c r="D57" s="1" t="s">
        <v>98</v>
      </c>
      <c r="E57" s="1" t="s">
        <v>98</v>
      </c>
      <c r="F57" s="1" t="s">
        <v>98</v>
      </c>
      <c r="G57" s="1" t="s">
        <v>98</v>
      </c>
      <c r="H57" s="1" t="s">
        <v>98</v>
      </c>
      <c r="I57" s="1" t="s">
        <v>98</v>
      </c>
      <c r="J57" s="1" t="s">
        <v>98</v>
      </c>
      <c r="K57" s="1" t="s">
        <v>98</v>
      </c>
      <c r="L57" s="1" t="s">
        <v>98</v>
      </c>
      <c r="M57" s="1" t="s">
        <v>98</v>
      </c>
      <c r="N57" s="1" t="s">
        <v>98</v>
      </c>
      <c r="O57" s="1" t="s">
        <v>98</v>
      </c>
    </row>
    <row r="58" spans="1:295">
      <c r="A58" s="1" t="s">
        <v>103</v>
      </c>
      <c r="B58" s="1" t="s">
        <v>104</v>
      </c>
      <c r="C58" s="1" t="s">
        <v>175</v>
      </c>
      <c r="D58" s="1" t="s">
        <v>176</v>
      </c>
      <c r="E58" s="1" t="s">
        <v>177</v>
      </c>
      <c r="F58" s="1" t="s">
        <v>178</v>
      </c>
      <c r="G58" s="1" t="s">
        <v>179</v>
      </c>
      <c r="H58" s="1" t="s">
        <v>180</v>
      </c>
      <c r="I58" s="1" t="s">
        <v>181</v>
      </c>
      <c r="J58" s="1" t="s">
        <v>182</v>
      </c>
      <c r="K58" s="1" t="s">
        <v>183</v>
      </c>
      <c r="L58" s="1" t="s">
        <v>184</v>
      </c>
      <c r="M58" s="1" t="s">
        <v>185</v>
      </c>
      <c r="N58" s="1" t="s">
        <v>186</v>
      </c>
      <c r="O58" s="1" t="s">
        <v>187</v>
      </c>
    </row>
    <row r="59" spans="1:295">
      <c r="A59" s="1" t="s">
        <v>207</v>
      </c>
      <c r="C59" s="1" t="s">
        <v>234</v>
      </c>
      <c r="D59" s="1" t="s">
        <v>235</v>
      </c>
      <c r="M59" s="1" t="s">
        <v>226</v>
      </c>
    </row>
    <row r="60" spans="1:295">
      <c r="A60" s="1" t="s">
        <v>236</v>
      </c>
      <c r="B60" s="1" t="s">
        <v>190</v>
      </c>
      <c r="C60" s="1" t="s">
        <v>201</v>
      </c>
      <c r="N60" s="1" t="s">
        <v>202</v>
      </c>
    </row>
    <row r="61" spans="1:295">
      <c r="A61" s="1" t="s">
        <v>237</v>
      </c>
    </row>
    <row r="62" spans="1:295">
      <c r="A62" s="1" t="s">
        <v>238</v>
      </c>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row>
    <row r="63" spans="1:295">
      <c r="A63" s="1" t="s">
        <v>239</v>
      </c>
      <c r="B63" s="1" t="s">
        <v>240</v>
      </c>
      <c r="C63" s="1" t="s">
        <v>240</v>
      </c>
      <c r="D63" s="1" t="s">
        <v>242</v>
      </c>
      <c r="E63" s="1" t="s">
        <v>242</v>
      </c>
      <c r="F63" s="1" t="s">
        <v>242</v>
      </c>
      <c r="G63" s="1" t="s">
        <v>243</v>
      </c>
      <c r="H63" s="1" t="s">
        <v>242</v>
      </c>
      <c r="I63" s="1" t="s">
        <v>242</v>
      </c>
      <c r="J63" s="1" t="s">
        <v>242</v>
      </c>
      <c r="K63" s="1" t="s">
        <v>242</v>
      </c>
      <c r="L63" s="1" t="s">
        <v>242</v>
      </c>
      <c r="M63" s="1" t="s">
        <v>242</v>
      </c>
      <c r="N63" s="1" t="s">
        <v>240</v>
      </c>
      <c r="O63" s="1" t="s">
        <v>243</v>
      </c>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row>
    <row r="64" spans="1:295">
      <c r="A64" s="1" t="s">
        <v>244</v>
      </c>
      <c r="B64" s="2">
        <v>43405</v>
      </c>
      <c r="C64" s="2">
        <v>43405</v>
      </c>
      <c r="D64" s="2">
        <v>43032</v>
      </c>
      <c r="E64" s="2">
        <v>42971</v>
      </c>
      <c r="F64" s="2">
        <v>42971</v>
      </c>
      <c r="G64" s="2">
        <v>43361</v>
      </c>
      <c r="H64" s="2">
        <v>43005</v>
      </c>
      <c r="I64" s="2">
        <v>43032</v>
      </c>
      <c r="J64" s="2">
        <v>43005</v>
      </c>
      <c r="K64" s="2">
        <v>43005</v>
      </c>
      <c r="L64" s="2">
        <v>43005</v>
      </c>
      <c r="M64" s="2">
        <v>43005</v>
      </c>
      <c r="N64" s="2">
        <v>43405</v>
      </c>
      <c r="O64" s="2">
        <v>43361</v>
      </c>
      <c r="X64" s="2"/>
      <c r="Y64" s="2"/>
      <c r="Z64" s="2"/>
      <c r="AA64" s="2"/>
      <c r="AB64" s="2"/>
      <c r="AC64" s="2"/>
      <c r="AD64" s="2"/>
      <c r="AE64" s="2"/>
      <c r="AF64" s="2"/>
      <c r="AG64" s="2"/>
      <c r="AH64" s="2"/>
      <c r="AI64" s="2"/>
      <c r="AJ64" s="2"/>
      <c r="AK64" s="2"/>
      <c r="AL64" s="2"/>
      <c r="AM64" s="2"/>
      <c r="AN64" s="2"/>
      <c r="AO64" s="2"/>
      <c r="AP64" s="2"/>
    </row>
    <row r="65" spans="1:42">
      <c r="A65" s="1" t="s">
        <v>245</v>
      </c>
      <c r="E65" s="2">
        <v>43054</v>
      </c>
      <c r="F65" s="2">
        <v>43054</v>
      </c>
      <c r="H65" s="2">
        <v>43054</v>
      </c>
      <c r="I65" s="2">
        <v>43054</v>
      </c>
      <c r="J65" s="2">
        <v>43054</v>
      </c>
      <c r="M65" s="2">
        <v>43249</v>
      </c>
      <c r="X65" s="2"/>
      <c r="Z65" s="2"/>
      <c r="AC65" s="2"/>
      <c r="AK65" s="2"/>
      <c r="AL65" s="2"/>
      <c r="AM65" s="2"/>
      <c r="AN65" s="2"/>
      <c r="AO65" s="2"/>
      <c r="AP65" s="2"/>
    </row>
    <row r="66" spans="1:42">
      <c r="A66" s="1" t="s">
        <v>246</v>
      </c>
      <c r="B66" s="1" t="s">
        <v>247</v>
      </c>
      <c r="C66" s="1" t="s">
        <v>318</v>
      </c>
      <c r="D66" s="1" t="s">
        <v>319</v>
      </c>
      <c r="E66" s="1" t="s">
        <v>320</v>
      </c>
      <c r="F66" s="1" t="s">
        <v>321</v>
      </c>
      <c r="G66" s="1" t="s">
        <v>322</v>
      </c>
      <c r="H66" s="1" t="s">
        <v>323</v>
      </c>
      <c r="I66" s="1" t="s">
        <v>324</v>
      </c>
      <c r="J66" s="1" t="s">
        <v>325</v>
      </c>
      <c r="K66" s="1" t="s">
        <v>326</v>
      </c>
      <c r="L66" s="1" t="s">
        <v>327</v>
      </c>
      <c r="M66" s="1" t="s">
        <v>328</v>
      </c>
      <c r="N66" s="1" t="s">
        <v>329</v>
      </c>
      <c r="O66" s="1" t="s">
        <v>330</v>
      </c>
    </row>
    <row r="67" spans="1:42">
      <c r="A67" s="1" t="s">
        <v>335</v>
      </c>
      <c r="B67" s="1" t="s">
        <v>336</v>
      </c>
      <c r="C67" s="1" t="s">
        <v>403</v>
      </c>
      <c r="D67" s="1" t="s">
        <v>404</v>
      </c>
      <c r="E67" s="1" t="s">
        <v>405</v>
      </c>
      <c r="F67" s="1" t="s">
        <v>406</v>
      </c>
      <c r="G67" s="1" t="s">
        <v>407</v>
      </c>
      <c r="H67" s="1" t="s">
        <v>408</v>
      </c>
      <c r="I67" s="1" t="s">
        <v>409</v>
      </c>
      <c r="J67" s="1" t="s">
        <v>410</v>
      </c>
      <c r="K67" s="1" t="s">
        <v>411</v>
      </c>
      <c r="L67" s="1" t="s">
        <v>412</v>
      </c>
      <c r="M67" s="1" t="s">
        <v>413</v>
      </c>
      <c r="N67" s="1" t="s">
        <v>414</v>
      </c>
      <c r="O67" s="1" t="s">
        <v>415</v>
      </c>
    </row>
  </sheetData>
  <hyperlinks>
    <hyperlink ref="O3" r:id="rId1" xr:uid="{00000000-0004-0000-0E00-000000000000}"/>
    <hyperlink ref="O4" r:id="rId2" xr:uid="{00000000-0004-0000-0E00-000001000000}"/>
    <hyperlink ref="O5" r:id="rId3" xr:uid="{00000000-0004-0000-0E00-000002000000}"/>
    <hyperlink ref="O6" r:id="rId4" xr:uid="{00000000-0004-0000-0E00-000003000000}"/>
    <hyperlink ref="O7" r:id="rId5" xr:uid="{00000000-0004-0000-0E00-000004000000}"/>
    <hyperlink ref="O8" r:id="rId6" xr:uid="{00000000-0004-0000-0E00-000005000000}"/>
    <hyperlink ref="O9" r:id="rId7" xr:uid="{00000000-0004-0000-0E00-000006000000}"/>
    <hyperlink ref="O10" r:id="rId8" xr:uid="{00000000-0004-0000-0E00-000007000000}"/>
    <hyperlink ref="O11" r:id="rId9" xr:uid="{00000000-0004-0000-0E00-000008000000}"/>
    <hyperlink ref="O12" r:id="rId10" xr:uid="{00000000-0004-0000-0E00-000009000000}"/>
    <hyperlink ref="O13" r:id="rId11" xr:uid="{00000000-0004-0000-0E00-00000A000000}"/>
    <hyperlink ref="O14" r:id="rId12" xr:uid="{00000000-0004-0000-0E00-00000B000000}"/>
    <hyperlink ref="O15" r:id="rId13" xr:uid="{00000000-0004-0000-0E00-00000C000000}"/>
    <hyperlink ref="O16" r:id="rId14" xr:uid="{00000000-0004-0000-0E00-00000D000000}"/>
    <hyperlink ref="O17" r:id="rId15" xr:uid="{00000000-0004-0000-0E00-00000E000000}"/>
    <hyperlink ref="O18" r:id="rId16" xr:uid="{00000000-0004-0000-0E00-00000F000000}"/>
    <hyperlink ref="O19" r:id="rId17" xr:uid="{00000000-0004-0000-0E00-000010000000}"/>
    <hyperlink ref="O20" r:id="rId18" xr:uid="{00000000-0004-0000-0E00-000011000000}"/>
    <hyperlink ref="O21" r:id="rId19" xr:uid="{00000000-0004-0000-0E00-000012000000}"/>
    <hyperlink ref="O22" r:id="rId20" xr:uid="{00000000-0004-0000-0E00-000013000000}"/>
    <hyperlink ref="O23" r:id="rId21" xr:uid="{00000000-0004-0000-0E00-000014000000}"/>
    <hyperlink ref="O24" r:id="rId22" xr:uid="{00000000-0004-0000-0E00-000015000000}"/>
    <hyperlink ref="O25" r:id="rId23" xr:uid="{00000000-0004-0000-0E00-000016000000}"/>
    <hyperlink ref="O26" r:id="rId24" xr:uid="{00000000-0004-0000-0E00-000017000000}"/>
    <hyperlink ref="O27" r:id="rId25" xr:uid="{00000000-0004-0000-0E00-000018000000}"/>
    <hyperlink ref="O28" r:id="rId26" xr:uid="{00000000-0004-0000-0E00-000019000000}"/>
    <hyperlink ref="O29" r:id="rId27" xr:uid="{00000000-0004-0000-0E00-00001A000000}"/>
    <hyperlink ref="O30" r:id="rId28" xr:uid="{00000000-0004-0000-0E00-00001B000000}"/>
    <hyperlink ref="O31" r:id="rId29" xr:uid="{00000000-0004-0000-0E00-00001C000000}"/>
    <hyperlink ref="O32" r:id="rId30" xr:uid="{00000000-0004-0000-0E00-00001D000000}"/>
    <hyperlink ref="O33" r:id="rId31" xr:uid="{00000000-0004-0000-0E00-00001E000000}"/>
    <hyperlink ref="O34" r:id="rId32" xr:uid="{00000000-0004-0000-0E00-00001F000000}"/>
    <hyperlink ref="O35" r:id="rId33" xr:uid="{00000000-0004-0000-0E00-000020000000}"/>
    <hyperlink ref="O36" r:id="rId34" xr:uid="{00000000-0004-0000-0E00-000021000000}"/>
    <hyperlink ref="O37" r:id="rId35" xr:uid="{00000000-0004-0000-0E00-000022000000}"/>
    <hyperlink ref="O38" r:id="rId36" xr:uid="{00000000-0004-0000-0E00-000023000000}"/>
    <hyperlink ref="O39" r:id="rId37" xr:uid="{00000000-0004-0000-0E00-000024000000}"/>
    <hyperlink ref="O40" r:id="rId38" xr:uid="{00000000-0004-0000-0E00-000025000000}"/>
    <hyperlink ref="O41" r:id="rId39" xr:uid="{00000000-0004-0000-0E00-000026000000}"/>
    <hyperlink ref="O42" r:id="rId40" xr:uid="{00000000-0004-0000-0E00-000027000000}"/>
    <hyperlink ref="O43" r:id="rId41" xr:uid="{00000000-0004-0000-0E00-000028000000}"/>
    <hyperlink ref="O44" r:id="rId42" xr:uid="{00000000-0004-0000-0E00-000029000000}"/>
    <hyperlink ref="O45" r:id="rId43" xr:uid="{00000000-0004-0000-0E00-00002A000000}"/>
    <hyperlink ref="O46" r:id="rId44" xr:uid="{00000000-0004-0000-0E00-00002B000000}"/>
    <hyperlink ref="O47" r:id="rId45" xr:uid="{00000000-0004-0000-0E00-00002C000000}"/>
    <hyperlink ref="O48" r:id="rId46" xr:uid="{00000000-0004-0000-0E00-00002D000000}"/>
    <hyperlink ref="O49" r:id="rId47" xr:uid="{00000000-0004-0000-0E00-00002E000000}"/>
    <hyperlink ref="O50" r:id="rId48" xr:uid="{00000000-0004-0000-0E00-00002F000000}"/>
    <hyperlink ref="O51" r:id="rId49" xr:uid="{00000000-0004-0000-0E00-000030000000}"/>
    <hyperlink ref="O52" r:id="rId50" xr:uid="{00000000-0004-0000-0E00-000031000000}"/>
    <hyperlink ref="O53" r:id="rId51" xr:uid="{00000000-0004-0000-0E00-000032000000}"/>
    <hyperlink ref="O54" r:id="rId52" xr:uid="{00000000-0004-0000-0E00-000033000000}"/>
    <hyperlink ref="O55" r:id="rId53" xr:uid="{00000000-0004-0000-0E00-000034000000}"/>
    <hyperlink ref="O56" r:id="rId54" xr:uid="{00000000-0004-0000-0E00-000035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674EA7"/>
    <outlinePr summaryBelow="0" summaryRight="0"/>
  </sheetPr>
  <dimension ref="A1:AP131"/>
  <sheetViews>
    <sheetView workbookViewId="0"/>
  </sheetViews>
  <sheetFormatPr baseColWidth="10" defaultColWidth="12.6640625" defaultRowHeight="15.75" customHeight="1"/>
  <cols>
    <col min="4" max="4" width="18.33203125" customWidth="1"/>
    <col min="6" max="6" width="18.21875" customWidth="1"/>
    <col min="8" max="8" width="26.6640625" customWidth="1"/>
    <col min="13" max="13" width="236" customWidth="1"/>
  </cols>
  <sheetData>
    <row r="1" spans="1:16" ht="13.2">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row>
    <row r="2" spans="1:16" ht="13.2">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row>
    <row r="3" spans="1:16" ht="13.2">
      <c r="C3" s="4"/>
      <c r="D3" s="4" t="s">
        <v>967</v>
      </c>
      <c r="H3" s="1" t="s">
        <v>102</v>
      </c>
      <c r="I3" s="4" t="s">
        <v>1143</v>
      </c>
      <c r="J3" s="1" t="s">
        <v>1046</v>
      </c>
      <c r="M3" s="4" t="s">
        <v>1527</v>
      </c>
      <c r="N3" s="4"/>
      <c r="O3" s="13" t="s">
        <v>1528</v>
      </c>
      <c r="P3" s="1" t="s">
        <v>424</v>
      </c>
    </row>
    <row r="4" spans="1:16" ht="13.2">
      <c r="C4" s="4"/>
      <c r="D4" s="4" t="s">
        <v>969</v>
      </c>
      <c r="H4" s="1" t="s">
        <v>102</v>
      </c>
      <c r="I4" s="4" t="s">
        <v>1531</v>
      </c>
      <c r="J4" s="1" t="s">
        <v>1046</v>
      </c>
      <c r="M4" s="4" t="s">
        <v>1532</v>
      </c>
      <c r="N4" s="4"/>
      <c r="O4" s="13" t="s">
        <v>1528</v>
      </c>
      <c r="P4" s="1" t="s">
        <v>424</v>
      </c>
    </row>
    <row r="5" spans="1:16" ht="13.2">
      <c r="C5" s="4"/>
      <c r="D5" s="4" t="s">
        <v>978</v>
      </c>
      <c r="H5" s="1" t="s">
        <v>102</v>
      </c>
      <c r="I5" s="4" t="s">
        <v>1143</v>
      </c>
      <c r="J5" s="1" t="s">
        <v>1046</v>
      </c>
      <c r="M5" s="4" t="s">
        <v>1535</v>
      </c>
      <c r="N5" s="4"/>
      <c r="O5" s="13" t="s">
        <v>1528</v>
      </c>
      <c r="P5" s="1" t="s">
        <v>424</v>
      </c>
    </row>
    <row r="6" spans="1:16" ht="13.2">
      <c r="C6" s="4"/>
      <c r="D6" s="4" t="s">
        <v>971</v>
      </c>
      <c r="H6" s="1" t="s">
        <v>102</v>
      </c>
      <c r="I6" s="4" t="s">
        <v>1531</v>
      </c>
      <c r="J6" s="1" t="s">
        <v>1046</v>
      </c>
      <c r="M6" s="4" t="s">
        <v>1538</v>
      </c>
      <c r="N6" s="4"/>
      <c r="O6" s="13" t="s">
        <v>1528</v>
      </c>
      <c r="P6" s="1" t="s">
        <v>424</v>
      </c>
    </row>
    <row r="7" spans="1:16" ht="13.2">
      <c r="C7" s="4"/>
      <c r="D7" s="4" t="s">
        <v>979</v>
      </c>
      <c r="H7" s="1" t="s">
        <v>102</v>
      </c>
      <c r="I7" s="4" t="s">
        <v>1143</v>
      </c>
      <c r="J7" s="1" t="s">
        <v>1046</v>
      </c>
      <c r="M7" s="4" t="s">
        <v>1541</v>
      </c>
      <c r="N7" s="4"/>
      <c r="O7" s="13" t="s">
        <v>1528</v>
      </c>
      <c r="P7" s="1" t="s">
        <v>424</v>
      </c>
    </row>
    <row r="8" spans="1:16" ht="13.2">
      <c r="C8" s="4"/>
      <c r="D8" s="4" t="s">
        <v>980</v>
      </c>
      <c r="H8" s="1" t="s">
        <v>102</v>
      </c>
      <c r="I8" s="4" t="s">
        <v>1143</v>
      </c>
      <c r="J8" s="1" t="s">
        <v>1046</v>
      </c>
      <c r="M8" s="4" t="s">
        <v>1544</v>
      </c>
      <c r="N8" s="4"/>
      <c r="O8" s="13" t="s">
        <v>1528</v>
      </c>
      <c r="P8" s="1" t="s">
        <v>424</v>
      </c>
    </row>
    <row r="9" spans="1:16" ht="13.2">
      <c r="C9" s="4"/>
      <c r="D9" s="4" t="s">
        <v>981</v>
      </c>
      <c r="H9" s="1" t="s">
        <v>102</v>
      </c>
      <c r="I9" s="4" t="s">
        <v>1143</v>
      </c>
      <c r="J9" s="1" t="s">
        <v>1046</v>
      </c>
      <c r="M9" s="4" t="s">
        <v>1546</v>
      </c>
      <c r="N9" s="4"/>
      <c r="O9" s="13" t="s">
        <v>1528</v>
      </c>
      <c r="P9" s="1" t="s">
        <v>424</v>
      </c>
    </row>
    <row r="10" spans="1:16" ht="13.2">
      <c r="C10" s="4"/>
      <c r="D10" s="4" t="s">
        <v>974</v>
      </c>
      <c r="H10" s="1" t="s">
        <v>102</v>
      </c>
      <c r="I10" s="4" t="s">
        <v>1143</v>
      </c>
      <c r="J10" s="1" t="s">
        <v>1046</v>
      </c>
      <c r="M10" s="4" t="s">
        <v>1548</v>
      </c>
      <c r="N10" s="4"/>
      <c r="O10" s="13" t="s">
        <v>1528</v>
      </c>
      <c r="P10" s="1" t="s">
        <v>424</v>
      </c>
    </row>
    <row r="11" spans="1:16" ht="13.2">
      <c r="C11" s="4"/>
      <c r="D11" s="4" t="s">
        <v>982</v>
      </c>
      <c r="H11" s="1" t="s">
        <v>102</v>
      </c>
      <c r="I11" s="4" t="s">
        <v>1550</v>
      </c>
      <c r="J11" s="1" t="s">
        <v>1046</v>
      </c>
      <c r="M11" s="4" t="s">
        <v>1551</v>
      </c>
      <c r="N11" s="4"/>
      <c r="O11" s="13" t="s">
        <v>1528</v>
      </c>
      <c r="P11" s="1" t="s">
        <v>424</v>
      </c>
    </row>
    <row r="12" spans="1:16" ht="13.2">
      <c r="C12" s="4"/>
      <c r="D12" s="4" t="s">
        <v>983</v>
      </c>
      <c r="H12" s="1" t="s">
        <v>102</v>
      </c>
      <c r="I12" s="4" t="s">
        <v>1143</v>
      </c>
      <c r="J12" s="1" t="s">
        <v>1046</v>
      </c>
      <c r="M12" s="4" t="s">
        <v>1555</v>
      </c>
      <c r="N12" s="4"/>
      <c r="O12" s="13" t="s">
        <v>1528</v>
      </c>
      <c r="P12" s="1" t="s">
        <v>424</v>
      </c>
    </row>
    <row r="13" spans="1:16" ht="13.2">
      <c r="C13" s="4"/>
      <c r="D13" s="4" t="s">
        <v>984</v>
      </c>
      <c r="H13" s="1" t="s">
        <v>102</v>
      </c>
      <c r="I13" s="4" t="s">
        <v>1558</v>
      </c>
      <c r="J13" s="1" t="s">
        <v>1046</v>
      </c>
      <c r="M13" s="4" t="s">
        <v>1559</v>
      </c>
      <c r="N13" s="4"/>
      <c r="O13" s="13" t="s">
        <v>1528</v>
      </c>
      <c r="P13" s="1" t="s">
        <v>424</v>
      </c>
    </row>
    <row r="14" spans="1:16" ht="13.2">
      <c r="C14" s="4"/>
      <c r="D14" s="4" t="s">
        <v>985</v>
      </c>
      <c r="H14" s="1" t="s">
        <v>102</v>
      </c>
      <c r="I14" s="4" t="s">
        <v>1531</v>
      </c>
      <c r="J14" s="1" t="s">
        <v>1046</v>
      </c>
      <c r="M14" s="4" t="s">
        <v>1563</v>
      </c>
      <c r="N14" s="4"/>
      <c r="O14" s="13" t="s">
        <v>1528</v>
      </c>
      <c r="P14" s="1" t="s">
        <v>424</v>
      </c>
    </row>
    <row r="15" spans="1:16" ht="13.2">
      <c r="C15" s="4"/>
      <c r="D15" s="4" t="s">
        <v>986</v>
      </c>
      <c r="H15" s="1" t="s">
        <v>102</v>
      </c>
      <c r="I15" s="4" t="s">
        <v>1143</v>
      </c>
      <c r="J15" s="1" t="s">
        <v>1046</v>
      </c>
      <c r="M15" s="4" t="s">
        <v>1565</v>
      </c>
      <c r="N15" s="4"/>
      <c r="O15" s="13" t="s">
        <v>1528</v>
      </c>
      <c r="P15" s="1" t="s">
        <v>424</v>
      </c>
    </row>
    <row r="16" spans="1:16" ht="13.2">
      <c r="C16" s="4"/>
      <c r="D16" s="4" t="s">
        <v>963</v>
      </c>
      <c r="H16" s="4" t="s">
        <v>1045</v>
      </c>
      <c r="I16" s="1" t="s">
        <v>1046</v>
      </c>
      <c r="J16" s="1" t="s">
        <v>1681</v>
      </c>
      <c r="K16" s="1" t="s">
        <v>1046</v>
      </c>
      <c r="L16" s="1" t="s">
        <v>1046</v>
      </c>
      <c r="M16" s="4" t="s">
        <v>1567</v>
      </c>
      <c r="N16" s="4"/>
      <c r="O16" s="13" t="s">
        <v>1528</v>
      </c>
      <c r="P16" s="1" t="s">
        <v>424</v>
      </c>
    </row>
    <row r="17" spans="3:16" ht="13.2">
      <c r="C17" s="4"/>
      <c r="D17" s="4" t="s">
        <v>670</v>
      </c>
      <c r="H17" s="1" t="s">
        <v>102</v>
      </c>
      <c r="I17" s="4" t="s">
        <v>1569</v>
      </c>
      <c r="J17" s="1" t="s">
        <v>1046</v>
      </c>
      <c r="M17" s="4" t="s">
        <v>1570</v>
      </c>
      <c r="N17" s="4"/>
      <c r="O17" s="13" t="s">
        <v>1528</v>
      </c>
      <c r="P17" s="1" t="s">
        <v>424</v>
      </c>
    </row>
    <row r="18" spans="3:16" ht="13.2">
      <c r="C18" s="4"/>
      <c r="D18" s="4" t="s">
        <v>783</v>
      </c>
      <c r="H18" s="4" t="s">
        <v>1045</v>
      </c>
      <c r="I18" s="1" t="s">
        <v>1046</v>
      </c>
      <c r="J18" s="1" t="s">
        <v>1682</v>
      </c>
      <c r="K18" s="1" t="s">
        <v>1046</v>
      </c>
      <c r="L18" s="1" t="s">
        <v>1046</v>
      </c>
      <c r="M18" s="4" t="s">
        <v>1572</v>
      </c>
      <c r="N18" s="4"/>
      <c r="O18" s="13" t="s">
        <v>1528</v>
      </c>
      <c r="P18" s="1" t="s">
        <v>424</v>
      </c>
    </row>
    <row r="19" spans="3:16" ht="13.2">
      <c r="C19" s="4"/>
      <c r="D19" s="4" t="s">
        <v>784</v>
      </c>
      <c r="H19" s="4" t="s">
        <v>1045</v>
      </c>
      <c r="I19" s="1" t="s">
        <v>1046</v>
      </c>
      <c r="J19" s="1" t="s">
        <v>1682</v>
      </c>
      <c r="K19" s="1" t="s">
        <v>1046</v>
      </c>
      <c r="L19" s="1" t="s">
        <v>1046</v>
      </c>
      <c r="M19" s="4" t="s">
        <v>1574</v>
      </c>
      <c r="N19" s="4"/>
      <c r="O19" s="13" t="s">
        <v>1528</v>
      </c>
      <c r="P19" s="1" t="s">
        <v>424</v>
      </c>
    </row>
    <row r="20" spans="3:16" ht="13.2">
      <c r="C20" s="4"/>
      <c r="D20" s="4" t="s">
        <v>785</v>
      </c>
      <c r="H20" s="4" t="s">
        <v>1045</v>
      </c>
      <c r="I20" s="1" t="s">
        <v>1046</v>
      </c>
      <c r="J20" s="1" t="s">
        <v>1682</v>
      </c>
      <c r="K20" s="1" t="s">
        <v>1046</v>
      </c>
      <c r="L20" s="1" t="s">
        <v>1046</v>
      </c>
      <c r="M20" s="4" t="s">
        <v>1576</v>
      </c>
      <c r="N20" s="4"/>
      <c r="O20" s="13" t="s">
        <v>1528</v>
      </c>
      <c r="P20" s="1" t="s">
        <v>424</v>
      </c>
    </row>
    <row r="21" spans="3:16" ht="13.2">
      <c r="C21" s="4"/>
      <c r="D21" s="4" t="s">
        <v>825</v>
      </c>
      <c r="H21" s="1" t="s">
        <v>102</v>
      </c>
      <c r="I21" s="1" t="s">
        <v>1046</v>
      </c>
      <c r="J21" s="1" t="s">
        <v>1046</v>
      </c>
      <c r="M21" s="4" t="s">
        <v>1580</v>
      </c>
      <c r="N21" s="4"/>
      <c r="O21" s="13" t="s">
        <v>1528</v>
      </c>
      <c r="P21" s="1" t="s">
        <v>424</v>
      </c>
    </row>
    <row r="22" spans="3:16" ht="13.2">
      <c r="C22" s="4"/>
      <c r="D22" s="4" t="s">
        <v>826</v>
      </c>
      <c r="H22" s="1" t="s">
        <v>102</v>
      </c>
      <c r="I22" s="1" t="s">
        <v>1046</v>
      </c>
      <c r="J22" s="1" t="s">
        <v>1046</v>
      </c>
      <c r="M22" s="4" t="s">
        <v>1583</v>
      </c>
      <c r="N22" s="4"/>
      <c r="O22" s="13" t="s">
        <v>1528</v>
      </c>
      <c r="P22" s="1" t="s">
        <v>424</v>
      </c>
    </row>
    <row r="23" spans="3:16" ht="13.2">
      <c r="C23" s="4"/>
      <c r="D23" s="4" t="s">
        <v>762</v>
      </c>
      <c r="H23" s="4" t="s">
        <v>1045</v>
      </c>
      <c r="I23" s="1" t="s">
        <v>1046</v>
      </c>
      <c r="J23" s="1" t="s">
        <v>1683</v>
      </c>
      <c r="K23" s="1" t="s">
        <v>1046</v>
      </c>
      <c r="L23" s="1" t="s">
        <v>1046</v>
      </c>
      <c r="M23" s="4" t="s">
        <v>1586</v>
      </c>
      <c r="N23" s="4"/>
      <c r="O23" s="13" t="s">
        <v>1528</v>
      </c>
      <c r="P23" s="1" t="s">
        <v>424</v>
      </c>
    </row>
    <row r="24" spans="3:16" ht="13.2">
      <c r="C24" s="4"/>
      <c r="D24" s="4" t="s">
        <v>778</v>
      </c>
      <c r="H24" s="1" t="s">
        <v>102</v>
      </c>
      <c r="I24" s="4" t="s">
        <v>1589</v>
      </c>
      <c r="J24" s="1" t="s">
        <v>1046</v>
      </c>
      <c r="M24" s="4" t="s">
        <v>1590</v>
      </c>
      <c r="N24" s="4"/>
      <c r="O24" s="13" t="s">
        <v>1528</v>
      </c>
      <c r="P24" s="1" t="s">
        <v>424</v>
      </c>
    </row>
    <row r="25" spans="3:16" ht="13.2">
      <c r="C25" s="4"/>
      <c r="D25" s="4" t="s">
        <v>904</v>
      </c>
      <c r="H25" s="1" t="s">
        <v>102</v>
      </c>
      <c r="I25" s="1" t="s">
        <v>1046</v>
      </c>
      <c r="J25" s="1" t="s">
        <v>1046</v>
      </c>
      <c r="M25" s="4" t="s">
        <v>1592</v>
      </c>
      <c r="N25" s="4"/>
      <c r="O25" s="13" t="s">
        <v>1528</v>
      </c>
      <c r="P25" s="1" t="s">
        <v>424</v>
      </c>
    </row>
    <row r="26" spans="3:16" ht="13.2">
      <c r="C26" s="4"/>
      <c r="D26" s="4" t="s">
        <v>906</v>
      </c>
      <c r="H26" s="1" t="s">
        <v>102</v>
      </c>
      <c r="I26" s="1" t="s">
        <v>1046</v>
      </c>
      <c r="J26" s="1" t="s">
        <v>1046</v>
      </c>
      <c r="M26" s="4" t="s">
        <v>1594</v>
      </c>
      <c r="N26" s="4"/>
      <c r="O26" s="13" t="s">
        <v>1528</v>
      </c>
      <c r="P26" s="1" t="s">
        <v>424</v>
      </c>
    </row>
    <row r="27" spans="3:16" ht="13.2">
      <c r="C27" s="4"/>
      <c r="D27" s="4" t="s">
        <v>907</v>
      </c>
      <c r="H27" s="1" t="s">
        <v>102</v>
      </c>
      <c r="I27" s="1" t="s">
        <v>1046</v>
      </c>
      <c r="J27" s="1" t="s">
        <v>1046</v>
      </c>
      <c r="M27" s="4" t="s">
        <v>1597</v>
      </c>
      <c r="N27" s="4"/>
      <c r="O27" s="13" t="s">
        <v>1528</v>
      </c>
      <c r="P27" s="1" t="s">
        <v>424</v>
      </c>
    </row>
    <row r="28" spans="3:16" ht="13.2">
      <c r="C28" s="4"/>
      <c r="D28" s="4" t="s">
        <v>908</v>
      </c>
      <c r="H28" s="1" t="s">
        <v>102</v>
      </c>
      <c r="I28" s="1" t="s">
        <v>1046</v>
      </c>
      <c r="J28" s="1" t="s">
        <v>1046</v>
      </c>
      <c r="M28" s="4" t="s">
        <v>1599</v>
      </c>
      <c r="N28" s="4"/>
      <c r="O28" s="13" t="s">
        <v>1528</v>
      </c>
      <c r="P28" s="1" t="s">
        <v>424</v>
      </c>
    </row>
    <row r="29" spans="3:16" ht="13.2">
      <c r="C29" s="4"/>
      <c r="D29" s="4" t="s">
        <v>909</v>
      </c>
      <c r="H29" s="1" t="s">
        <v>102</v>
      </c>
      <c r="I29" s="1" t="s">
        <v>1046</v>
      </c>
      <c r="J29" s="1" t="s">
        <v>1046</v>
      </c>
      <c r="M29" s="4" t="s">
        <v>1601</v>
      </c>
      <c r="N29" s="4"/>
      <c r="O29" s="13" t="s">
        <v>1528</v>
      </c>
      <c r="P29" s="1" t="s">
        <v>424</v>
      </c>
    </row>
    <row r="30" spans="3:16" ht="13.2">
      <c r="C30" s="4"/>
      <c r="D30" s="4" t="s">
        <v>910</v>
      </c>
      <c r="H30" s="1" t="s">
        <v>102</v>
      </c>
      <c r="I30" s="1" t="s">
        <v>1046</v>
      </c>
      <c r="J30" s="1" t="s">
        <v>1046</v>
      </c>
      <c r="M30" s="4" t="s">
        <v>1603</v>
      </c>
      <c r="N30" s="4"/>
      <c r="O30" s="13" t="s">
        <v>1528</v>
      </c>
      <c r="P30" s="1" t="s">
        <v>424</v>
      </c>
    </row>
    <row r="31" spans="3:16" ht="13.2">
      <c r="C31" s="4"/>
      <c r="D31" s="4" t="s">
        <v>911</v>
      </c>
      <c r="H31" s="1" t="s">
        <v>102</v>
      </c>
      <c r="I31" s="1" t="s">
        <v>1046</v>
      </c>
      <c r="J31" s="1" t="s">
        <v>1046</v>
      </c>
      <c r="M31" s="4" t="s">
        <v>1605</v>
      </c>
      <c r="N31" s="4"/>
      <c r="O31" s="13" t="s">
        <v>1528</v>
      </c>
      <c r="P31" s="1" t="s">
        <v>424</v>
      </c>
    </row>
    <row r="32" spans="3:16" ht="13.2">
      <c r="C32" s="4"/>
      <c r="D32" s="4" t="s">
        <v>912</v>
      </c>
      <c r="H32" s="1" t="s">
        <v>102</v>
      </c>
      <c r="I32" s="1" t="s">
        <v>1046</v>
      </c>
      <c r="J32" s="1" t="s">
        <v>1046</v>
      </c>
      <c r="M32" s="4" t="s">
        <v>1684</v>
      </c>
      <c r="N32" s="4"/>
      <c r="O32" s="13" t="s">
        <v>1528</v>
      </c>
      <c r="P32" s="1" t="s">
        <v>424</v>
      </c>
    </row>
    <row r="33" spans="3:16" ht="13.2">
      <c r="C33" s="4"/>
      <c r="D33" s="4" t="s">
        <v>913</v>
      </c>
      <c r="H33" s="1" t="s">
        <v>102</v>
      </c>
      <c r="I33" s="1" t="s">
        <v>1046</v>
      </c>
      <c r="J33" s="1" t="s">
        <v>1046</v>
      </c>
      <c r="M33" s="4" t="s">
        <v>1685</v>
      </c>
      <c r="N33" s="4"/>
      <c r="O33" s="13" t="s">
        <v>1528</v>
      </c>
      <c r="P33" s="1" t="s">
        <v>424</v>
      </c>
    </row>
    <row r="34" spans="3:16" ht="13.2">
      <c r="C34" s="4"/>
      <c r="D34" s="4" t="s">
        <v>914</v>
      </c>
      <c r="H34" s="1" t="s">
        <v>102</v>
      </c>
      <c r="I34" s="1" t="s">
        <v>1046</v>
      </c>
      <c r="J34" s="1" t="s">
        <v>1046</v>
      </c>
      <c r="M34" s="4" t="s">
        <v>1686</v>
      </c>
      <c r="N34" s="4"/>
      <c r="O34" s="13" t="s">
        <v>1528</v>
      </c>
      <c r="P34" s="1" t="s">
        <v>424</v>
      </c>
    </row>
    <row r="35" spans="3:16" ht="13.2">
      <c r="C35" s="4"/>
      <c r="D35" s="4" t="s">
        <v>915</v>
      </c>
      <c r="H35" s="1" t="s">
        <v>102</v>
      </c>
      <c r="I35" s="1" t="s">
        <v>1046</v>
      </c>
      <c r="J35" s="1" t="s">
        <v>1046</v>
      </c>
      <c r="M35" s="4" t="s">
        <v>1687</v>
      </c>
      <c r="N35" s="4"/>
      <c r="O35" s="13" t="s">
        <v>1528</v>
      </c>
      <c r="P35" s="1" t="s">
        <v>424</v>
      </c>
    </row>
    <row r="36" spans="3:16" ht="13.2">
      <c r="C36" s="4"/>
      <c r="D36" s="4" t="s">
        <v>916</v>
      </c>
      <c r="H36" s="1" t="s">
        <v>102</v>
      </c>
      <c r="I36" s="1" t="s">
        <v>1046</v>
      </c>
      <c r="J36" s="1" t="s">
        <v>1046</v>
      </c>
      <c r="M36" s="4" t="s">
        <v>1688</v>
      </c>
      <c r="N36" s="4"/>
      <c r="O36" s="13" t="s">
        <v>1528</v>
      </c>
      <c r="P36" s="1" t="s">
        <v>424</v>
      </c>
    </row>
    <row r="37" spans="3:16" ht="13.2">
      <c r="C37" s="4"/>
      <c r="D37" s="4" t="s">
        <v>917</v>
      </c>
      <c r="H37" s="1" t="s">
        <v>102</v>
      </c>
      <c r="I37" s="1" t="s">
        <v>1046</v>
      </c>
      <c r="J37" s="1" t="s">
        <v>1046</v>
      </c>
      <c r="M37" s="4" t="s">
        <v>1689</v>
      </c>
      <c r="N37" s="4"/>
      <c r="O37" s="13" t="s">
        <v>1528</v>
      </c>
      <c r="P37" s="1" t="s">
        <v>424</v>
      </c>
    </row>
    <row r="38" spans="3:16" ht="13.2">
      <c r="C38" s="4"/>
      <c r="D38" s="4" t="s">
        <v>918</v>
      </c>
      <c r="H38" s="1" t="s">
        <v>102</v>
      </c>
      <c r="I38" s="1" t="s">
        <v>1046</v>
      </c>
      <c r="J38" s="1" t="s">
        <v>1046</v>
      </c>
      <c r="M38" s="4" t="s">
        <v>1690</v>
      </c>
      <c r="N38" s="4"/>
      <c r="O38" s="13" t="s">
        <v>1528</v>
      </c>
      <c r="P38" s="1" t="s">
        <v>424</v>
      </c>
    </row>
    <row r="39" spans="3:16" ht="13.2">
      <c r="C39" s="4"/>
      <c r="D39" s="4" t="s">
        <v>919</v>
      </c>
      <c r="H39" s="1" t="s">
        <v>102</v>
      </c>
      <c r="I39" s="1" t="s">
        <v>1046</v>
      </c>
      <c r="J39" s="1" t="s">
        <v>1046</v>
      </c>
      <c r="M39" s="4" t="s">
        <v>1691</v>
      </c>
      <c r="N39" s="4"/>
      <c r="O39" s="13" t="s">
        <v>1528</v>
      </c>
      <c r="P39" s="1" t="s">
        <v>424</v>
      </c>
    </row>
    <row r="40" spans="3:16" ht="13.2">
      <c r="C40" s="4"/>
      <c r="D40" s="4" t="s">
        <v>920</v>
      </c>
      <c r="H40" s="1" t="s">
        <v>102</v>
      </c>
      <c r="I40" s="1" t="s">
        <v>1046</v>
      </c>
      <c r="J40" s="1" t="s">
        <v>1046</v>
      </c>
      <c r="M40" s="4" t="s">
        <v>1692</v>
      </c>
      <c r="N40" s="4"/>
      <c r="O40" s="13" t="s">
        <v>1528</v>
      </c>
      <c r="P40" s="1" t="s">
        <v>424</v>
      </c>
    </row>
    <row r="41" spans="3:16" ht="13.2">
      <c r="C41" s="4"/>
      <c r="D41" s="4" t="s">
        <v>921</v>
      </c>
      <c r="H41" s="1" t="s">
        <v>102</v>
      </c>
      <c r="I41" s="1" t="s">
        <v>1046</v>
      </c>
      <c r="J41" s="1" t="s">
        <v>1046</v>
      </c>
      <c r="M41" s="4" t="s">
        <v>1693</v>
      </c>
      <c r="N41" s="4"/>
      <c r="O41" s="13" t="s">
        <v>1528</v>
      </c>
      <c r="P41" s="1" t="s">
        <v>424</v>
      </c>
    </row>
    <row r="42" spans="3:16" ht="13.2">
      <c r="C42" s="4"/>
      <c r="D42" s="4" t="s">
        <v>922</v>
      </c>
      <c r="H42" s="1" t="s">
        <v>102</v>
      </c>
      <c r="I42" s="1" t="s">
        <v>1046</v>
      </c>
      <c r="J42" s="1" t="s">
        <v>1046</v>
      </c>
      <c r="M42" s="4" t="s">
        <v>1690</v>
      </c>
      <c r="N42" s="4"/>
      <c r="O42" s="13" t="s">
        <v>1528</v>
      </c>
      <c r="P42" s="1" t="s">
        <v>424</v>
      </c>
    </row>
    <row r="43" spans="3:16" ht="13.2">
      <c r="C43" s="4"/>
      <c r="D43" s="4" t="s">
        <v>923</v>
      </c>
      <c r="H43" s="1" t="s">
        <v>102</v>
      </c>
      <c r="I43" s="1" t="s">
        <v>1046</v>
      </c>
      <c r="J43" s="1" t="s">
        <v>1046</v>
      </c>
      <c r="M43" s="4" t="s">
        <v>1691</v>
      </c>
      <c r="N43" s="4"/>
      <c r="O43" s="13" t="s">
        <v>1528</v>
      </c>
      <c r="P43" s="1" t="s">
        <v>424</v>
      </c>
    </row>
    <row r="44" spans="3:16" ht="13.2">
      <c r="C44" s="4"/>
      <c r="D44" s="4" t="s">
        <v>855</v>
      </c>
      <c r="H44" s="4" t="s">
        <v>1045</v>
      </c>
      <c r="I44" s="1" t="s">
        <v>1046</v>
      </c>
      <c r="J44" s="1" t="s">
        <v>1472</v>
      </c>
      <c r="K44" s="1" t="s">
        <v>1046</v>
      </c>
      <c r="L44" s="1" t="s">
        <v>1046</v>
      </c>
      <c r="M44" s="4" t="s">
        <v>1694</v>
      </c>
      <c r="N44" s="4"/>
      <c r="O44" s="13" t="s">
        <v>1528</v>
      </c>
      <c r="P44" s="1" t="s">
        <v>424</v>
      </c>
    </row>
    <row r="45" spans="3:16" ht="13.2">
      <c r="C45" s="4"/>
      <c r="D45" s="4" t="s">
        <v>856</v>
      </c>
      <c r="H45" s="4" t="s">
        <v>1045</v>
      </c>
      <c r="I45" s="1" t="s">
        <v>1046</v>
      </c>
      <c r="J45" s="1" t="s">
        <v>1472</v>
      </c>
      <c r="K45" s="1" t="s">
        <v>1046</v>
      </c>
      <c r="L45" s="1" t="s">
        <v>1046</v>
      </c>
      <c r="M45" s="4" t="s">
        <v>1695</v>
      </c>
      <c r="N45" s="4"/>
      <c r="O45" s="13" t="s">
        <v>1528</v>
      </c>
      <c r="P45" s="1" t="s">
        <v>424</v>
      </c>
    </row>
    <row r="46" spans="3:16" ht="13.2">
      <c r="C46" s="4"/>
      <c r="D46" s="4" t="s">
        <v>857</v>
      </c>
      <c r="H46" s="4" t="s">
        <v>1045</v>
      </c>
      <c r="I46" s="1" t="s">
        <v>1046</v>
      </c>
      <c r="J46" s="1" t="s">
        <v>1472</v>
      </c>
      <c r="K46" s="1" t="s">
        <v>1046</v>
      </c>
      <c r="L46" s="1" t="s">
        <v>1046</v>
      </c>
      <c r="M46" s="4" t="s">
        <v>1696</v>
      </c>
      <c r="N46" s="4"/>
      <c r="O46" s="13" t="s">
        <v>1528</v>
      </c>
      <c r="P46" s="1" t="s">
        <v>424</v>
      </c>
    </row>
    <row r="47" spans="3:16" ht="13.2">
      <c r="C47" s="4"/>
      <c r="D47" s="4" t="s">
        <v>852</v>
      </c>
      <c r="H47" s="4" t="s">
        <v>1045</v>
      </c>
      <c r="I47" s="1" t="s">
        <v>1046</v>
      </c>
      <c r="J47" s="1" t="s">
        <v>1472</v>
      </c>
      <c r="K47" s="1" t="s">
        <v>1046</v>
      </c>
      <c r="L47" s="1" t="s">
        <v>1046</v>
      </c>
      <c r="M47" s="4" t="s">
        <v>1697</v>
      </c>
      <c r="N47" s="4"/>
      <c r="O47" s="13" t="s">
        <v>1528</v>
      </c>
      <c r="P47" s="1" t="s">
        <v>424</v>
      </c>
    </row>
    <row r="48" spans="3:16" ht="13.2">
      <c r="C48" s="4"/>
      <c r="D48" s="4" t="s">
        <v>858</v>
      </c>
      <c r="H48" s="4" t="s">
        <v>1045</v>
      </c>
      <c r="I48" s="1" t="s">
        <v>1046</v>
      </c>
      <c r="J48" s="1" t="s">
        <v>1472</v>
      </c>
      <c r="K48" s="1" t="s">
        <v>1046</v>
      </c>
      <c r="L48" s="1" t="s">
        <v>1046</v>
      </c>
      <c r="M48" s="4" t="s">
        <v>1698</v>
      </c>
      <c r="N48" s="4"/>
      <c r="O48" s="13" t="s">
        <v>1528</v>
      </c>
      <c r="P48" s="1" t="s">
        <v>424</v>
      </c>
    </row>
    <row r="49" spans="3:16" ht="13.2">
      <c r="C49" s="4"/>
      <c r="D49" s="4" t="s">
        <v>859</v>
      </c>
      <c r="H49" s="4" t="s">
        <v>1045</v>
      </c>
      <c r="I49" s="1" t="s">
        <v>1046</v>
      </c>
      <c r="J49" s="1" t="s">
        <v>1472</v>
      </c>
      <c r="K49" s="1" t="s">
        <v>1046</v>
      </c>
      <c r="L49" s="1" t="s">
        <v>1046</v>
      </c>
      <c r="M49" s="4" t="s">
        <v>1699</v>
      </c>
      <c r="N49" s="4"/>
      <c r="O49" s="13" t="s">
        <v>1528</v>
      </c>
      <c r="P49" s="1" t="s">
        <v>424</v>
      </c>
    </row>
    <row r="50" spans="3:16" ht="13.2">
      <c r="C50" s="4"/>
      <c r="D50" s="4" t="s">
        <v>860</v>
      </c>
      <c r="H50" s="4" t="s">
        <v>1045</v>
      </c>
      <c r="I50" s="1" t="s">
        <v>1046</v>
      </c>
      <c r="J50" s="1" t="s">
        <v>1472</v>
      </c>
      <c r="K50" s="1" t="s">
        <v>1046</v>
      </c>
      <c r="L50" s="1" t="s">
        <v>1046</v>
      </c>
      <c r="M50" s="4" t="s">
        <v>1700</v>
      </c>
      <c r="N50" s="4"/>
      <c r="O50" s="13" t="s">
        <v>1528</v>
      </c>
      <c r="P50" s="1" t="s">
        <v>424</v>
      </c>
    </row>
    <row r="51" spans="3:16" ht="13.2">
      <c r="C51" s="4"/>
      <c r="D51" s="4" t="s">
        <v>861</v>
      </c>
      <c r="H51" s="4" t="s">
        <v>1045</v>
      </c>
      <c r="I51" s="1" t="s">
        <v>1046</v>
      </c>
      <c r="J51" s="1" t="s">
        <v>1472</v>
      </c>
      <c r="K51" s="1" t="s">
        <v>1046</v>
      </c>
      <c r="L51" s="1" t="s">
        <v>1046</v>
      </c>
      <c r="M51" s="4" t="s">
        <v>1701</v>
      </c>
      <c r="N51" s="4"/>
      <c r="O51" s="13" t="s">
        <v>1528</v>
      </c>
      <c r="P51" s="1" t="s">
        <v>424</v>
      </c>
    </row>
    <row r="52" spans="3:16" ht="13.2">
      <c r="C52" s="4"/>
      <c r="D52" s="4" t="s">
        <v>848</v>
      </c>
      <c r="H52" s="4" t="s">
        <v>1045</v>
      </c>
      <c r="I52" s="1" t="s">
        <v>1046</v>
      </c>
      <c r="J52" s="1" t="s">
        <v>1472</v>
      </c>
      <c r="K52" s="1" t="s">
        <v>1046</v>
      </c>
      <c r="L52" s="1" t="s">
        <v>1046</v>
      </c>
      <c r="M52" s="4" t="s">
        <v>1702</v>
      </c>
      <c r="N52" s="4"/>
      <c r="O52" s="13" t="s">
        <v>1528</v>
      </c>
      <c r="P52" s="1" t="s">
        <v>424</v>
      </c>
    </row>
    <row r="53" spans="3:16" ht="13.2">
      <c r="C53" s="4"/>
      <c r="D53" s="4" t="s">
        <v>862</v>
      </c>
      <c r="H53" s="4" t="s">
        <v>1045</v>
      </c>
      <c r="I53" s="1" t="s">
        <v>1046</v>
      </c>
      <c r="J53" s="1" t="s">
        <v>1472</v>
      </c>
      <c r="K53" s="1" t="s">
        <v>1046</v>
      </c>
      <c r="L53" s="1" t="s">
        <v>1046</v>
      </c>
      <c r="M53" s="4" t="s">
        <v>1703</v>
      </c>
      <c r="N53" s="4"/>
      <c r="O53" s="13" t="s">
        <v>1528</v>
      </c>
      <c r="P53" s="1" t="s">
        <v>424</v>
      </c>
    </row>
    <row r="54" spans="3:16" ht="13.2">
      <c r="C54" s="4"/>
      <c r="D54" s="4" t="s">
        <v>991</v>
      </c>
      <c r="H54" s="1" t="s">
        <v>102</v>
      </c>
      <c r="I54" s="4" t="s">
        <v>1704</v>
      </c>
      <c r="J54" s="1" t="s">
        <v>1046</v>
      </c>
      <c r="M54" s="4" t="s">
        <v>1705</v>
      </c>
      <c r="N54" s="4"/>
      <c r="O54" s="13" t="s">
        <v>1528</v>
      </c>
      <c r="P54" s="1" t="s">
        <v>424</v>
      </c>
    </row>
    <row r="55" spans="3:16" ht="13.2">
      <c r="C55" s="4"/>
      <c r="D55" s="4" t="s">
        <v>992</v>
      </c>
      <c r="H55" s="1" t="s">
        <v>102</v>
      </c>
      <c r="I55" s="4" t="s">
        <v>1706</v>
      </c>
      <c r="J55" s="1" t="s">
        <v>1046</v>
      </c>
      <c r="M55" s="4" t="s">
        <v>1707</v>
      </c>
      <c r="N55" s="4"/>
      <c r="O55" s="13" t="s">
        <v>1528</v>
      </c>
      <c r="P55" s="1" t="s">
        <v>424</v>
      </c>
    </row>
    <row r="56" spans="3:16" ht="13.2">
      <c r="C56" s="4"/>
      <c r="D56" s="4" t="s">
        <v>993</v>
      </c>
      <c r="H56" s="1" t="s">
        <v>102</v>
      </c>
      <c r="I56" s="4" t="s">
        <v>1708</v>
      </c>
      <c r="J56" s="1" t="s">
        <v>1046</v>
      </c>
      <c r="M56" s="4" t="s">
        <v>1709</v>
      </c>
      <c r="N56" s="4"/>
      <c r="O56" s="13" t="s">
        <v>1528</v>
      </c>
      <c r="P56" s="1" t="s">
        <v>424</v>
      </c>
    </row>
    <row r="57" spans="3:16" ht="13.2">
      <c r="C57" s="4"/>
      <c r="D57" s="4" t="s">
        <v>994</v>
      </c>
      <c r="H57" s="1" t="s">
        <v>102</v>
      </c>
      <c r="I57" s="4" t="s">
        <v>1710</v>
      </c>
      <c r="J57" s="1" t="s">
        <v>1046</v>
      </c>
      <c r="M57" s="4" t="s">
        <v>1711</v>
      </c>
      <c r="N57" s="4"/>
      <c r="O57" s="13" t="s">
        <v>1528</v>
      </c>
      <c r="P57" s="1" t="s">
        <v>424</v>
      </c>
    </row>
    <row r="58" spans="3:16" ht="15.75" customHeight="1">
      <c r="C58" s="4"/>
      <c r="D58" s="4" t="s">
        <v>995</v>
      </c>
      <c r="H58" s="4" t="s">
        <v>1045</v>
      </c>
      <c r="I58" s="1" t="s">
        <v>1046</v>
      </c>
      <c r="J58" s="3" t="s">
        <v>1712</v>
      </c>
      <c r="K58" s="1" t="s">
        <v>1046</v>
      </c>
      <c r="L58" s="1" t="s">
        <v>1046</v>
      </c>
      <c r="M58" s="4" t="s">
        <v>1713</v>
      </c>
      <c r="N58" s="4"/>
      <c r="O58" s="13" t="s">
        <v>1528</v>
      </c>
      <c r="P58" s="1" t="s">
        <v>424</v>
      </c>
    </row>
    <row r="59" spans="3:16" ht="13.2">
      <c r="C59" s="4"/>
      <c r="D59" s="4" t="s">
        <v>996</v>
      </c>
      <c r="H59" s="1" t="s">
        <v>102</v>
      </c>
      <c r="I59" s="4" t="s">
        <v>1714</v>
      </c>
      <c r="J59" s="1" t="s">
        <v>1046</v>
      </c>
      <c r="M59" s="4" t="s">
        <v>1714</v>
      </c>
      <c r="N59" s="4"/>
      <c r="O59" s="13" t="s">
        <v>1528</v>
      </c>
      <c r="P59" s="1" t="s">
        <v>424</v>
      </c>
    </row>
    <row r="60" spans="3:16" ht="13.2">
      <c r="C60" s="4"/>
      <c r="D60" s="4" t="s">
        <v>997</v>
      </c>
      <c r="H60" s="1" t="s">
        <v>102</v>
      </c>
      <c r="I60" s="4" t="s">
        <v>1715</v>
      </c>
      <c r="J60" s="1" t="s">
        <v>1046</v>
      </c>
      <c r="M60" s="4" t="s">
        <v>1716</v>
      </c>
      <c r="N60" s="4"/>
      <c r="O60" s="13" t="s">
        <v>1528</v>
      </c>
      <c r="P60" s="1" t="s">
        <v>424</v>
      </c>
    </row>
    <row r="61" spans="3:16" ht="13.2">
      <c r="C61" s="4"/>
      <c r="D61" s="4" t="s">
        <v>998</v>
      </c>
      <c r="H61" s="1" t="s">
        <v>102</v>
      </c>
      <c r="I61" s="4" t="s">
        <v>1717</v>
      </c>
      <c r="J61" s="1" t="s">
        <v>1046</v>
      </c>
      <c r="M61" s="4" t="s">
        <v>1717</v>
      </c>
      <c r="N61" s="4"/>
      <c r="O61" s="13" t="s">
        <v>1528</v>
      </c>
      <c r="P61" s="1" t="s">
        <v>424</v>
      </c>
    </row>
    <row r="62" spans="3:16" ht="13.2">
      <c r="C62" s="4"/>
      <c r="D62" s="4" t="s">
        <v>999</v>
      </c>
      <c r="H62" s="1" t="s">
        <v>102</v>
      </c>
      <c r="I62" s="4" t="s">
        <v>1718</v>
      </c>
      <c r="J62" s="1" t="s">
        <v>1046</v>
      </c>
      <c r="M62" s="4" t="s">
        <v>1718</v>
      </c>
      <c r="N62" s="4"/>
      <c r="O62" s="13" t="s">
        <v>1528</v>
      </c>
      <c r="P62" s="1" t="s">
        <v>424</v>
      </c>
    </row>
    <row r="63" spans="3:16" ht="13.2">
      <c r="C63" s="4"/>
      <c r="D63" s="4" t="s">
        <v>898</v>
      </c>
      <c r="H63" s="1" t="s">
        <v>102</v>
      </c>
      <c r="I63" s="4" t="s">
        <v>1637</v>
      </c>
      <c r="J63" s="1" t="s">
        <v>1046</v>
      </c>
      <c r="M63" s="4" t="s">
        <v>1719</v>
      </c>
      <c r="N63" s="4"/>
      <c r="O63" s="13" t="s">
        <v>1528</v>
      </c>
      <c r="P63" s="1" t="s">
        <v>424</v>
      </c>
    </row>
    <row r="64" spans="3:16" ht="13.2">
      <c r="C64" s="4"/>
      <c r="D64" s="4" t="s">
        <v>899</v>
      </c>
      <c r="H64" s="1" t="s">
        <v>102</v>
      </c>
      <c r="I64" s="4" t="s">
        <v>1637</v>
      </c>
      <c r="J64" s="1" t="s">
        <v>1046</v>
      </c>
      <c r="M64" s="4" t="s">
        <v>1720</v>
      </c>
      <c r="N64" s="4"/>
      <c r="O64" s="13" t="s">
        <v>1528</v>
      </c>
      <c r="P64" s="1" t="s">
        <v>424</v>
      </c>
    </row>
    <row r="65" spans="3:16" ht="13.2">
      <c r="C65" s="4"/>
      <c r="D65" s="4" t="s">
        <v>884</v>
      </c>
      <c r="H65" s="1" t="s">
        <v>102</v>
      </c>
      <c r="I65" s="4" t="s">
        <v>1667</v>
      </c>
      <c r="J65" s="1" t="s">
        <v>1046</v>
      </c>
      <c r="M65" s="4" t="s">
        <v>1721</v>
      </c>
      <c r="N65" s="4"/>
      <c r="O65" s="13" t="s">
        <v>1528</v>
      </c>
      <c r="P65" s="1" t="s">
        <v>424</v>
      </c>
    </row>
    <row r="66" spans="3:16" ht="13.2">
      <c r="C66" s="4"/>
      <c r="D66" s="4" t="s">
        <v>890</v>
      </c>
      <c r="H66" s="4" t="s">
        <v>1045</v>
      </c>
      <c r="I66" s="1" t="s">
        <v>1046</v>
      </c>
      <c r="J66" s="1" t="s">
        <v>1472</v>
      </c>
      <c r="K66" s="1" t="s">
        <v>1046</v>
      </c>
      <c r="L66" s="1" t="s">
        <v>1046</v>
      </c>
      <c r="M66" s="4" t="s">
        <v>1722</v>
      </c>
      <c r="N66" s="4"/>
      <c r="O66" s="13" t="s">
        <v>1528</v>
      </c>
      <c r="P66" s="1" t="s">
        <v>424</v>
      </c>
    </row>
    <row r="67" spans="3:16" ht="13.2">
      <c r="C67" s="4"/>
      <c r="D67" s="4" t="s">
        <v>886</v>
      </c>
      <c r="H67" s="4" t="s">
        <v>1045</v>
      </c>
      <c r="I67" s="1" t="s">
        <v>1046</v>
      </c>
      <c r="J67" s="1" t="s">
        <v>1712</v>
      </c>
      <c r="K67" s="1" t="s">
        <v>1046</v>
      </c>
      <c r="L67" s="1" t="s">
        <v>1046</v>
      </c>
      <c r="M67" s="4" t="s">
        <v>1723</v>
      </c>
      <c r="N67" s="4"/>
      <c r="O67" s="13" t="s">
        <v>1528</v>
      </c>
      <c r="P67" s="1" t="s">
        <v>424</v>
      </c>
    </row>
    <row r="68" spans="3:16" ht="13.2">
      <c r="C68" s="4"/>
      <c r="D68" s="4" t="s">
        <v>465</v>
      </c>
      <c r="H68" s="1" t="s">
        <v>102</v>
      </c>
      <c r="I68" s="4" t="s">
        <v>1136</v>
      </c>
      <c r="J68" s="1" t="s">
        <v>1046</v>
      </c>
      <c r="M68" s="4" t="s">
        <v>462</v>
      </c>
      <c r="N68" s="4"/>
      <c r="O68" s="13" t="s">
        <v>1528</v>
      </c>
      <c r="P68" s="1" t="s">
        <v>424</v>
      </c>
    </row>
    <row r="69" spans="3:16" ht="13.2">
      <c r="C69" s="4"/>
      <c r="D69" s="4" t="s">
        <v>504</v>
      </c>
      <c r="H69" s="1" t="s">
        <v>102</v>
      </c>
      <c r="I69" s="4" t="s">
        <v>1407</v>
      </c>
      <c r="J69" s="1" t="s">
        <v>1046</v>
      </c>
      <c r="M69" s="4" t="s">
        <v>1724</v>
      </c>
      <c r="N69" s="4"/>
      <c r="O69" s="13" t="s">
        <v>1528</v>
      </c>
      <c r="P69" s="1" t="s">
        <v>424</v>
      </c>
    </row>
    <row r="70" spans="3:16" ht="13.2">
      <c r="C70" s="4"/>
      <c r="D70" s="4" t="s">
        <v>506</v>
      </c>
      <c r="H70" s="1" t="s">
        <v>102</v>
      </c>
      <c r="I70" s="4" t="s">
        <v>1407</v>
      </c>
      <c r="J70" s="1" t="s">
        <v>1046</v>
      </c>
      <c r="M70" s="4" t="s">
        <v>1725</v>
      </c>
      <c r="N70" s="4"/>
      <c r="O70" s="13" t="s">
        <v>1528</v>
      </c>
      <c r="P70" s="1" t="s">
        <v>424</v>
      </c>
    </row>
    <row r="71" spans="3:16" ht="13.2">
      <c r="C71" s="4"/>
      <c r="D71" s="4" t="s">
        <v>495</v>
      </c>
      <c r="H71" s="1" t="s">
        <v>102</v>
      </c>
      <c r="I71" s="4" t="s">
        <v>1407</v>
      </c>
      <c r="J71" s="1" t="s">
        <v>1046</v>
      </c>
      <c r="M71" s="4" t="s">
        <v>492</v>
      </c>
      <c r="N71" s="4"/>
      <c r="O71" s="13" t="s">
        <v>1528</v>
      </c>
      <c r="P71" s="1" t="s">
        <v>424</v>
      </c>
    </row>
    <row r="72" spans="3:16" ht="13.2">
      <c r="C72" s="4"/>
      <c r="D72" s="4" t="s">
        <v>611</v>
      </c>
      <c r="H72" s="1" t="s">
        <v>102</v>
      </c>
      <c r="I72" s="1" t="s">
        <v>1046</v>
      </c>
      <c r="J72" s="1" t="s">
        <v>1046</v>
      </c>
      <c r="M72" s="4" t="s">
        <v>1726</v>
      </c>
      <c r="N72" s="4"/>
      <c r="O72" s="13" t="s">
        <v>1528</v>
      </c>
      <c r="P72" s="1" t="s">
        <v>424</v>
      </c>
    </row>
    <row r="73" spans="3:16" ht="13.2">
      <c r="C73" s="4"/>
      <c r="D73" s="4" t="s">
        <v>603</v>
      </c>
      <c r="H73" s="1" t="s">
        <v>102</v>
      </c>
      <c r="I73" s="4" t="s">
        <v>1407</v>
      </c>
      <c r="J73" s="1" t="s">
        <v>1046</v>
      </c>
      <c r="M73" s="4" t="s">
        <v>1727</v>
      </c>
      <c r="N73" s="4"/>
      <c r="O73" s="13" t="s">
        <v>1528</v>
      </c>
      <c r="P73" s="1" t="s">
        <v>424</v>
      </c>
    </row>
    <row r="74" spans="3:16" ht="13.2">
      <c r="C74" s="4"/>
      <c r="D74" s="4" t="s">
        <v>520</v>
      </c>
      <c r="H74" s="1" t="s">
        <v>102</v>
      </c>
      <c r="I74" s="1" t="s">
        <v>1046</v>
      </c>
      <c r="J74" s="1" t="s">
        <v>1046</v>
      </c>
      <c r="M74" s="4" t="s">
        <v>1728</v>
      </c>
      <c r="N74" s="4"/>
      <c r="O74" s="13" t="s">
        <v>1528</v>
      </c>
      <c r="P74" s="1" t="s">
        <v>424</v>
      </c>
    </row>
    <row r="75" spans="3:16" ht="13.2">
      <c r="C75" s="4"/>
      <c r="D75" s="4" t="s">
        <v>509</v>
      </c>
      <c r="H75" s="1" t="s">
        <v>102</v>
      </c>
      <c r="I75" s="4" t="s">
        <v>1729</v>
      </c>
      <c r="J75" s="1" t="s">
        <v>1046</v>
      </c>
      <c r="M75" s="4" t="s">
        <v>1730</v>
      </c>
      <c r="N75" s="4"/>
      <c r="O75" s="13" t="s">
        <v>1528</v>
      </c>
      <c r="P75" s="1" t="s">
        <v>424</v>
      </c>
    </row>
    <row r="76" spans="3:16" ht="15.75" customHeight="1">
      <c r="C76" s="4"/>
      <c r="D76" s="4" t="s">
        <v>1040</v>
      </c>
      <c r="H76" s="4" t="s">
        <v>98</v>
      </c>
      <c r="I76" s="1" t="s">
        <v>1046</v>
      </c>
      <c r="J76" s="3"/>
      <c r="K76" s="1" t="s">
        <v>1046</v>
      </c>
      <c r="L76" s="1" t="s">
        <v>1046</v>
      </c>
      <c r="M76" s="4" t="s">
        <v>1731</v>
      </c>
      <c r="N76" s="4"/>
      <c r="O76" s="13" t="s">
        <v>1528</v>
      </c>
      <c r="P76" s="1" t="s">
        <v>424</v>
      </c>
    </row>
    <row r="77" spans="3:16" ht="15.75" customHeight="1">
      <c r="C77" s="4"/>
      <c r="D77" s="4" t="s">
        <v>1042</v>
      </c>
      <c r="H77" s="4" t="s">
        <v>98</v>
      </c>
      <c r="I77" s="1" t="s">
        <v>1046</v>
      </c>
      <c r="J77" s="3"/>
      <c r="K77" s="1" t="s">
        <v>1046</v>
      </c>
      <c r="L77" s="1" t="s">
        <v>1046</v>
      </c>
      <c r="M77" s="4" t="s">
        <v>1732</v>
      </c>
      <c r="N77" s="4"/>
      <c r="O77" s="13" t="s">
        <v>1528</v>
      </c>
      <c r="P77" s="1" t="s">
        <v>424</v>
      </c>
    </row>
    <row r="78" spans="3:16" ht="15.75" customHeight="1">
      <c r="C78" s="4"/>
      <c r="D78" s="4" t="s">
        <v>1043</v>
      </c>
      <c r="H78" s="4" t="s">
        <v>98</v>
      </c>
      <c r="I78" s="1" t="s">
        <v>1046</v>
      </c>
      <c r="J78" s="3"/>
      <c r="K78" s="1" t="s">
        <v>1046</v>
      </c>
      <c r="L78" s="1" t="s">
        <v>1046</v>
      </c>
      <c r="M78" s="4" t="s">
        <v>1733</v>
      </c>
      <c r="N78" s="4"/>
      <c r="O78" s="13" t="s">
        <v>1528</v>
      </c>
      <c r="P78" s="1" t="s">
        <v>424</v>
      </c>
    </row>
    <row r="79" spans="3:16" ht="13.2">
      <c r="C79" s="4"/>
      <c r="D79" s="4" t="s">
        <v>756</v>
      </c>
      <c r="H79" s="1" t="s">
        <v>102</v>
      </c>
      <c r="I79" s="1" t="s">
        <v>1046</v>
      </c>
      <c r="J79" s="1" t="s">
        <v>1046</v>
      </c>
      <c r="M79" s="4" t="s">
        <v>1734</v>
      </c>
      <c r="N79" s="4"/>
      <c r="O79" s="13" t="s">
        <v>1528</v>
      </c>
      <c r="P79" s="1" t="s">
        <v>424</v>
      </c>
    </row>
    <row r="80" spans="3:16" ht="13.2">
      <c r="C80" s="4"/>
      <c r="D80" s="4" t="s">
        <v>757</v>
      </c>
      <c r="H80" s="1" t="s">
        <v>102</v>
      </c>
      <c r="I80" s="1" t="s">
        <v>1046</v>
      </c>
      <c r="J80" s="1" t="s">
        <v>1046</v>
      </c>
      <c r="M80" s="4" t="s">
        <v>1735</v>
      </c>
      <c r="N80" s="4"/>
      <c r="O80" s="13" t="s">
        <v>1528</v>
      </c>
      <c r="P80" s="1" t="s">
        <v>424</v>
      </c>
    </row>
    <row r="81" spans="3:16" ht="13.2">
      <c r="C81" s="4"/>
      <c r="D81" s="4" t="s">
        <v>701</v>
      </c>
      <c r="H81" s="1" t="s">
        <v>102</v>
      </c>
      <c r="I81" s="4" t="s">
        <v>1736</v>
      </c>
      <c r="J81" s="1" t="s">
        <v>1046</v>
      </c>
      <c r="M81" s="4" t="s">
        <v>1737</v>
      </c>
      <c r="N81" s="4"/>
      <c r="O81" s="13" t="s">
        <v>1528</v>
      </c>
      <c r="P81" s="1" t="s">
        <v>424</v>
      </c>
    </row>
    <row r="82" spans="3:16" ht="13.2">
      <c r="C82" s="4"/>
      <c r="D82" s="4" t="s">
        <v>705</v>
      </c>
      <c r="H82" s="1" t="s">
        <v>102</v>
      </c>
      <c r="I82" s="4" t="s">
        <v>1641</v>
      </c>
      <c r="J82" s="1" t="s">
        <v>1046</v>
      </c>
      <c r="M82" s="4" t="s">
        <v>1738</v>
      </c>
      <c r="N82" s="4"/>
      <c r="O82" s="13" t="s">
        <v>1528</v>
      </c>
      <c r="P82" s="1" t="s">
        <v>424</v>
      </c>
    </row>
    <row r="83" spans="3:16" ht="13.2">
      <c r="C83" s="4"/>
      <c r="D83" s="4" t="s">
        <v>696</v>
      </c>
      <c r="H83" s="1" t="s">
        <v>102</v>
      </c>
      <c r="I83" s="4" t="s">
        <v>1641</v>
      </c>
      <c r="J83" s="1" t="s">
        <v>1046</v>
      </c>
      <c r="M83" s="4" t="s">
        <v>1739</v>
      </c>
      <c r="N83" s="4"/>
      <c r="O83" s="13" t="s">
        <v>1528</v>
      </c>
      <c r="P83" s="1" t="s">
        <v>424</v>
      </c>
    </row>
    <row r="84" spans="3:16" ht="13.2">
      <c r="C84" s="4"/>
      <c r="D84" s="4" t="s">
        <v>707</v>
      </c>
      <c r="H84" s="1" t="s">
        <v>102</v>
      </c>
      <c r="I84" s="4" t="s">
        <v>1740</v>
      </c>
      <c r="J84" s="1" t="s">
        <v>1046</v>
      </c>
      <c r="M84" s="4" t="s">
        <v>1741</v>
      </c>
      <c r="N84" s="4"/>
      <c r="O84" s="13" t="s">
        <v>1528</v>
      </c>
      <c r="P84" s="1" t="s">
        <v>424</v>
      </c>
    </row>
    <row r="85" spans="3:16" ht="13.2">
      <c r="C85" s="4"/>
      <c r="D85" s="4" t="s">
        <v>708</v>
      </c>
      <c r="H85" s="1" t="s">
        <v>102</v>
      </c>
      <c r="I85" s="4" t="s">
        <v>1740</v>
      </c>
      <c r="J85" s="1" t="s">
        <v>1046</v>
      </c>
      <c r="M85" s="4" t="s">
        <v>1742</v>
      </c>
      <c r="N85" s="4"/>
      <c r="O85" s="13" t="s">
        <v>1528</v>
      </c>
      <c r="P85" s="1" t="s">
        <v>424</v>
      </c>
    </row>
    <row r="86" spans="3:16" ht="13.2">
      <c r="C86" s="4"/>
      <c r="D86" s="4" t="s">
        <v>723</v>
      </c>
      <c r="H86" s="1" t="s">
        <v>102</v>
      </c>
      <c r="I86" s="4" t="s">
        <v>1740</v>
      </c>
      <c r="J86" s="1" t="s">
        <v>1046</v>
      </c>
      <c r="M86" s="4" t="s">
        <v>1743</v>
      </c>
      <c r="N86" s="4"/>
      <c r="O86" s="13" t="s">
        <v>1528</v>
      </c>
      <c r="P86" s="1" t="s">
        <v>424</v>
      </c>
    </row>
    <row r="87" spans="3:16" ht="13.2">
      <c r="C87" s="4"/>
      <c r="D87" s="4" t="s">
        <v>724</v>
      </c>
      <c r="H87" s="1" t="s">
        <v>102</v>
      </c>
      <c r="I87" s="4" t="s">
        <v>1744</v>
      </c>
      <c r="J87" s="1" t="s">
        <v>1046</v>
      </c>
      <c r="M87" s="4" t="s">
        <v>1745</v>
      </c>
      <c r="N87" s="4"/>
      <c r="O87" s="13" t="s">
        <v>1528</v>
      </c>
      <c r="P87" s="1" t="s">
        <v>424</v>
      </c>
    </row>
    <row r="88" spans="3:16" ht="13.2">
      <c r="C88" s="4"/>
      <c r="D88" s="4" t="s">
        <v>725</v>
      </c>
      <c r="H88" s="1" t="s">
        <v>102</v>
      </c>
      <c r="I88" s="4" t="s">
        <v>1744</v>
      </c>
      <c r="J88" s="1" t="s">
        <v>1046</v>
      </c>
      <c r="M88" s="4" t="s">
        <v>1746</v>
      </c>
      <c r="N88" s="4"/>
      <c r="O88" s="13" t="s">
        <v>1528</v>
      </c>
      <c r="P88" s="1" t="s">
        <v>424</v>
      </c>
    </row>
    <row r="89" spans="3:16" ht="13.2">
      <c r="C89" s="4"/>
      <c r="D89" s="4" t="s">
        <v>713</v>
      </c>
      <c r="H89" s="1" t="s">
        <v>102</v>
      </c>
      <c r="I89" s="4" t="s">
        <v>1747</v>
      </c>
      <c r="J89" s="1" t="s">
        <v>1046</v>
      </c>
      <c r="M89" s="4" t="s">
        <v>1748</v>
      </c>
      <c r="N89" s="4"/>
      <c r="O89" s="13" t="s">
        <v>1528</v>
      </c>
      <c r="P89" s="1" t="s">
        <v>424</v>
      </c>
    </row>
    <row r="90" spans="3:16" ht="13.2">
      <c r="C90" s="4"/>
      <c r="D90" s="4" t="s">
        <v>706</v>
      </c>
      <c r="H90" s="1" t="s">
        <v>102</v>
      </c>
      <c r="I90" s="4" t="s">
        <v>1749</v>
      </c>
      <c r="J90" s="1" t="s">
        <v>1046</v>
      </c>
      <c r="M90" s="4" t="s">
        <v>1750</v>
      </c>
      <c r="N90" s="4"/>
      <c r="O90" s="13" t="s">
        <v>1528</v>
      </c>
      <c r="P90" s="1" t="s">
        <v>424</v>
      </c>
    </row>
    <row r="91" spans="3:16" ht="13.2">
      <c r="C91" s="4"/>
      <c r="D91" s="4" t="s">
        <v>709</v>
      </c>
      <c r="H91" s="1" t="s">
        <v>102</v>
      </c>
      <c r="I91" s="4" t="s">
        <v>1751</v>
      </c>
      <c r="J91" s="1" t="s">
        <v>1046</v>
      </c>
      <c r="M91" s="4" t="s">
        <v>1752</v>
      </c>
      <c r="N91" s="4"/>
      <c r="O91" s="13" t="s">
        <v>1528</v>
      </c>
      <c r="P91" s="1" t="s">
        <v>424</v>
      </c>
    </row>
    <row r="92" spans="3:16" ht="13.2">
      <c r="C92" s="4"/>
      <c r="D92" s="4" t="s">
        <v>720</v>
      </c>
      <c r="H92" s="1" t="s">
        <v>1045</v>
      </c>
      <c r="I92" s="1" t="s">
        <v>1046</v>
      </c>
      <c r="J92" s="1" t="s">
        <v>1472</v>
      </c>
      <c r="K92" s="1" t="s">
        <v>1046</v>
      </c>
      <c r="L92" s="1" t="s">
        <v>1046</v>
      </c>
      <c r="M92" s="4" t="s">
        <v>1753</v>
      </c>
      <c r="N92" s="4"/>
      <c r="O92" s="13" t="s">
        <v>1528</v>
      </c>
      <c r="P92" s="1" t="s">
        <v>424</v>
      </c>
    </row>
    <row r="93" spans="3:16" ht="13.2">
      <c r="C93" s="4"/>
      <c r="D93" s="4" t="s">
        <v>710</v>
      </c>
      <c r="H93" s="1" t="s">
        <v>102</v>
      </c>
      <c r="I93" s="4" t="s">
        <v>1754</v>
      </c>
      <c r="J93" s="1" t="s">
        <v>1046</v>
      </c>
      <c r="M93" s="4" t="s">
        <v>1755</v>
      </c>
      <c r="N93" s="4"/>
      <c r="O93" s="13" t="s">
        <v>1528</v>
      </c>
      <c r="P93" s="1" t="s">
        <v>424</v>
      </c>
    </row>
    <row r="94" spans="3:16" ht="13.2">
      <c r="C94" s="4"/>
      <c r="D94" s="4" t="s">
        <v>715</v>
      </c>
      <c r="H94" s="1" t="s">
        <v>102</v>
      </c>
      <c r="I94" s="1" t="s">
        <v>1046</v>
      </c>
      <c r="J94" s="1" t="s">
        <v>1046</v>
      </c>
      <c r="M94" s="4" t="s">
        <v>1756</v>
      </c>
      <c r="N94" s="4"/>
      <c r="O94" s="13" t="s">
        <v>1528</v>
      </c>
      <c r="P94" s="1" t="s">
        <v>424</v>
      </c>
    </row>
    <row r="95" spans="3:16" ht="13.2">
      <c r="C95" s="4"/>
      <c r="D95" s="4" t="s">
        <v>716</v>
      </c>
      <c r="H95" s="1" t="s">
        <v>102</v>
      </c>
      <c r="I95" s="1" t="s">
        <v>1046</v>
      </c>
      <c r="J95" s="1" t="s">
        <v>1046</v>
      </c>
      <c r="M95" s="4" t="s">
        <v>1757</v>
      </c>
      <c r="N95" s="4"/>
      <c r="O95" s="13" t="s">
        <v>1528</v>
      </c>
      <c r="P95" s="1" t="s">
        <v>424</v>
      </c>
    </row>
    <row r="96" spans="3:16" ht="13.2">
      <c r="C96" s="4"/>
      <c r="D96" s="4" t="s">
        <v>717</v>
      </c>
      <c r="H96" s="1" t="s">
        <v>102</v>
      </c>
      <c r="I96" s="1" t="s">
        <v>1046</v>
      </c>
      <c r="J96" s="1" t="s">
        <v>1046</v>
      </c>
      <c r="M96" s="4" t="s">
        <v>1758</v>
      </c>
      <c r="N96" s="4"/>
      <c r="O96" s="13" t="s">
        <v>1528</v>
      </c>
      <c r="P96" s="1" t="s">
        <v>424</v>
      </c>
    </row>
    <row r="97" spans="3:16" ht="13.2">
      <c r="C97" s="4"/>
      <c r="D97" s="4" t="s">
        <v>635</v>
      </c>
      <c r="H97" s="1" t="s">
        <v>102</v>
      </c>
      <c r="I97" s="4" t="s">
        <v>1611</v>
      </c>
      <c r="J97" s="1" t="s">
        <v>1046</v>
      </c>
      <c r="M97" s="4" t="s">
        <v>1759</v>
      </c>
      <c r="N97" s="4"/>
      <c r="O97" s="13" t="s">
        <v>1528</v>
      </c>
      <c r="P97" s="1" t="s">
        <v>424</v>
      </c>
    </row>
    <row r="98" spans="3:16" ht="13.2">
      <c r="C98" s="4"/>
      <c r="D98" s="4" t="s">
        <v>628</v>
      </c>
      <c r="H98" s="1" t="s">
        <v>102</v>
      </c>
      <c r="I98" s="4" t="s">
        <v>1639</v>
      </c>
      <c r="J98" s="1" t="s">
        <v>1046</v>
      </c>
      <c r="M98" s="4" t="s">
        <v>1760</v>
      </c>
      <c r="N98" s="4"/>
      <c r="O98" s="13" t="s">
        <v>1528</v>
      </c>
      <c r="P98" s="1" t="s">
        <v>424</v>
      </c>
    </row>
    <row r="99" spans="3:16" ht="13.2">
      <c r="C99" s="4"/>
      <c r="D99" s="4" t="s">
        <v>682</v>
      </c>
      <c r="H99" s="1" t="s">
        <v>102</v>
      </c>
      <c r="I99" s="4" t="s">
        <v>1611</v>
      </c>
      <c r="J99" s="1" t="s">
        <v>1046</v>
      </c>
      <c r="M99" s="4" t="s">
        <v>1761</v>
      </c>
      <c r="N99" s="4"/>
      <c r="O99" s="13" t="s">
        <v>1528</v>
      </c>
      <c r="P99" s="1" t="s">
        <v>424</v>
      </c>
    </row>
    <row r="100" spans="3:16" ht="13.2">
      <c r="C100" s="4"/>
      <c r="D100" s="4" t="s">
        <v>685</v>
      </c>
      <c r="H100" s="1" t="s">
        <v>102</v>
      </c>
      <c r="I100" s="4" t="s">
        <v>1611</v>
      </c>
      <c r="J100" s="1" t="s">
        <v>1046</v>
      </c>
      <c r="M100" s="4" t="s">
        <v>1762</v>
      </c>
      <c r="N100" s="4"/>
      <c r="O100" s="13" t="s">
        <v>1528</v>
      </c>
      <c r="P100" s="1" t="s">
        <v>424</v>
      </c>
    </row>
    <row r="101" spans="3:16" ht="13.2">
      <c r="C101" s="4"/>
      <c r="D101" s="4" t="s">
        <v>648</v>
      </c>
      <c r="H101" s="1" t="s">
        <v>102</v>
      </c>
      <c r="I101" s="4" t="s">
        <v>1611</v>
      </c>
      <c r="J101" s="1" t="s">
        <v>1046</v>
      </c>
      <c r="M101" s="4" t="s">
        <v>1763</v>
      </c>
      <c r="N101" s="4"/>
      <c r="O101" s="13" t="s">
        <v>1528</v>
      </c>
      <c r="P101" s="1" t="s">
        <v>424</v>
      </c>
    </row>
    <row r="102" spans="3:16" ht="13.2">
      <c r="C102" s="4"/>
      <c r="D102" s="4" t="s">
        <v>952</v>
      </c>
      <c r="H102" s="1" t="s">
        <v>1045</v>
      </c>
      <c r="I102" s="1" t="s">
        <v>1046</v>
      </c>
      <c r="J102" s="1" t="s">
        <v>1764</v>
      </c>
      <c r="K102" s="1" t="s">
        <v>1046</v>
      </c>
      <c r="L102" s="1" t="s">
        <v>1046</v>
      </c>
      <c r="M102" s="4" t="s">
        <v>1765</v>
      </c>
      <c r="N102" s="4"/>
      <c r="O102" s="13" t="s">
        <v>1528</v>
      </c>
      <c r="P102" s="1" t="s">
        <v>424</v>
      </c>
    </row>
    <row r="103" spans="3:16" ht="13.2">
      <c r="C103" s="4"/>
      <c r="D103" s="4" t="s">
        <v>953</v>
      </c>
      <c r="H103" s="1" t="s">
        <v>1045</v>
      </c>
      <c r="I103" s="1" t="s">
        <v>1046</v>
      </c>
      <c r="J103" s="1" t="s">
        <v>1764</v>
      </c>
      <c r="K103" s="1" t="s">
        <v>1046</v>
      </c>
      <c r="L103" s="1" t="s">
        <v>1046</v>
      </c>
      <c r="M103" s="4" t="s">
        <v>1766</v>
      </c>
      <c r="N103" s="4"/>
      <c r="O103" s="13" t="s">
        <v>1528</v>
      </c>
      <c r="P103" s="1" t="s">
        <v>424</v>
      </c>
    </row>
    <row r="104" spans="3:16" ht="13.2">
      <c r="C104" s="4"/>
      <c r="D104" s="4" t="s">
        <v>954</v>
      </c>
      <c r="H104" s="1" t="s">
        <v>1045</v>
      </c>
      <c r="I104" s="1" t="s">
        <v>1046</v>
      </c>
      <c r="J104" s="1" t="s">
        <v>1764</v>
      </c>
      <c r="K104" s="1" t="s">
        <v>1046</v>
      </c>
      <c r="L104" s="1" t="s">
        <v>1046</v>
      </c>
      <c r="M104" s="4" t="s">
        <v>1767</v>
      </c>
      <c r="N104" s="4"/>
      <c r="O104" s="13" t="s">
        <v>1528</v>
      </c>
      <c r="P104" s="1" t="s">
        <v>424</v>
      </c>
    </row>
    <row r="105" spans="3:16" ht="13.2">
      <c r="C105" s="4"/>
      <c r="D105" s="4" t="s">
        <v>955</v>
      </c>
      <c r="H105" s="1" t="s">
        <v>1045</v>
      </c>
      <c r="I105" s="1" t="s">
        <v>1046</v>
      </c>
      <c r="J105" s="1" t="s">
        <v>1764</v>
      </c>
      <c r="K105" s="1" t="s">
        <v>1046</v>
      </c>
      <c r="L105" s="1" t="s">
        <v>1046</v>
      </c>
      <c r="M105" s="4" t="s">
        <v>1768</v>
      </c>
      <c r="N105" s="4"/>
      <c r="O105" s="13" t="s">
        <v>1528</v>
      </c>
      <c r="P105" s="1" t="s">
        <v>424</v>
      </c>
    </row>
    <row r="106" spans="3:16" ht="13.2">
      <c r="C106" s="4"/>
      <c r="D106" s="4" t="s">
        <v>956</v>
      </c>
      <c r="H106" s="1" t="s">
        <v>1045</v>
      </c>
      <c r="I106" s="1" t="s">
        <v>1046</v>
      </c>
      <c r="J106" s="1" t="s">
        <v>1764</v>
      </c>
      <c r="K106" s="1" t="s">
        <v>1046</v>
      </c>
      <c r="L106" s="1" t="s">
        <v>1046</v>
      </c>
      <c r="M106" s="4" t="s">
        <v>1769</v>
      </c>
      <c r="N106" s="4"/>
      <c r="O106" s="13" t="s">
        <v>1528</v>
      </c>
      <c r="P106" s="1" t="s">
        <v>424</v>
      </c>
    </row>
    <row r="107" spans="3:16" ht="13.2">
      <c r="C107" s="4"/>
      <c r="D107" s="4" t="s">
        <v>957</v>
      </c>
      <c r="H107" s="1" t="s">
        <v>1045</v>
      </c>
      <c r="I107" s="1" t="s">
        <v>1046</v>
      </c>
      <c r="J107" s="1" t="s">
        <v>1764</v>
      </c>
      <c r="K107" s="1" t="s">
        <v>1046</v>
      </c>
      <c r="L107" s="1" t="s">
        <v>1046</v>
      </c>
      <c r="M107" s="4" t="s">
        <v>1770</v>
      </c>
      <c r="N107" s="4"/>
      <c r="O107" s="13" t="s">
        <v>1528</v>
      </c>
      <c r="P107" s="1" t="s">
        <v>424</v>
      </c>
    </row>
    <row r="108" spans="3:16" ht="13.2">
      <c r="C108" s="4"/>
      <c r="D108" s="4" t="s">
        <v>943</v>
      </c>
      <c r="H108" s="1" t="s">
        <v>1045</v>
      </c>
      <c r="I108" s="1" t="s">
        <v>1046</v>
      </c>
      <c r="J108" s="1" t="s">
        <v>1771</v>
      </c>
      <c r="K108" s="1" t="s">
        <v>1046</v>
      </c>
      <c r="L108" s="1" t="s">
        <v>1046</v>
      </c>
      <c r="M108" s="4" t="s">
        <v>1772</v>
      </c>
      <c r="N108" s="4"/>
      <c r="O108" s="13" t="s">
        <v>1528</v>
      </c>
      <c r="P108" s="1" t="s">
        <v>424</v>
      </c>
    </row>
    <row r="109" spans="3:16" ht="13.2">
      <c r="C109" s="4"/>
      <c r="D109" s="4" t="s">
        <v>944</v>
      </c>
      <c r="H109" s="1" t="s">
        <v>1045</v>
      </c>
      <c r="I109" s="1" t="s">
        <v>1046</v>
      </c>
      <c r="J109" s="1" t="s">
        <v>1771</v>
      </c>
      <c r="K109" s="1" t="s">
        <v>1046</v>
      </c>
      <c r="L109" s="1" t="s">
        <v>1046</v>
      </c>
      <c r="M109" s="4" t="s">
        <v>1773</v>
      </c>
      <c r="N109" s="4"/>
      <c r="O109" s="13" t="s">
        <v>1528</v>
      </c>
      <c r="P109" s="1" t="s">
        <v>424</v>
      </c>
    </row>
    <row r="110" spans="3:16" ht="13.2">
      <c r="C110" s="4"/>
      <c r="D110" s="4" t="s">
        <v>945</v>
      </c>
      <c r="H110" s="1" t="s">
        <v>1045</v>
      </c>
      <c r="I110" s="1" t="s">
        <v>1046</v>
      </c>
      <c r="J110" s="1" t="s">
        <v>1771</v>
      </c>
      <c r="K110" s="1" t="s">
        <v>1046</v>
      </c>
      <c r="L110" s="1" t="s">
        <v>1046</v>
      </c>
      <c r="M110" s="4" t="s">
        <v>1774</v>
      </c>
      <c r="N110" s="4"/>
      <c r="O110" s="13" t="s">
        <v>1528</v>
      </c>
      <c r="P110" s="1" t="s">
        <v>424</v>
      </c>
    </row>
    <row r="111" spans="3:16" ht="13.2">
      <c r="C111" s="4"/>
      <c r="D111" s="4" t="s">
        <v>946</v>
      </c>
      <c r="H111" s="1" t="s">
        <v>1045</v>
      </c>
      <c r="I111" s="1" t="s">
        <v>1046</v>
      </c>
      <c r="J111" s="1" t="s">
        <v>1771</v>
      </c>
      <c r="K111" s="1" t="s">
        <v>1046</v>
      </c>
      <c r="L111" s="1" t="s">
        <v>1046</v>
      </c>
      <c r="M111" s="4" t="s">
        <v>1775</v>
      </c>
      <c r="N111" s="4"/>
      <c r="O111" s="13" t="s">
        <v>1528</v>
      </c>
      <c r="P111" s="1" t="s">
        <v>424</v>
      </c>
    </row>
    <row r="112" spans="3:16" ht="13.2">
      <c r="C112" s="4"/>
      <c r="D112" s="4" t="s">
        <v>947</v>
      </c>
      <c r="H112" s="1" t="s">
        <v>1045</v>
      </c>
      <c r="I112" s="1" t="s">
        <v>1046</v>
      </c>
      <c r="J112" s="1" t="s">
        <v>1771</v>
      </c>
      <c r="K112" s="1" t="s">
        <v>1046</v>
      </c>
      <c r="L112" s="1" t="s">
        <v>1046</v>
      </c>
      <c r="M112" s="4" t="s">
        <v>1776</v>
      </c>
      <c r="N112" s="4"/>
      <c r="O112" s="13" t="s">
        <v>1528</v>
      </c>
      <c r="P112" s="1" t="s">
        <v>424</v>
      </c>
    </row>
    <row r="113" spans="1:42" ht="13.2">
      <c r="C113" s="4"/>
      <c r="D113" s="4" t="s">
        <v>948</v>
      </c>
      <c r="H113" s="4" t="s">
        <v>1045</v>
      </c>
      <c r="I113" s="1" t="s">
        <v>1046</v>
      </c>
      <c r="J113" s="1" t="s">
        <v>1771</v>
      </c>
      <c r="K113" s="1" t="s">
        <v>1046</v>
      </c>
      <c r="L113" s="1" t="s">
        <v>1046</v>
      </c>
      <c r="M113" s="4" t="s">
        <v>1777</v>
      </c>
      <c r="N113" s="4"/>
      <c r="O113" s="13" t="s">
        <v>1528</v>
      </c>
      <c r="P113" s="1" t="s">
        <v>424</v>
      </c>
    </row>
    <row r="114" spans="1:42" ht="13.2">
      <c r="C114" s="4"/>
      <c r="D114" s="4" t="s">
        <v>879</v>
      </c>
      <c r="H114" s="1" t="s">
        <v>102</v>
      </c>
      <c r="I114" s="4" t="s">
        <v>1667</v>
      </c>
      <c r="J114" s="1" t="s">
        <v>1046</v>
      </c>
      <c r="M114" s="4" t="s">
        <v>1778</v>
      </c>
      <c r="N114" s="4"/>
      <c r="O114" s="13" t="s">
        <v>1528</v>
      </c>
      <c r="P114" s="1" t="s">
        <v>424</v>
      </c>
    </row>
    <row r="115" spans="1:42" ht="13.2">
      <c r="C115" s="4"/>
      <c r="D115" s="4" t="s">
        <v>880</v>
      </c>
      <c r="H115" s="1" t="s">
        <v>102</v>
      </c>
      <c r="I115" s="4" t="s">
        <v>1667</v>
      </c>
      <c r="J115" s="1" t="s">
        <v>1046</v>
      </c>
      <c r="M115" s="4" t="s">
        <v>1779</v>
      </c>
      <c r="N115" s="4"/>
      <c r="O115" s="13" t="s">
        <v>1528</v>
      </c>
      <c r="P115" s="1" t="s">
        <v>424</v>
      </c>
    </row>
    <row r="116" spans="1:42" ht="13.2">
      <c r="C116" s="4"/>
      <c r="D116" s="4" t="s">
        <v>872</v>
      </c>
      <c r="H116" s="1" t="s">
        <v>102</v>
      </c>
      <c r="I116" s="4" t="s">
        <v>1275</v>
      </c>
      <c r="J116" s="1" t="s">
        <v>1046</v>
      </c>
      <c r="M116" s="4" t="s">
        <v>1780</v>
      </c>
      <c r="N116" s="4"/>
      <c r="O116" s="13" t="s">
        <v>1528</v>
      </c>
      <c r="P116" s="1" t="s">
        <v>424</v>
      </c>
    </row>
    <row r="117" spans="1:42" ht="13.2">
      <c r="C117" s="4"/>
      <c r="D117" s="4" t="s">
        <v>878</v>
      </c>
      <c r="H117" s="1" t="s">
        <v>102</v>
      </c>
      <c r="I117" s="4" t="s">
        <v>1629</v>
      </c>
      <c r="J117" s="1" t="s">
        <v>1046</v>
      </c>
      <c r="M117" s="4" t="s">
        <v>1781</v>
      </c>
      <c r="N117" s="4"/>
      <c r="O117" s="13" t="s">
        <v>1528</v>
      </c>
      <c r="P117" s="1" t="s">
        <v>424</v>
      </c>
    </row>
    <row r="118" spans="1:42" ht="13.2">
      <c r="C118" s="4"/>
      <c r="D118" s="4" t="s">
        <v>874</v>
      </c>
      <c r="H118" s="1" t="s">
        <v>102</v>
      </c>
      <c r="I118" s="4" t="s">
        <v>1629</v>
      </c>
      <c r="J118" s="1" t="s">
        <v>1046</v>
      </c>
      <c r="M118" s="4" t="s">
        <v>1782</v>
      </c>
      <c r="N118" s="4"/>
      <c r="O118" s="13" t="s">
        <v>1528</v>
      </c>
      <c r="P118" s="1" t="s">
        <v>424</v>
      </c>
    </row>
    <row r="119" spans="1:42" ht="13.2">
      <c r="C119" s="4"/>
      <c r="D119" s="4" t="s">
        <v>866</v>
      </c>
      <c r="H119" s="1" t="s">
        <v>102</v>
      </c>
      <c r="I119" s="4" t="s">
        <v>1667</v>
      </c>
      <c r="J119" s="1" t="s">
        <v>1046</v>
      </c>
      <c r="M119" s="4" t="s">
        <v>1783</v>
      </c>
      <c r="N119" s="4"/>
      <c r="O119" s="13" t="s">
        <v>1528</v>
      </c>
      <c r="P119" s="1" t="s">
        <v>424</v>
      </c>
    </row>
    <row r="120" spans="1:42" ht="13.2">
      <c r="C120" s="4"/>
      <c r="D120" s="4" t="s">
        <v>867</v>
      </c>
      <c r="H120" s="1" t="s">
        <v>102</v>
      </c>
      <c r="I120" s="4" t="s">
        <v>1641</v>
      </c>
      <c r="J120" s="1" t="s">
        <v>1046</v>
      </c>
      <c r="M120" s="4" t="s">
        <v>1784</v>
      </c>
      <c r="N120" s="4"/>
      <c r="O120" s="13" t="s">
        <v>1528</v>
      </c>
      <c r="P120" s="1" t="s">
        <v>424</v>
      </c>
    </row>
    <row r="121" spans="1:42" ht="13.2">
      <c r="A121" s="1" t="s">
        <v>85</v>
      </c>
      <c r="B121" s="1" t="s">
        <v>97</v>
      </c>
      <c r="C121" s="1" t="s">
        <v>98</v>
      </c>
      <c r="D121" s="1" t="s">
        <v>98</v>
      </c>
      <c r="E121" s="1" t="s">
        <v>98</v>
      </c>
      <c r="F121" s="1" t="s">
        <v>98</v>
      </c>
      <c r="G121" s="1" t="s">
        <v>98</v>
      </c>
      <c r="H121" s="1" t="s">
        <v>98</v>
      </c>
      <c r="I121" s="1" t="s">
        <v>98</v>
      </c>
      <c r="J121" s="1" t="s">
        <v>98</v>
      </c>
      <c r="K121" s="1" t="s">
        <v>98</v>
      </c>
      <c r="L121" s="1" t="s">
        <v>98</v>
      </c>
      <c r="M121" s="1" t="s">
        <v>98</v>
      </c>
      <c r="N121" s="1" t="s">
        <v>98</v>
      </c>
      <c r="O121" s="1" t="s">
        <v>98</v>
      </c>
    </row>
    <row r="122" spans="1:42" ht="13.2">
      <c r="A122" s="1" t="s">
        <v>103</v>
      </c>
      <c r="B122" s="1" t="s">
        <v>104</v>
      </c>
      <c r="C122" s="1" t="s">
        <v>175</v>
      </c>
      <c r="D122" s="1" t="s">
        <v>176</v>
      </c>
      <c r="E122" s="1" t="s">
        <v>177</v>
      </c>
      <c r="F122" s="1" t="s">
        <v>178</v>
      </c>
      <c r="G122" s="1" t="s">
        <v>179</v>
      </c>
      <c r="H122" s="1" t="s">
        <v>180</v>
      </c>
      <c r="I122" s="1" t="s">
        <v>181</v>
      </c>
      <c r="J122" s="1" t="s">
        <v>182</v>
      </c>
      <c r="K122" s="1" t="s">
        <v>183</v>
      </c>
      <c r="L122" s="1" t="s">
        <v>184</v>
      </c>
      <c r="M122" s="1" t="s">
        <v>185</v>
      </c>
      <c r="N122" s="1" t="s">
        <v>186</v>
      </c>
      <c r="O122" s="1" t="s">
        <v>187</v>
      </c>
    </row>
    <row r="123" spans="1:42" ht="13.2">
      <c r="A123" s="1" t="s">
        <v>207</v>
      </c>
      <c r="C123" s="1" t="s">
        <v>234</v>
      </c>
      <c r="D123" s="1" t="s">
        <v>235</v>
      </c>
      <c r="M123" s="1" t="s">
        <v>226</v>
      </c>
    </row>
    <row r="124" spans="1:42" ht="13.2">
      <c r="A124" s="1" t="s">
        <v>236</v>
      </c>
      <c r="B124" s="1" t="s">
        <v>190</v>
      </c>
      <c r="C124" s="1" t="s">
        <v>201</v>
      </c>
      <c r="N124" s="1" t="s">
        <v>202</v>
      </c>
    </row>
    <row r="125" spans="1:42" ht="13.2">
      <c r="A125" s="1" t="s">
        <v>237</v>
      </c>
    </row>
    <row r="126" spans="1:42" ht="13.2">
      <c r="A126" s="1" t="s">
        <v>238</v>
      </c>
    </row>
    <row r="127" spans="1:42" ht="13.2">
      <c r="A127" s="1" t="s">
        <v>239</v>
      </c>
      <c r="B127" s="1" t="s">
        <v>240</v>
      </c>
      <c r="C127" s="1" t="s">
        <v>240</v>
      </c>
      <c r="D127" s="1" t="s">
        <v>242</v>
      </c>
      <c r="E127" s="1" t="s">
        <v>242</v>
      </c>
      <c r="F127" s="1" t="s">
        <v>242</v>
      </c>
      <c r="G127" s="1" t="s">
        <v>243</v>
      </c>
      <c r="H127" s="1" t="s">
        <v>242</v>
      </c>
      <c r="I127" s="1" t="s">
        <v>242</v>
      </c>
      <c r="J127" s="1" t="s">
        <v>242</v>
      </c>
      <c r="K127" s="1" t="s">
        <v>242</v>
      </c>
      <c r="L127" s="1" t="s">
        <v>242</v>
      </c>
      <c r="M127" s="1" t="s">
        <v>242</v>
      </c>
      <c r="N127" s="1" t="s">
        <v>240</v>
      </c>
      <c r="O127" s="1" t="s">
        <v>243</v>
      </c>
    </row>
    <row r="128" spans="1:42" ht="13.2">
      <c r="A128" s="1" t="s">
        <v>244</v>
      </c>
      <c r="B128" s="2">
        <v>43405</v>
      </c>
      <c r="C128" s="2">
        <v>43405</v>
      </c>
      <c r="D128" s="2">
        <v>43032</v>
      </c>
      <c r="E128" s="2">
        <v>42971</v>
      </c>
      <c r="F128" s="2">
        <v>42971</v>
      </c>
      <c r="G128" s="2">
        <v>43361</v>
      </c>
      <c r="H128" s="2">
        <v>43005</v>
      </c>
      <c r="I128" s="2">
        <v>43032</v>
      </c>
      <c r="J128" s="2">
        <v>43005</v>
      </c>
      <c r="K128" s="2">
        <v>43005</v>
      </c>
      <c r="L128" s="2">
        <v>43005</v>
      </c>
      <c r="M128" s="2">
        <v>43005</v>
      </c>
      <c r="N128" s="2">
        <v>43405</v>
      </c>
      <c r="O128" s="2">
        <v>43361</v>
      </c>
      <c r="X128" s="2"/>
      <c r="Y128" s="2"/>
      <c r="Z128" s="2"/>
      <c r="AA128" s="2"/>
      <c r="AB128" s="2"/>
      <c r="AC128" s="2"/>
      <c r="AD128" s="2"/>
      <c r="AE128" s="2"/>
      <c r="AF128" s="2"/>
      <c r="AG128" s="2"/>
      <c r="AH128" s="2"/>
      <c r="AI128" s="2"/>
      <c r="AJ128" s="2"/>
      <c r="AK128" s="2"/>
      <c r="AL128" s="2"/>
      <c r="AM128" s="2"/>
      <c r="AN128" s="2"/>
      <c r="AO128" s="2"/>
      <c r="AP128" s="2"/>
    </row>
    <row r="129" spans="1:42" ht="13.2">
      <c r="A129" s="1" t="s">
        <v>245</v>
      </c>
      <c r="E129" s="2">
        <v>43054</v>
      </c>
      <c r="F129" s="2">
        <v>43054</v>
      </c>
      <c r="H129" s="2">
        <v>43054</v>
      </c>
      <c r="I129" s="2">
        <v>43054</v>
      </c>
      <c r="J129" s="2">
        <v>43054</v>
      </c>
      <c r="M129" s="2">
        <v>43249</v>
      </c>
      <c r="X129" s="2"/>
      <c r="Z129" s="2"/>
      <c r="AC129" s="2"/>
      <c r="AK129" s="2"/>
      <c r="AL129" s="2"/>
      <c r="AM129" s="2"/>
      <c r="AN129" s="2"/>
      <c r="AO129" s="2"/>
      <c r="AP129" s="2"/>
    </row>
    <row r="130" spans="1:42" ht="13.2">
      <c r="A130" s="1" t="s">
        <v>246</v>
      </c>
      <c r="B130" s="1" t="s">
        <v>247</v>
      </c>
      <c r="C130" s="1" t="s">
        <v>318</v>
      </c>
      <c r="D130" s="1" t="s">
        <v>319</v>
      </c>
      <c r="E130" s="1" t="s">
        <v>320</v>
      </c>
      <c r="F130" s="1" t="s">
        <v>321</v>
      </c>
      <c r="G130" s="1" t="s">
        <v>322</v>
      </c>
      <c r="H130" s="1" t="s">
        <v>323</v>
      </c>
      <c r="I130" s="1" t="s">
        <v>324</v>
      </c>
      <c r="J130" s="1" t="s">
        <v>325</v>
      </c>
      <c r="K130" s="1" t="s">
        <v>326</v>
      </c>
      <c r="L130" s="1" t="s">
        <v>327</v>
      </c>
      <c r="M130" s="1" t="s">
        <v>328</v>
      </c>
      <c r="N130" s="1" t="s">
        <v>329</v>
      </c>
      <c r="O130" s="1" t="s">
        <v>330</v>
      </c>
    </row>
    <row r="131" spans="1:42" ht="13.2">
      <c r="A131" s="1" t="s">
        <v>335</v>
      </c>
      <c r="B131" s="1" t="s">
        <v>336</v>
      </c>
      <c r="C131" s="1" t="s">
        <v>403</v>
      </c>
      <c r="D131" s="1" t="s">
        <v>404</v>
      </c>
      <c r="E131" s="1" t="s">
        <v>405</v>
      </c>
      <c r="F131" s="1" t="s">
        <v>406</v>
      </c>
      <c r="G131" s="1" t="s">
        <v>407</v>
      </c>
      <c r="H131" s="1" t="s">
        <v>408</v>
      </c>
      <c r="I131" s="1" t="s">
        <v>409</v>
      </c>
      <c r="J131" s="1" t="s">
        <v>410</v>
      </c>
      <c r="K131" s="1" t="s">
        <v>411</v>
      </c>
      <c r="L131" s="1" t="s">
        <v>412</v>
      </c>
      <c r="M131" s="1" t="s">
        <v>413</v>
      </c>
      <c r="N131" s="1" t="s">
        <v>414</v>
      </c>
      <c r="O131" s="1" t="s">
        <v>415</v>
      </c>
    </row>
  </sheetData>
  <hyperlinks>
    <hyperlink ref="O3" r:id="rId1" xr:uid="{00000000-0004-0000-0F00-000000000000}"/>
    <hyperlink ref="O4" r:id="rId2" xr:uid="{00000000-0004-0000-0F00-000001000000}"/>
    <hyperlink ref="O5" r:id="rId3" xr:uid="{00000000-0004-0000-0F00-000002000000}"/>
    <hyperlink ref="O6" r:id="rId4" xr:uid="{00000000-0004-0000-0F00-000003000000}"/>
    <hyperlink ref="O7" r:id="rId5" xr:uid="{00000000-0004-0000-0F00-000004000000}"/>
    <hyperlink ref="O8" r:id="rId6" xr:uid="{00000000-0004-0000-0F00-000005000000}"/>
    <hyperlink ref="O9" r:id="rId7" xr:uid="{00000000-0004-0000-0F00-000006000000}"/>
    <hyperlink ref="O10" r:id="rId8" xr:uid="{00000000-0004-0000-0F00-000007000000}"/>
    <hyperlink ref="O11" r:id="rId9" xr:uid="{00000000-0004-0000-0F00-000008000000}"/>
    <hyperlink ref="O12" r:id="rId10" xr:uid="{00000000-0004-0000-0F00-000009000000}"/>
    <hyperlink ref="O13" r:id="rId11" xr:uid="{00000000-0004-0000-0F00-00000A000000}"/>
    <hyperlink ref="O14" r:id="rId12" xr:uid="{00000000-0004-0000-0F00-00000B000000}"/>
    <hyperlink ref="O15" r:id="rId13" xr:uid="{00000000-0004-0000-0F00-00000C000000}"/>
    <hyperlink ref="O16" r:id="rId14" xr:uid="{00000000-0004-0000-0F00-00000D000000}"/>
    <hyperlink ref="O17" r:id="rId15" xr:uid="{00000000-0004-0000-0F00-00000E000000}"/>
    <hyperlink ref="O18" r:id="rId16" xr:uid="{00000000-0004-0000-0F00-00000F000000}"/>
    <hyperlink ref="O19" r:id="rId17" xr:uid="{00000000-0004-0000-0F00-000010000000}"/>
    <hyperlink ref="O20" r:id="rId18" xr:uid="{00000000-0004-0000-0F00-000011000000}"/>
    <hyperlink ref="O21" r:id="rId19" xr:uid="{00000000-0004-0000-0F00-000012000000}"/>
    <hyperlink ref="O22" r:id="rId20" xr:uid="{00000000-0004-0000-0F00-000013000000}"/>
    <hyperlink ref="O23" r:id="rId21" xr:uid="{00000000-0004-0000-0F00-000014000000}"/>
    <hyperlink ref="O24" r:id="rId22" xr:uid="{00000000-0004-0000-0F00-000015000000}"/>
    <hyperlink ref="O25" r:id="rId23" xr:uid="{00000000-0004-0000-0F00-000016000000}"/>
    <hyperlink ref="O26" r:id="rId24" xr:uid="{00000000-0004-0000-0F00-000017000000}"/>
    <hyperlink ref="O27" r:id="rId25" xr:uid="{00000000-0004-0000-0F00-000018000000}"/>
    <hyperlink ref="O28" r:id="rId26" xr:uid="{00000000-0004-0000-0F00-000019000000}"/>
    <hyperlink ref="O29" r:id="rId27" xr:uid="{00000000-0004-0000-0F00-00001A000000}"/>
    <hyperlink ref="O30" r:id="rId28" xr:uid="{00000000-0004-0000-0F00-00001B000000}"/>
    <hyperlink ref="O31" r:id="rId29" xr:uid="{00000000-0004-0000-0F00-00001C000000}"/>
    <hyperlink ref="O32" r:id="rId30" xr:uid="{00000000-0004-0000-0F00-00001D000000}"/>
    <hyperlink ref="O33" r:id="rId31" xr:uid="{00000000-0004-0000-0F00-00001E000000}"/>
    <hyperlink ref="O34" r:id="rId32" xr:uid="{00000000-0004-0000-0F00-00001F000000}"/>
    <hyperlink ref="O35" r:id="rId33" xr:uid="{00000000-0004-0000-0F00-000020000000}"/>
    <hyperlink ref="O36" r:id="rId34" xr:uid="{00000000-0004-0000-0F00-000021000000}"/>
    <hyperlink ref="O37" r:id="rId35" xr:uid="{00000000-0004-0000-0F00-000022000000}"/>
    <hyperlink ref="O38" r:id="rId36" xr:uid="{00000000-0004-0000-0F00-000023000000}"/>
    <hyperlink ref="O39" r:id="rId37" xr:uid="{00000000-0004-0000-0F00-000024000000}"/>
    <hyperlink ref="O40" r:id="rId38" xr:uid="{00000000-0004-0000-0F00-000025000000}"/>
    <hyperlink ref="O41" r:id="rId39" xr:uid="{00000000-0004-0000-0F00-000026000000}"/>
    <hyperlink ref="O42" r:id="rId40" xr:uid="{00000000-0004-0000-0F00-000027000000}"/>
    <hyperlink ref="O43" r:id="rId41" xr:uid="{00000000-0004-0000-0F00-000028000000}"/>
    <hyperlink ref="O44" r:id="rId42" xr:uid="{00000000-0004-0000-0F00-000029000000}"/>
    <hyperlink ref="O45" r:id="rId43" xr:uid="{00000000-0004-0000-0F00-00002A000000}"/>
    <hyperlink ref="O46" r:id="rId44" xr:uid="{00000000-0004-0000-0F00-00002B000000}"/>
    <hyperlink ref="O47" r:id="rId45" xr:uid="{00000000-0004-0000-0F00-00002C000000}"/>
    <hyperlink ref="O48" r:id="rId46" xr:uid="{00000000-0004-0000-0F00-00002D000000}"/>
    <hyperlink ref="O49" r:id="rId47" xr:uid="{00000000-0004-0000-0F00-00002E000000}"/>
    <hyperlink ref="O50" r:id="rId48" xr:uid="{00000000-0004-0000-0F00-00002F000000}"/>
    <hyperlink ref="O51" r:id="rId49" xr:uid="{00000000-0004-0000-0F00-000030000000}"/>
    <hyperlink ref="O52" r:id="rId50" xr:uid="{00000000-0004-0000-0F00-000031000000}"/>
    <hyperlink ref="O53" r:id="rId51" xr:uid="{00000000-0004-0000-0F00-000032000000}"/>
    <hyperlink ref="O54" r:id="rId52" xr:uid="{00000000-0004-0000-0F00-000033000000}"/>
    <hyperlink ref="O55" r:id="rId53" xr:uid="{00000000-0004-0000-0F00-000034000000}"/>
    <hyperlink ref="O56" r:id="rId54" xr:uid="{00000000-0004-0000-0F00-000035000000}"/>
    <hyperlink ref="O57" r:id="rId55" xr:uid="{00000000-0004-0000-0F00-000036000000}"/>
    <hyperlink ref="O58" r:id="rId56" xr:uid="{00000000-0004-0000-0F00-000037000000}"/>
    <hyperlink ref="O59" r:id="rId57" xr:uid="{00000000-0004-0000-0F00-000038000000}"/>
    <hyperlink ref="O60" r:id="rId58" xr:uid="{00000000-0004-0000-0F00-000039000000}"/>
    <hyperlink ref="O61" r:id="rId59" xr:uid="{00000000-0004-0000-0F00-00003A000000}"/>
    <hyperlink ref="O62" r:id="rId60" xr:uid="{00000000-0004-0000-0F00-00003B000000}"/>
    <hyperlink ref="O63" r:id="rId61" xr:uid="{00000000-0004-0000-0F00-00003C000000}"/>
    <hyperlink ref="O64" r:id="rId62" xr:uid="{00000000-0004-0000-0F00-00003D000000}"/>
    <hyperlink ref="O65" r:id="rId63" xr:uid="{00000000-0004-0000-0F00-00003E000000}"/>
    <hyperlink ref="O66" r:id="rId64" xr:uid="{00000000-0004-0000-0F00-00003F000000}"/>
    <hyperlink ref="O67" r:id="rId65" xr:uid="{00000000-0004-0000-0F00-000040000000}"/>
    <hyperlink ref="O68" r:id="rId66" xr:uid="{00000000-0004-0000-0F00-000041000000}"/>
    <hyperlink ref="O69" r:id="rId67" xr:uid="{00000000-0004-0000-0F00-000042000000}"/>
    <hyperlink ref="O70" r:id="rId68" xr:uid="{00000000-0004-0000-0F00-000043000000}"/>
    <hyperlink ref="O71" r:id="rId69" xr:uid="{00000000-0004-0000-0F00-000044000000}"/>
    <hyperlink ref="O72" r:id="rId70" xr:uid="{00000000-0004-0000-0F00-000045000000}"/>
    <hyperlink ref="O73" r:id="rId71" xr:uid="{00000000-0004-0000-0F00-000046000000}"/>
    <hyperlink ref="O74" r:id="rId72" xr:uid="{00000000-0004-0000-0F00-000047000000}"/>
    <hyperlink ref="O75" r:id="rId73" xr:uid="{00000000-0004-0000-0F00-000048000000}"/>
    <hyperlink ref="O76" r:id="rId74" xr:uid="{00000000-0004-0000-0F00-000049000000}"/>
    <hyperlink ref="O77" r:id="rId75" xr:uid="{00000000-0004-0000-0F00-00004A000000}"/>
    <hyperlink ref="O78" r:id="rId76" xr:uid="{00000000-0004-0000-0F00-00004B000000}"/>
    <hyperlink ref="O79" r:id="rId77" xr:uid="{00000000-0004-0000-0F00-00004C000000}"/>
    <hyperlink ref="O80" r:id="rId78" xr:uid="{00000000-0004-0000-0F00-00004D000000}"/>
    <hyperlink ref="O81" r:id="rId79" xr:uid="{00000000-0004-0000-0F00-00004E000000}"/>
    <hyperlink ref="O82" r:id="rId80" xr:uid="{00000000-0004-0000-0F00-00004F000000}"/>
    <hyperlink ref="O83" r:id="rId81" xr:uid="{00000000-0004-0000-0F00-000050000000}"/>
    <hyperlink ref="O84" r:id="rId82" xr:uid="{00000000-0004-0000-0F00-000051000000}"/>
    <hyperlink ref="O85" r:id="rId83" xr:uid="{00000000-0004-0000-0F00-000052000000}"/>
    <hyperlink ref="O86" r:id="rId84" xr:uid="{00000000-0004-0000-0F00-000053000000}"/>
    <hyperlink ref="O87" r:id="rId85" xr:uid="{00000000-0004-0000-0F00-000054000000}"/>
    <hyperlink ref="O88" r:id="rId86" xr:uid="{00000000-0004-0000-0F00-000055000000}"/>
    <hyperlink ref="O89" r:id="rId87" xr:uid="{00000000-0004-0000-0F00-000056000000}"/>
    <hyperlink ref="O90" r:id="rId88" xr:uid="{00000000-0004-0000-0F00-000057000000}"/>
    <hyperlink ref="O91" r:id="rId89" xr:uid="{00000000-0004-0000-0F00-000058000000}"/>
    <hyperlink ref="O92" r:id="rId90" xr:uid="{00000000-0004-0000-0F00-000059000000}"/>
    <hyperlink ref="O93" r:id="rId91" xr:uid="{00000000-0004-0000-0F00-00005A000000}"/>
    <hyperlink ref="O94" r:id="rId92" xr:uid="{00000000-0004-0000-0F00-00005B000000}"/>
    <hyperlink ref="O95" r:id="rId93" xr:uid="{00000000-0004-0000-0F00-00005C000000}"/>
    <hyperlink ref="O96" r:id="rId94" xr:uid="{00000000-0004-0000-0F00-00005D000000}"/>
    <hyperlink ref="O97" r:id="rId95" xr:uid="{00000000-0004-0000-0F00-00005E000000}"/>
    <hyperlink ref="O98" r:id="rId96" xr:uid="{00000000-0004-0000-0F00-00005F000000}"/>
    <hyperlink ref="O99" r:id="rId97" xr:uid="{00000000-0004-0000-0F00-000060000000}"/>
    <hyperlink ref="O100" r:id="rId98" xr:uid="{00000000-0004-0000-0F00-000061000000}"/>
    <hyperlink ref="O101" r:id="rId99" xr:uid="{00000000-0004-0000-0F00-000062000000}"/>
    <hyperlink ref="O102" r:id="rId100" xr:uid="{00000000-0004-0000-0F00-000063000000}"/>
    <hyperlink ref="O103" r:id="rId101" xr:uid="{00000000-0004-0000-0F00-000064000000}"/>
    <hyperlink ref="O104" r:id="rId102" xr:uid="{00000000-0004-0000-0F00-000065000000}"/>
    <hyperlink ref="O105" r:id="rId103" xr:uid="{00000000-0004-0000-0F00-000066000000}"/>
    <hyperlink ref="O106" r:id="rId104" xr:uid="{00000000-0004-0000-0F00-000067000000}"/>
    <hyperlink ref="O107" r:id="rId105" xr:uid="{00000000-0004-0000-0F00-000068000000}"/>
    <hyperlink ref="O108" r:id="rId106" xr:uid="{00000000-0004-0000-0F00-000069000000}"/>
    <hyperlink ref="O109" r:id="rId107" xr:uid="{00000000-0004-0000-0F00-00006A000000}"/>
    <hyperlink ref="O110" r:id="rId108" xr:uid="{00000000-0004-0000-0F00-00006B000000}"/>
    <hyperlink ref="O111" r:id="rId109" xr:uid="{00000000-0004-0000-0F00-00006C000000}"/>
    <hyperlink ref="O112" r:id="rId110" xr:uid="{00000000-0004-0000-0F00-00006D000000}"/>
    <hyperlink ref="O113" r:id="rId111" xr:uid="{00000000-0004-0000-0F00-00006E000000}"/>
    <hyperlink ref="O114" r:id="rId112" xr:uid="{00000000-0004-0000-0F00-00006F000000}"/>
    <hyperlink ref="O115" r:id="rId113" xr:uid="{00000000-0004-0000-0F00-000070000000}"/>
    <hyperlink ref="O116" r:id="rId114" xr:uid="{00000000-0004-0000-0F00-000071000000}"/>
    <hyperlink ref="O117" r:id="rId115" xr:uid="{00000000-0004-0000-0F00-000072000000}"/>
    <hyperlink ref="O118" r:id="rId116" xr:uid="{00000000-0004-0000-0F00-000073000000}"/>
    <hyperlink ref="O119" r:id="rId117" xr:uid="{00000000-0004-0000-0F00-000074000000}"/>
    <hyperlink ref="O120" r:id="rId118" xr:uid="{00000000-0004-0000-0F00-00007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B6D7A8"/>
    <outlinePr summaryBelow="0" summaryRight="0"/>
  </sheetPr>
  <dimension ref="A1:KI63"/>
  <sheetViews>
    <sheetView workbookViewId="0">
      <pane ySplit="2" topLeftCell="A3" activePane="bottomLeft" state="frozen"/>
      <selection pane="bottomLeft" activeCell="B4" sqref="B4"/>
    </sheetView>
  </sheetViews>
  <sheetFormatPr baseColWidth="10" defaultColWidth="12.6640625" defaultRowHeight="15.75" customHeight="1"/>
  <sheetData>
    <row r="1" spans="1:16">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row>
    <row r="2" spans="1:16">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row>
    <row r="3" spans="1:16">
      <c r="D3" s="14" t="s">
        <v>462</v>
      </c>
      <c r="H3" s="1" t="s">
        <v>102</v>
      </c>
      <c r="I3" s="14" t="s">
        <v>1136</v>
      </c>
      <c r="J3" s="1" t="s">
        <v>1046</v>
      </c>
      <c r="M3" s="14" t="s">
        <v>1785</v>
      </c>
      <c r="N3" s="14" t="s">
        <v>1786</v>
      </c>
      <c r="O3" s="12" t="s">
        <v>1787</v>
      </c>
      <c r="P3" s="1" t="s">
        <v>421</v>
      </c>
    </row>
    <row r="4" spans="1:16">
      <c r="D4" s="14" t="s">
        <v>481</v>
      </c>
      <c r="H4" s="1" t="s">
        <v>102</v>
      </c>
      <c r="I4" s="14" t="s">
        <v>1407</v>
      </c>
      <c r="J4" s="1" t="s">
        <v>1046</v>
      </c>
      <c r="M4" s="14" t="s">
        <v>1788</v>
      </c>
      <c r="N4" s="14" t="s">
        <v>1789</v>
      </c>
      <c r="O4" s="13" t="s">
        <v>1790</v>
      </c>
      <c r="P4" s="1" t="s">
        <v>421</v>
      </c>
    </row>
    <row r="5" spans="1:16">
      <c r="D5" s="14" t="s">
        <v>492</v>
      </c>
      <c r="H5" s="1" t="s">
        <v>102</v>
      </c>
      <c r="I5" s="14" t="s">
        <v>1407</v>
      </c>
      <c r="J5" s="1" t="s">
        <v>1046</v>
      </c>
      <c r="M5" s="14" t="s">
        <v>1791</v>
      </c>
      <c r="N5" s="14" t="s">
        <v>1792</v>
      </c>
      <c r="O5" s="13" t="s">
        <v>1793</v>
      </c>
      <c r="P5" s="1" t="s">
        <v>421</v>
      </c>
    </row>
    <row r="6" spans="1:16">
      <c r="D6" s="1" t="s">
        <v>503</v>
      </c>
      <c r="H6" s="1" t="s">
        <v>102</v>
      </c>
      <c r="I6" s="1" t="s">
        <v>1407</v>
      </c>
      <c r="J6" s="1" t="s">
        <v>1046</v>
      </c>
      <c r="M6" s="1" t="s">
        <v>1794</v>
      </c>
      <c r="N6" s="1" t="s">
        <v>1795</v>
      </c>
      <c r="O6" s="13" t="s">
        <v>1796</v>
      </c>
      <c r="P6" s="1" t="s">
        <v>421</v>
      </c>
    </row>
    <row r="7" spans="1:16">
      <c r="D7" s="1" t="s">
        <v>505</v>
      </c>
      <c r="H7" s="1" t="s">
        <v>102</v>
      </c>
      <c r="I7" s="1" t="s">
        <v>1407</v>
      </c>
      <c r="J7" s="1" t="s">
        <v>1046</v>
      </c>
      <c r="M7" s="1" t="s">
        <v>1797</v>
      </c>
      <c r="N7" s="1" t="s">
        <v>1795</v>
      </c>
      <c r="O7" s="13" t="s">
        <v>1798</v>
      </c>
      <c r="P7" s="1" t="s">
        <v>421</v>
      </c>
    </row>
    <row r="8" spans="1:16">
      <c r="D8" s="1" t="s">
        <v>507</v>
      </c>
      <c r="H8" s="1" t="s">
        <v>102</v>
      </c>
      <c r="I8" s="1" t="s">
        <v>1799</v>
      </c>
      <c r="J8" s="1" t="s">
        <v>1046</v>
      </c>
      <c r="M8" s="1" t="s">
        <v>1800</v>
      </c>
      <c r="N8" s="1" t="s">
        <v>1801</v>
      </c>
      <c r="O8" s="13" t="s">
        <v>1802</v>
      </c>
      <c r="P8" s="1" t="s">
        <v>421</v>
      </c>
    </row>
    <row r="9" spans="1:16">
      <c r="D9" s="1" t="s">
        <v>518</v>
      </c>
      <c r="H9" s="1" t="s">
        <v>102</v>
      </c>
      <c r="I9" s="1" t="s">
        <v>1046</v>
      </c>
      <c r="J9" s="1" t="s">
        <v>1046</v>
      </c>
      <c r="M9" s="1" t="s">
        <v>1803</v>
      </c>
      <c r="N9" s="1" t="s">
        <v>1801</v>
      </c>
      <c r="O9" s="13" t="s">
        <v>1804</v>
      </c>
      <c r="P9" s="1" t="s">
        <v>421</v>
      </c>
    </row>
    <row r="10" spans="1:16">
      <c r="D10" s="1" t="s">
        <v>527</v>
      </c>
      <c r="H10" s="1" t="s">
        <v>102</v>
      </c>
      <c r="I10" s="1" t="s">
        <v>1046</v>
      </c>
      <c r="J10" s="1" t="s">
        <v>1046</v>
      </c>
      <c r="M10" s="1" t="s">
        <v>1805</v>
      </c>
      <c r="N10" s="1" t="s">
        <v>1801</v>
      </c>
      <c r="O10" s="13" t="s">
        <v>1806</v>
      </c>
      <c r="P10" s="1" t="s">
        <v>421</v>
      </c>
    </row>
    <row r="11" spans="1:16">
      <c r="D11" s="1" t="s">
        <v>529</v>
      </c>
      <c r="H11" s="1" t="s">
        <v>102</v>
      </c>
      <c r="I11" s="1" t="s">
        <v>1407</v>
      </c>
      <c r="J11" s="1" t="s">
        <v>1046</v>
      </c>
      <c r="M11" s="1" t="s">
        <v>1807</v>
      </c>
      <c r="N11" s="1" t="s">
        <v>1801</v>
      </c>
      <c r="O11" s="13" t="s">
        <v>1808</v>
      </c>
      <c r="P11" s="1" t="s">
        <v>421</v>
      </c>
    </row>
    <row r="12" spans="1:16">
      <c r="D12" s="1" t="s">
        <v>539</v>
      </c>
      <c r="H12" s="1" t="s">
        <v>102</v>
      </c>
      <c r="I12" s="1" t="s">
        <v>1407</v>
      </c>
      <c r="J12" s="1" t="s">
        <v>1046</v>
      </c>
      <c r="M12" s="1" t="s">
        <v>1809</v>
      </c>
      <c r="N12" s="1" t="s">
        <v>1795</v>
      </c>
      <c r="O12" s="13" t="s">
        <v>1810</v>
      </c>
      <c r="P12" s="1" t="s">
        <v>421</v>
      </c>
    </row>
    <row r="13" spans="1:16">
      <c r="D13" s="1" t="s">
        <v>540</v>
      </c>
      <c r="H13" s="1" t="s">
        <v>102</v>
      </c>
      <c r="I13" s="1" t="s">
        <v>1407</v>
      </c>
      <c r="J13" s="1" t="s">
        <v>1046</v>
      </c>
      <c r="M13" s="1" t="s">
        <v>1811</v>
      </c>
      <c r="N13" s="1" t="s">
        <v>1795</v>
      </c>
      <c r="O13" s="13" t="s">
        <v>1812</v>
      </c>
      <c r="P13" s="1" t="s">
        <v>421</v>
      </c>
    </row>
    <row r="14" spans="1:16">
      <c r="D14" s="1" t="s">
        <v>542</v>
      </c>
      <c r="H14" s="1" t="s">
        <v>102</v>
      </c>
      <c r="I14" s="1" t="s">
        <v>1407</v>
      </c>
      <c r="J14" s="1" t="s">
        <v>1046</v>
      </c>
      <c r="M14" s="1" t="s">
        <v>1813</v>
      </c>
      <c r="N14" s="1" t="s">
        <v>1795</v>
      </c>
      <c r="O14" s="13" t="s">
        <v>1814</v>
      </c>
      <c r="P14" s="1" t="s">
        <v>421</v>
      </c>
    </row>
    <row r="15" spans="1:16">
      <c r="D15" s="1" t="s">
        <v>543</v>
      </c>
      <c r="H15" s="1" t="s">
        <v>102</v>
      </c>
      <c r="I15" s="1" t="s">
        <v>1407</v>
      </c>
      <c r="J15" s="1" t="s">
        <v>1046</v>
      </c>
      <c r="M15" s="1" t="s">
        <v>1815</v>
      </c>
      <c r="N15" s="1" t="s">
        <v>1795</v>
      </c>
      <c r="O15" s="13" t="s">
        <v>1816</v>
      </c>
      <c r="P15" s="1" t="s">
        <v>421</v>
      </c>
    </row>
    <row r="16" spans="1:16">
      <c r="D16" s="1" t="s">
        <v>546</v>
      </c>
      <c r="H16" s="1" t="s">
        <v>102</v>
      </c>
      <c r="I16" s="1" t="s">
        <v>1407</v>
      </c>
      <c r="J16" s="1" t="s">
        <v>1046</v>
      </c>
      <c r="M16" s="1" t="s">
        <v>1817</v>
      </c>
      <c r="N16" s="1" t="s">
        <v>1795</v>
      </c>
      <c r="O16" s="13" t="s">
        <v>1818</v>
      </c>
      <c r="P16" s="1" t="s">
        <v>421</v>
      </c>
    </row>
    <row r="17" spans="4:16">
      <c r="D17" s="1" t="s">
        <v>547</v>
      </c>
      <c r="H17" s="1" t="s">
        <v>102</v>
      </c>
      <c r="I17" s="1" t="s">
        <v>1407</v>
      </c>
      <c r="J17" s="1" t="s">
        <v>1046</v>
      </c>
      <c r="M17" s="1" t="s">
        <v>1819</v>
      </c>
      <c r="N17" s="1" t="s">
        <v>1795</v>
      </c>
      <c r="O17" s="13" t="s">
        <v>1820</v>
      </c>
      <c r="P17" s="1" t="s">
        <v>421</v>
      </c>
    </row>
    <row r="18" spans="4:16">
      <c r="D18" s="1" t="s">
        <v>549</v>
      </c>
      <c r="H18" s="1" t="s">
        <v>102</v>
      </c>
      <c r="I18" s="1" t="s">
        <v>1407</v>
      </c>
      <c r="J18" s="1" t="s">
        <v>1046</v>
      </c>
      <c r="M18" s="1" t="s">
        <v>1821</v>
      </c>
      <c r="N18" s="1" t="s">
        <v>1789</v>
      </c>
      <c r="O18" s="13" t="s">
        <v>1822</v>
      </c>
      <c r="P18" s="1" t="s">
        <v>421</v>
      </c>
    </row>
    <row r="19" spans="4:16">
      <c r="D19" s="1" t="s">
        <v>552</v>
      </c>
      <c r="H19" s="1" t="s">
        <v>102</v>
      </c>
      <c r="I19" s="1" t="s">
        <v>1407</v>
      </c>
      <c r="J19" s="1" t="s">
        <v>1046</v>
      </c>
      <c r="M19" s="1" t="s">
        <v>1823</v>
      </c>
      <c r="N19" s="1" t="s">
        <v>1789</v>
      </c>
      <c r="O19" s="13" t="s">
        <v>1824</v>
      </c>
      <c r="P19" s="1" t="s">
        <v>421</v>
      </c>
    </row>
    <row r="20" spans="4:16">
      <c r="D20" s="1" t="s">
        <v>553</v>
      </c>
      <c r="H20" s="1" t="s">
        <v>102</v>
      </c>
      <c r="I20" s="1" t="s">
        <v>1407</v>
      </c>
      <c r="J20" s="1" t="s">
        <v>1046</v>
      </c>
      <c r="M20" s="1" t="s">
        <v>1825</v>
      </c>
      <c r="N20" s="1" t="s">
        <v>1795</v>
      </c>
      <c r="O20" s="13" t="s">
        <v>1826</v>
      </c>
      <c r="P20" s="1" t="s">
        <v>421</v>
      </c>
    </row>
    <row r="21" spans="4:16">
      <c r="D21" s="1" t="s">
        <v>554</v>
      </c>
      <c r="H21" s="1" t="s">
        <v>102</v>
      </c>
      <c r="I21" s="1" t="s">
        <v>1046</v>
      </c>
      <c r="J21" s="1" t="s">
        <v>1046</v>
      </c>
      <c r="M21" s="1" t="s">
        <v>1827</v>
      </c>
      <c r="N21" s="1" t="s">
        <v>1795</v>
      </c>
      <c r="O21" s="13" t="s">
        <v>1828</v>
      </c>
      <c r="P21" s="1" t="s">
        <v>421</v>
      </c>
    </row>
    <row r="22" spans="4:16">
      <c r="D22" s="1" t="s">
        <v>613</v>
      </c>
      <c r="H22" s="1" t="s">
        <v>102</v>
      </c>
      <c r="I22" s="1" t="s">
        <v>1829</v>
      </c>
      <c r="J22" s="1" t="s">
        <v>1046</v>
      </c>
      <c r="M22" s="1" t="s">
        <v>1830</v>
      </c>
      <c r="N22" s="1" t="s">
        <v>1789</v>
      </c>
      <c r="O22" s="13" t="s">
        <v>1831</v>
      </c>
      <c r="P22" s="1" t="s">
        <v>421</v>
      </c>
    </row>
    <row r="23" spans="4:16">
      <c r="D23" s="1" t="s">
        <v>618</v>
      </c>
      <c r="H23" s="1" t="s">
        <v>102</v>
      </c>
      <c r="I23" s="1" t="s">
        <v>1832</v>
      </c>
      <c r="J23" s="1" t="s">
        <v>1046</v>
      </c>
      <c r="M23" s="1" t="s">
        <v>1833</v>
      </c>
      <c r="N23" s="1" t="s">
        <v>1789</v>
      </c>
      <c r="O23" s="13" t="s">
        <v>1834</v>
      </c>
      <c r="P23" s="1" t="s">
        <v>421</v>
      </c>
    </row>
    <row r="24" spans="4:16">
      <c r="D24" s="1" t="s">
        <v>621</v>
      </c>
      <c r="H24" s="1" t="s">
        <v>102</v>
      </c>
      <c r="I24" s="1" t="s">
        <v>1835</v>
      </c>
      <c r="J24" s="1" t="s">
        <v>1046</v>
      </c>
      <c r="M24" s="1" t="s">
        <v>1836</v>
      </c>
      <c r="N24" s="1" t="s">
        <v>1801</v>
      </c>
      <c r="O24" s="13" t="s">
        <v>1837</v>
      </c>
      <c r="P24" s="1" t="s">
        <v>421</v>
      </c>
    </row>
    <row r="25" spans="4:16">
      <c r="D25" s="1" t="s">
        <v>626</v>
      </c>
      <c r="H25" s="1" t="s">
        <v>102</v>
      </c>
      <c r="I25" s="1" t="s">
        <v>1838</v>
      </c>
      <c r="J25" s="1" t="s">
        <v>1046</v>
      </c>
      <c r="M25" s="1" t="s">
        <v>1839</v>
      </c>
      <c r="N25" s="1" t="s">
        <v>1801</v>
      </c>
      <c r="O25" s="13" t="s">
        <v>1840</v>
      </c>
      <c r="P25" s="1" t="s">
        <v>421</v>
      </c>
    </row>
    <row r="26" spans="4:16">
      <c r="D26" s="1" t="s">
        <v>632</v>
      </c>
      <c r="H26" s="1" t="s">
        <v>102</v>
      </c>
      <c r="I26" s="1" t="s">
        <v>1841</v>
      </c>
      <c r="J26" s="1" t="s">
        <v>1046</v>
      </c>
      <c r="M26" s="1" t="s">
        <v>1842</v>
      </c>
      <c r="N26" s="1" t="s">
        <v>1801</v>
      </c>
      <c r="O26" s="13" t="s">
        <v>1843</v>
      </c>
      <c r="P26" s="1" t="s">
        <v>421</v>
      </c>
    </row>
    <row r="27" spans="4:16">
      <c r="D27" s="1" t="s">
        <v>638</v>
      </c>
      <c r="H27" s="1" t="s">
        <v>102</v>
      </c>
      <c r="I27" s="1" t="s">
        <v>1844</v>
      </c>
      <c r="J27" s="1" t="s">
        <v>1046</v>
      </c>
      <c r="M27" s="1" t="s">
        <v>1845</v>
      </c>
      <c r="N27" s="1" t="s">
        <v>1801</v>
      </c>
      <c r="O27" s="13" t="s">
        <v>1846</v>
      </c>
      <c r="P27" s="1" t="s">
        <v>421</v>
      </c>
    </row>
    <row r="28" spans="4:16">
      <c r="D28" s="1" t="s">
        <v>656</v>
      </c>
      <c r="H28" s="1" t="s">
        <v>1045</v>
      </c>
      <c r="I28" s="1" t="s">
        <v>1046</v>
      </c>
      <c r="J28" s="1" t="s">
        <v>1847</v>
      </c>
      <c r="K28" s="1" t="s">
        <v>1046</v>
      </c>
      <c r="L28" s="1" t="s">
        <v>1046</v>
      </c>
      <c r="M28" s="1" t="s">
        <v>1848</v>
      </c>
      <c r="N28" s="1" t="s">
        <v>1789</v>
      </c>
      <c r="O28" s="13" t="s">
        <v>1849</v>
      </c>
      <c r="P28" s="1" t="s">
        <v>421</v>
      </c>
    </row>
    <row r="29" spans="4:16">
      <c r="D29" s="1" t="s">
        <v>677</v>
      </c>
      <c r="H29" s="1" t="s">
        <v>102</v>
      </c>
      <c r="I29" s="1" t="s">
        <v>1850</v>
      </c>
      <c r="J29" s="1" t="s">
        <v>1046</v>
      </c>
      <c r="M29" s="1" t="s">
        <v>1851</v>
      </c>
      <c r="N29" s="1" t="s">
        <v>1801</v>
      </c>
      <c r="O29" s="13" t="s">
        <v>1852</v>
      </c>
      <c r="P29" s="1" t="s">
        <v>421</v>
      </c>
    </row>
    <row r="30" spans="4:16">
      <c r="D30" s="1" t="s">
        <v>689</v>
      </c>
      <c r="H30" s="1" t="s">
        <v>1045</v>
      </c>
      <c r="I30" s="1" t="s">
        <v>1046</v>
      </c>
      <c r="J30" s="1" t="s">
        <v>1853</v>
      </c>
      <c r="K30" s="1" t="s">
        <v>1046</v>
      </c>
      <c r="L30" s="1" t="s">
        <v>1046</v>
      </c>
      <c r="M30" s="1" t="s">
        <v>1854</v>
      </c>
      <c r="N30" s="1" t="s">
        <v>1801</v>
      </c>
      <c r="O30" s="13" t="s">
        <v>1855</v>
      </c>
      <c r="P30" s="1" t="s">
        <v>421</v>
      </c>
    </row>
    <row r="31" spans="4:16">
      <c r="D31" s="1" t="s">
        <v>695</v>
      </c>
      <c r="H31" s="1" t="s">
        <v>102</v>
      </c>
      <c r="I31" s="1" t="s">
        <v>1856</v>
      </c>
      <c r="J31" s="1" t="s">
        <v>1046</v>
      </c>
      <c r="M31" s="1" t="s">
        <v>1857</v>
      </c>
      <c r="N31" s="1" t="s">
        <v>1858</v>
      </c>
      <c r="O31" s="13" t="s">
        <v>1859</v>
      </c>
      <c r="P31" s="1" t="s">
        <v>421</v>
      </c>
    </row>
    <row r="32" spans="4:16">
      <c r="D32" s="1" t="s">
        <v>697</v>
      </c>
      <c r="H32" s="1" t="s">
        <v>102</v>
      </c>
      <c r="I32" s="1" t="s">
        <v>1441</v>
      </c>
      <c r="J32" s="1" t="s">
        <v>1046</v>
      </c>
      <c r="M32" s="1" t="s">
        <v>1860</v>
      </c>
      <c r="N32" s="1" t="s">
        <v>1861</v>
      </c>
      <c r="O32" s="13" t="s">
        <v>1862</v>
      </c>
      <c r="P32" s="1" t="s">
        <v>421</v>
      </c>
    </row>
    <row r="33" spans="4:16">
      <c r="D33" s="1" t="s">
        <v>698</v>
      </c>
      <c r="H33" s="1" t="s">
        <v>102</v>
      </c>
      <c r="I33" s="1" t="s">
        <v>1863</v>
      </c>
      <c r="J33" s="1" t="s">
        <v>1046</v>
      </c>
      <c r="M33" s="1" t="s">
        <v>1864</v>
      </c>
      <c r="N33" s="1" t="s">
        <v>1858</v>
      </c>
      <c r="O33" s="13" t="s">
        <v>1865</v>
      </c>
      <c r="P33" s="1" t="s">
        <v>421</v>
      </c>
    </row>
    <row r="34" spans="4:16">
      <c r="D34" s="1" t="s">
        <v>699</v>
      </c>
      <c r="H34" s="1" t="s">
        <v>98</v>
      </c>
      <c r="I34" s="1" t="s">
        <v>1046</v>
      </c>
      <c r="J34" s="1" t="s">
        <v>1866</v>
      </c>
      <c r="K34" s="1" t="s">
        <v>1046</v>
      </c>
      <c r="L34" s="1" t="s">
        <v>1046</v>
      </c>
      <c r="M34" s="1" t="s">
        <v>1867</v>
      </c>
      <c r="N34" s="1" t="s">
        <v>1861</v>
      </c>
      <c r="O34" s="13" t="s">
        <v>1868</v>
      </c>
      <c r="P34" s="1" t="s">
        <v>421</v>
      </c>
    </row>
    <row r="35" spans="4:16">
      <c r="D35" s="1" t="s">
        <v>700</v>
      </c>
      <c r="H35" s="1" t="s">
        <v>102</v>
      </c>
      <c r="I35" s="1" t="s">
        <v>1869</v>
      </c>
      <c r="J35" s="1" t="s">
        <v>1046</v>
      </c>
      <c r="M35" s="1" t="s">
        <v>1870</v>
      </c>
      <c r="N35" s="1" t="s">
        <v>1871</v>
      </c>
      <c r="O35" s="13" t="s">
        <v>1872</v>
      </c>
      <c r="P35" s="1" t="s">
        <v>421</v>
      </c>
    </row>
    <row r="36" spans="4:16">
      <c r="D36" s="1" t="s">
        <v>712</v>
      </c>
      <c r="H36" s="1" t="s">
        <v>102</v>
      </c>
      <c r="I36" s="1" t="s">
        <v>1873</v>
      </c>
      <c r="J36" s="1" t="s">
        <v>1046</v>
      </c>
      <c r="M36" s="1" t="s">
        <v>1874</v>
      </c>
      <c r="N36" s="1" t="s">
        <v>1871</v>
      </c>
      <c r="O36" s="13" t="s">
        <v>1875</v>
      </c>
      <c r="P36" s="1" t="s">
        <v>421</v>
      </c>
    </row>
    <row r="37" spans="4:16">
      <c r="D37" s="1" t="s">
        <v>727</v>
      </c>
      <c r="H37" s="1" t="s">
        <v>1045</v>
      </c>
      <c r="I37" s="1" t="s">
        <v>1046</v>
      </c>
      <c r="J37" s="1" t="s">
        <v>1876</v>
      </c>
      <c r="K37" s="1" t="s">
        <v>1046</v>
      </c>
      <c r="L37" s="1" t="s">
        <v>1046</v>
      </c>
      <c r="M37" s="1" t="s">
        <v>1877</v>
      </c>
      <c r="N37" s="1" t="s">
        <v>1801</v>
      </c>
      <c r="O37" s="13" t="s">
        <v>1878</v>
      </c>
      <c r="P37" s="1" t="s">
        <v>421</v>
      </c>
    </row>
    <row r="38" spans="4:16">
      <c r="D38" s="1" t="s">
        <v>731</v>
      </c>
      <c r="H38" s="1" t="s">
        <v>1045</v>
      </c>
      <c r="I38" s="1" t="s">
        <v>1046</v>
      </c>
      <c r="J38" s="1" t="s">
        <v>1879</v>
      </c>
      <c r="K38" s="1" t="s">
        <v>1046</v>
      </c>
      <c r="L38" s="1" t="s">
        <v>1046</v>
      </c>
      <c r="M38" s="1" t="s">
        <v>1880</v>
      </c>
      <c r="N38" s="1" t="s">
        <v>1801</v>
      </c>
      <c r="O38" s="13" t="s">
        <v>1881</v>
      </c>
      <c r="P38" s="1" t="s">
        <v>421</v>
      </c>
    </row>
    <row r="39" spans="4:16">
      <c r="D39" s="1" t="s">
        <v>734</v>
      </c>
      <c r="H39" s="1" t="s">
        <v>1045</v>
      </c>
      <c r="I39" s="1" t="s">
        <v>1046</v>
      </c>
      <c r="J39" s="1" t="s">
        <v>1882</v>
      </c>
      <c r="K39" s="1" t="s">
        <v>1046</v>
      </c>
      <c r="L39" s="1" t="s">
        <v>1046</v>
      </c>
      <c r="M39" s="1" t="s">
        <v>1883</v>
      </c>
      <c r="N39" s="1" t="s">
        <v>1884</v>
      </c>
      <c r="O39" s="13" t="s">
        <v>1885</v>
      </c>
      <c r="P39" s="1" t="s">
        <v>421</v>
      </c>
    </row>
    <row r="40" spans="4:16">
      <c r="D40" s="1" t="s">
        <v>750</v>
      </c>
      <c r="H40" s="1" t="s">
        <v>1464</v>
      </c>
      <c r="I40" s="1" t="s">
        <v>1886</v>
      </c>
      <c r="J40" s="1" t="s">
        <v>1046</v>
      </c>
      <c r="M40" s="1" t="s">
        <v>1887</v>
      </c>
      <c r="N40" s="1" t="s">
        <v>1789</v>
      </c>
      <c r="O40" s="13" t="s">
        <v>1888</v>
      </c>
      <c r="P40" s="1" t="s">
        <v>421</v>
      </c>
    </row>
    <row r="41" spans="4:16">
      <c r="D41" s="1" t="s">
        <v>760</v>
      </c>
      <c r="H41" s="1" t="s">
        <v>1045</v>
      </c>
      <c r="I41" s="1" t="s">
        <v>1046</v>
      </c>
      <c r="J41" s="1" t="s">
        <v>1889</v>
      </c>
      <c r="K41" s="1" t="s">
        <v>1046</v>
      </c>
      <c r="L41" s="1" t="s">
        <v>1046</v>
      </c>
      <c r="M41" s="1" t="s">
        <v>1890</v>
      </c>
      <c r="N41" s="1" t="s">
        <v>1884</v>
      </c>
      <c r="O41" s="13" t="s">
        <v>1891</v>
      </c>
      <c r="P41" s="1" t="s">
        <v>421</v>
      </c>
    </row>
    <row r="42" spans="4:16">
      <c r="D42" s="1" t="s">
        <v>777</v>
      </c>
      <c r="H42" s="1" t="s">
        <v>102</v>
      </c>
      <c r="I42" s="1" t="s">
        <v>1046</v>
      </c>
      <c r="J42" s="1" t="s">
        <v>1046</v>
      </c>
      <c r="M42" s="1" t="s">
        <v>1892</v>
      </c>
      <c r="N42" s="1" t="s">
        <v>1893</v>
      </c>
      <c r="O42" s="13" t="s">
        <v>1894</v>
      </c>
      <c r="P42" s="1" t="s">
        <v>421</v>
      </c>
    </row>
    <row r="43" spans="4:16">
      <c r="D43" s="1" t="s">
        <v>827</v>
      </c>
      <c r="H43" s="1" t="s">
        <v>102</v>
      </c>
      <c r="I43" s="1" t="s">
        <v>1895</v>
      </c>
      <c r="J43" s="1" t="s">
        <v>1046</v>
      </c>
      <c r="M43" s="1" t="s">
        <v>1896</v>
      </c>
      <c r="N43" s="1" t="s">
        <v>1897</v>
      </c>
      <c r="O43" s="13" t="s">
        <v>1898</v>
      </c>
      <c r="P43" s="1" t="s">
        <v>421</v>
      </c>
    </row>
    <row r="44" spans="4:16">
      <c r="D44" s="1" t="s">
        <v>831</v>
      </c>
      <c r="H44" s="1" t="s">
        <v>1045</v>
      </c>
      <c r="I44" s="1" t="s">
        <v>1046</v>
      </c>
      <c r="J44" s="1" t="s">
        <v>1899</v>
      </c>
      <c r="K44" s="1" t="s">
        <v>1046</v>
      </c>
      <c r="L44" s="1" t="s">
        <v>1046</v>
      </c>
      <c r="M44" s="1" t="s">
        <v>1900</v>
      </c>
      <c r="N44" s="1" t="s">
        <v>1884</v>
      </c>
      <c r="O44" s="13" t="s">
        <v>1901</v>
      </c>
      <c r="P44" s="1" t="s">
        <v>421</v>
      </c>
    </row>
    <row r="45" spans="4:16">
      <c r="D45" s="1" t="s">
        <v>863</v>
      </c>
      <c r="H45" s="1" t="s">
        <v>102</v>
      </c>
      <c r="I45" s="1" t="s">
        <v>1902</v>
      </c>
      <c r="J45" s="1" t="s">
        <v>1046</v>
      </c>
      <c r="M45" s="1" t="s">
        <v>1903</v>
      </c>
      <c r="N45" s="1" t="s">
        <v>1904</v>
      </c>
      <c r="O45" s="13" t="s">
        <v>1905</v>
      </c>
      <c r="P45" s="1" t="s">
        <v>421</v>
      </c>
    </row>
    <row r="46" spans="4:16">
      <c r="D46" s="1" t="s">
        <v>869</v>
      </c>
      <c r="H46" s="1" t="s">
        <v>102</v>
      </c>
      <c r="I46" s="1" t="s">
        <v>1637</v>
      </c>
      <c r="J46" s="1" t="s">
        <v>1046</v>
      </c>
      <c r="M46" s="1" t="s">
        <v>1906</v>
      </c>
      <c r="N46" s="1" t="s">
        <v>1801</v>
      </c>
      <c r="O46" s="13" t="s">
        <v>1907</v>
      </c>
      <c r="P46" s="1" t="s">
        <v>421</v>
      </c>
    </row>
    <row r="47" spans="4:16">
      <c r="D47" s="1" t="s">
        <v>930</v>
      </c>
      <c r="H47" s="1" t="s">
        <v>98</v>
      </c>
      <c r="I47" s="1" t="s">
        <v>1046</v>
      </c>
      <c r="J47" s="1" t="s">
        <v>1908</v>
      </c>
      <c r="K47" s="1" t="s">
        <v>1046</v>
      </c>
      <c r="L47" s="1" t="s">
        <v>1046</v>
      </c>
      <c r="M47" s="1" t="s">
        <v>1909</v>
      </c>
      <c r="N47" s="1" t="s">
        <v>1801</v>
      </c>
      <c r="O47" s="13" t="s">
        <v>1910</v>
      </c>
      <c r="P47" s="1" t="s">
        <v>421</v>
      </c>
    </row>
    <row r="48" spans="4:16">
      <c r="D48" s="4" t="s">
        <v>968</v>
      </c>
      <c r="H48" s="1" t="s">
        <v>102</v>
      </c>
      <c r="I48" s="4" t="s">
        <v>1531</v>
      </c>
      <c r="J48" s="1" t="s">
        <v>1046</v>
      </c>
      <c r="M48" s="4" t="s">
        <v>1911</v>
      </c>
      <c r="N48" s="4" t="s">
        <v>1801</v>
      </c>
      <c r="O48" s="13" t="s">
        <v>1912</v>
      </c>
      <c r="P48" s="1" t="s">
        <v>421</v>
      </c>
    </row>
    <row r="49" spans="1:295">
      <c r="D49" s="4" t="s">
        <v>970</v>
      </c>
      <c r="H49" s="1" t="s">
        <v>102</v>
      </c>
      <c r="I49" s="4" t="s">
        <v>1531</v>
      </c>
      <c r="J49" s="1" t="s">
        <v>1046</v>
      </c>
      <c r="M49" s="4" t="s">
        <v>1913</v>
      </c>
      <c r="N49" s="4" t="s">
        <v>1801</v>
      </c>
      <c r="O49" s="13" t="s">
        <v>1914</v>
      </c>
      <c r="P49" s="1" t="s">
        <v>421</v>
      </c>
    </row>
    <row r="50" spans="1:295">
      <c r="D50" s="4" t="s">
        <v>972</v>
      </c>
      <c r="H50" s="1" t="s">
        <v>102</v>
      </c>
      <c r="I50" s="4" t="s">
        <v>1915</v>
      </c>
      <c r="J50" s="1" t="s">
        <v>1046</v>
      </c>
      <c r="M50" s="4" t="s">
        <v>1916</v>
      </c>
      <c r="N50" s="4" t="s">
        <v>1801</v>
      </c>
      <c r="O50" s="13" t="s">
        <v>1917</v>
      </c>
      <c r="P50" s="1" t="s">
        <v>421</v>
      </c>
    </row>
    <row r="51" spans="1:295">
      <c r="D51" s="4" t="s">
        <v>987</v>
      </c>
      <c r="H51" s="1" t="s">
        <v>102</v>
      </c>
      <c r="I51" s="4" t="s">
        <v>1918</v>
      </c>
      <c r="J51" s="1" t="s">
        <v>1046</v>
      </c>
      <c r="M51" s="4" t="s">
        <v>1919</v>
      </c>
      <c r="N51" s="4" t="s">
        <v>1801</v>
      </c>
      <c r="O51" s="13" t="s">
        <v>1920</v>
      </c>
      <c r="P51" s="1" t="s">
        <v>421</v>
      </c>
    </row>
    <row r="52" spans="1:295">
      <c r="D52" s="4" t="s">
        <v>988</v>
      </c>
      <c r="H52" s="1" t="s">
        <v>102</v>
      </c>
      <c r="I52" s="1" t="s">
        <v>1046</v>
      </c>
      <c r="J52" s="1" t="s">
        <v>1046</v>
      </c>
      <c r="M52" s="4" t="s">
        <v>1921</v>
      </c>
      <c r="N52" s="4" t="s">
        <v>1801</v>
      </c>
      <c r="O52" s="13" t="s">
        <v>1922</v>
      </c>
      <c r="P52" s="1" t="s">
        <v>421</v>
      </c>
    </row>
    <row r="53" spans="1:295">
      <c r="A53" s="1" t="s">
        <v>85</v>
      </c>
      <c r="B53" s="1" t="s">
        <v>97</v>
      </c>
      <c r="C53" s="1" t="s">
        <v>98</v>
      </c>
      <c r="D53" s="1" t="s">
        <v>98</v>
      </c>
      <c r="E53" s="1" t="s">
        <v>98</v>
      </c>
      <c r="F53" s="1" t="s">
        <v>98</v>
      </c>
      <c r="G53" s="1" t="s">
        <v>98</v>
      </c>
      <c r="H53" s="1" t="s">
        <v>98</v>
      </c>
      <c r="I53" s="1" t="s">
        <v>98</v>
      </c>
      <c r="J53" s="1" t="s">
        <v>98</v>
      </c>
      <c r="K53" s="1" t="s">
        <v>98</v>
      </c>
      <c r="L53" s="1" t="s">
        <v>98</v>
      </c>
      <c r="M53" s="1" t="s">
        <v>98</v>
      </c>
      <c r="N53" s="1" t="s">
        <v>98</v>
      </c>
      <c r="O53" s="1" t="s">
        <v>98</v>
      </c>
    </row>
    <row r="54" spans="1:295">
      <c r="A54" s="1" t="s">
        <v>103</v>
      </c>
      <c r="B54" s="1" t="s">
        <v>104</v>
      </c>
      <c r="C54" s="1" t="s">
        <v>175</v>
      </c>
      <c r="D54" s="1" t="s">
        <v>176</v>
      </c>
      <c r="E54" s="1" t="s">
        <v>177</v>
      </c>
      <c r="F54" s="1" t="s">
        <v>178</v>
      </c>
      <c r="G54" s="1" t="s">
        <v>179</v>
      </c>
      <c r="H54" s="1" t="s">
        <v>180</v>
      </c>
      <c r="I54" s="1" t="s">
        <v>181</v>
      </c>
      <c r="J54" s="1" t="s">
        <v>182</v>
      </c>
      <c r="K54" s="1" t="s">
        <v>183</v>
      </c>
      <c r="L54" s="1" t="s">
        <v>184</v>
      </c>
      <c r="M54" s="1" t="s">
        <v>185</v>
      </c>
      <c r="N54" s="1" t="s">
        <v>186</v>
      </c>
      <c r="O54" s="1" t="s">
        <v>187</v>
      </c>
    </row>
    <row r="55" spans="1:295">
      <c r="A55" s="1" t="s">
        <v>207</v>
      </c>
      <c r="C55" s="1" t="s">
        <v>234</v>
      </c>
      <c r="D55" s="1" t="s">
        <v>235</v>
      </c>
      <c r="M55" s="1" t="s">
        <v>226</v>
      </c>
    </row>
    <row r="56" spans="1:295">
      <c r="A56" s="1" t="s">
        <v>236</v>
      </c>
      <c r="B56" s="1" t="s">
        <v>190</v>
      </c>
      <c r="C56" s="1" t="s">
        <v>201</v>
      </c>
      <c r="N56" s="1" t="s">
        <v>202</v>
      </c>
    </row>
    <row r="57" spans="1:295">
      <c r="A57" s="1" t="s">
        <v>237</v>
      </c>
    </row>
    <row r="58" spans="1:295">
      <c r="A58" s="1" t="s">
        <v>238</v>
      </c>
    </row>
    <row r="59" spans="1:295">
      <c r="A59" s="1" t="s">
        <v>239</v>
      </c>
      <c r="B59" s="1" t="s">
        <v>240</v>
      </c>
      <c r="C59" s="1" t="s">
        <v>240</v>
      </c>
      <c r="D59" s="1" t="s">
        <v>242</v>
      </c>
      <c r="E59" s="1" t="s">
        <v>242</v>
      </c>
      <c r="F59" s="1" t="s">
        <v>242</v>
      </c>
      <c r="G59" s="1" t="s">
        <v>243</v>
      </c>
      <c r="H59" s="1" t="s">
        <v>242</v>
      </c>
      <c r="I59" s="1" t="s">
        <v>242</v>
      </c>
      <c r="J59" s="1" t="s">
        <v>242</v>
      </c>
      <c r="K59" s="1" t="s">
        <v>242</v>
      </c>
      <c r="L59" s="1" t="s">
        <v>242</v>
      </c>
      <c r="M59" s="1" t="s">
        <v>242</v>
      </c>
      <c r="N59" s="1" t="s">
        <v>240</v>
      </c>
      <c r="O59" s="1" t="s">
        <v>243</v>
      </c>
    </row>
    <row r="60" spans="1:295">
      <c r="A60" s="1" t="s">
        <v>244</v>
      </c>
      <c r="B60" s="2">
        <v>43405</v>
      </c>
      <c r="C60" s="2">
        <v>43405</v>
      </c>
      <c r="D60" s="2">
        <v>43032</v>
      </c>
      <c r="E60" s="2">
        <v>42971</v>
      </c>
      <c r="F60" s="2">
        <v>42971</v>
      </c>
      <c r="G60" s="2">
        <v>43361</v>
      </c>
      <c r="H60" s="2">
        <v>43005</v>
      </c>
      <c r="I60" s="2">
        <v>43032</v>
      </c>
      <c r="J60" s="2">
        <v>43005</v>
      </c>
      <c r="K60" s="2">
        <v>43005</v>
      </c>
      <c r="L60" s="2">
        <v>43005</v>
      </c>
      <c r="M60" s="2">
        <v>43005</v>
      </c>
      <c r="N60" s="2">
        <v>43405</v>
      </c>
      <c r="O60" s="2">
        <v>43361</v>
      </c>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row>
    <row r="61" spans="1:295">
      <c r="A61" s="1" t="s">
        <v>245</v>
      </c>
      <c r="E61" s="2">
        <v>43054</v>
      </c>
      <c r="F61" s="2">
        <v>43054</v>
      </c>
      <c r="H61" s="2">
        <v>43054</v>
      </c>
      <c r="I61" s="2">
        <v>43054</v>
      </c>
      <c r="J61" s="2">
        <v>43054</v>
      </c>
      <c r="M61" s="2">
        <v>43249</v>
      </c>
      <c r="X61" s="2"/>
      <c r="Z61" s="2"/>
      <c r="AC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row>
    <row r="62" spans="1:295">
      <c r="A62" s="1" t="s">
        <v>246</v>
      </c>
      <c r="B62" s="1" t="s">
        <v>247</v>
      </c>
      <c r="C62" s="1" t="s">
        <v>318</v>
      </c>
      <c r="D62" s="1" t="s">
        <v>319</v>
      </c>
      <c r="E62" s="1" t="s">
        <v>320</v>
      </c>
      <c r="F62" s="1" t="s">
        <v>321</v>
      </c>
      <c r="G62" s="1" t="s">
        <v>322</v>
      </c>
      <c r="H62" s="1" t="s">
        <v>323</v>
      </c>
      <c r="I62" s="1" t="s">
        <v>324</v>
      </c>
      <c r="J62" s="1" t="s">
        <v>325</v>
      </c>
      <c r="K62" s="1" t="s">
        <v>326</v>
      </c>
      <c r="L62" s="1" t="s">
        <v>327</v>
      </c>
      <c r="M62" s="1" t="s">
        <v>328</v>
      </c>
      <c r="N62" s="1" t="s">
        <v>329</v>
      </c>
      <c r="O62" s="1" t="s">
        <v>330</v>
      </c>
    </row>
    <row r="63" spans="1:295">
      <c r="A63" s="1" t="s">
        <v>335</v>
      </c>
      <c r="B63" s="1" t="s">
        <v>336</v>
      </c>
      <c r="C63" s="1" t="s">
        <v>403</v>
      </c>
      <c r="D63" s="1" t="s">
        <v>404</v>
      </c>
      <c r="E63" s="1" t="s">
        <v>405</v>
      </c>
      <c r="F63" s="1" t="s">
        <v>406</v>
      </c>
      <c r="G63" s="1" t="s">
        <v>407</v>
      </c>
      <c r="H63" s="1" t="s">
        <v>408</v>
      </c>
      <c r="I63" s="1" t="s">
        <v>409</v>
      </c>
      <c r="J63" s="1" t="s">
        <v>410</v>
      </c>
      <c r="K63" s="1" t="s">
        <v>411</v>
      </c>
      <c r="L63" s="1" t="s">
        <v>412</v>
      </c>
      <c r="M63" s="1" t="s">
        <v>413</v>
      </c>
      <c r="N63" s="1" t="s">
        <v>414</v>
      </c>
      <c r="O63" s="1" t="s">
        <v>415</v>
      </c>
    </row>
  </sheetData>
  <hyperlinks>
    <hyperlink ref="O3" r:id="rId1" xr:uid="{00000000-0004-0000-1000-000000000000}"/>
    <hyperlink ref="O4" r:id="rId2" xr:uid="{00000000-0004-0000-1000-000001000000}"/>
    <hyperlink ref="O5" r:id="rId3" xr:uid="{00000000-0004-0000-1000-000002000000}"/>
    <hyperlink ref="O6" r:id="rId4" xr:uid="{00000000-0004-0000-1000-000003000000}"/>
    <hyperlink ref="O7" r:id="rId5" xr:uid="{00000000-0004-0000-1000-000004000000}"/>
    <hyperlink ref="O8" r:id="rId6" xr:uid="{00000000-0004-0000-1000-000005000000}"/>
    <hyperlink ref="O9" r:id="rId7" xr:uid="{00000000-0004-0000-1000-000006000000}"/>
    <hyperlink ref="O10" r:id="rId8" xr:uid="{00000000-0004-0000-1000-000007000000}"/>
    <hyperlink ref="O11" r:id="rId9" xr:uid="{00000000-0004-0000-1000-000008000000}"/>
    <hyperlink ref="O12" r:id="rId10" xr:uid="{00000000-0004-0000-1000-000009000000}"/>
    <hyperlink ref="O13" r:id="rId11" xr:uid="{00000000-0004-0000-1000-00000A000000}"/>
    <hyperlink ref="O14" r:id="rId12" xr:uid="{00000000-0004-0000-1000-00000B000000}"/>
    <hyperlink ref="O15" r:id="rId13" xr:uid="{00000000-0004-0000-1000-00000C000000}"/>
    <hyperlink ref="O16" r:id="rId14" xr:uid="{00000000-0004-0000-1000-00000D000000}"/>
    <hyperlink ref="O17" r:id="rId15" xr:uid="{00000000-0004-0000-1000-00000E000000}"/>
    <hyperlink ref="O18" r:id="rId16" xr:uid="{00000000-0004-0000-1000-00000F000000}"/>
    <hyperlink ref="O19" r:id="rId17" xr:uid="{00000000-0004-0000-1000-000010000000}"/>
    <hyperlink ref="O20" r:id="rId18" xr:uid="{00000000-0004-0000-1000-000011000000}"/>
    <hyperlink ref="O21" r:id="rId19" xr:uid="{00000000-0004-0000-1000-000012000000}"/>
    <hyperlink ref="O22" r:id="rId20" xr:uid="{00000000-0004-0000-1000-000013000000}"/>
    <hyperlink ref="O23" r:id="rId21" xr:uid="{00000000-0004-0000-1000-000014000000}"/>
    <hyperlink ref="O24" r:id="rId22" xr:uid="{00000000-0004-0000-1000-000015000000}"/>
    <hyperlink ref="O25" r:id="rId23" xr:uid="{00000000-0004-0000-1000-000016000000}"/>
    <hyperlink ref="O26" r:id="rId24" xr:uid="{00000000-0004-0000-1000-000017000000}"/>
    <hyperlink ref="O27" r:id="rId25" xr:uid="{00000000-0004-0000-1000-000018000000}"/>
    <hyperlink ref="O28" r:id="rId26" xr:uid="{00000000-0004-0000-1000-000019000000}"/>
    <hyperlink ref="O29" r:id="rId27" xr:uid="{00000000-0004-0000-1000-00001A000000}"/>
    <hyperlink ref="O30" r:id="rId28" xr:uid="{00000000-0004-0000-1000-00001B000000}"/>
    <hyperlink ref="O31" r:id="rId29" xr:uid="{00000000-0004-0000-1000-00001C000000}"/>
    <hyperlink ref="O32" r:id="rId30" xr:uid="{00000000-0004-0000-1000-00001D000000}"/>
    <hyperlink ref="O33" r:id="rId31" xr:uid="{00000000-0004-0000-1000-00001E000000}"/>
    <hyperlink ref="O34" r:id="rId32" xr:uid="{00000000-0004-0000-1000-00001F000000}"/>
    <hyperlink ref="O35" r:id="rId33" xr:uid="{00000000-0004-0000-1000-000020000000}"/>
    <hyperlink ref="O36" r:id="rId34" xr:uid="{00000000-0004-0000-1000-000021000000}"/>
    <hyperlink ref="O37" r:id="rId35" xr:uid="{00000000-0004-0000-1000-000022000000}"/>
    <hyperlink ref="O38" r:id="rId36" xr:uid="{00000000-0004-0000-1000-000023000000}"/>
    <hyperlink ref="O39" r:id="rId37" xr:uid="{00000000-0004-0000-1000-000024000000}"/>
    <hyperlink ref="O40" r:id="rId38" xr:uid="{00000000-0004-0000-1000-000025000000}"/>
    <hyperlink ref="O41" r:id="rId39" xr:uid="{00000000-0004-0000-1000-000026000000}"/>
    <hyperlink ref="O42" r:id="rId40" xr:uid="{00000000-0004-0000-1000-000027000000}"/>
    <hyperlink ref="O43" r:id="rId41" xr:uid="{00000000-0004-0000-1000-000028000000}"/>
    <hyperlink ref="O44" r:id="rId42" xr:uid="{00000000-0004-0000-1000-000029000000}"/>
    <hyperlink ref="O45" r:id="rId43" xr:uid="{00000000-0004-0000-1000-00002A000000}"/>
    <hyperlink ref="O46" r:id="rId44" xr:uid="{00000000-0004-0000-1000-00002B000000}"/>
    <hyperlink ref="O47" r:id="rId45" xr:uid="{00000000-0004-0000-1000-00002C000000}"/>
    <hyperlink ref="O48" r:id="rId46" xr:uid="{00000000-0004-0000-1000-00002D000000}"/>
    <hyperlink ref="O49" r:id="rId47" xr:uid="{00000000-0004-0000-1000-00002E000000}"/>
    <hyperlink ref="O50" r:id="rId48" xr:uid="{00000000-0004-0000-1000-00002F000000}"/>
    <hyperlink ref="O51" r:id="rId49" xr:uid="{00000000-0004-0000-1000-000030000000}"/>
    <hyperlink ref="O52" r:id="rId50" xr:uid="{00000000-0004-0000-1000-000031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E06666"/>
    <outlinePr summaryBelow="0" summaryRight="0"/>
  </sheetPr>
  <dimension ref="A1:AP118"/>
  <sheetViews>
    <sheetView workbookViewId="0">
      <pane ySplit="2" topLeftCell="A30" activePane="bottomLeft" state="frozen"/>
      <selection pane="bottomLeft" activeCell="M38" sqref="M38"/>
    </sheetView>
  </sheetViews>
  <sheetFormatPr baseColWidth="10" defaultColWidth="12.6640625" defaultRowHeight="15.75" customHeight="1"/>
  <cols>
    <col min="4" max="4" width="18.33203125" customWidth="1"/>
  </cols>
  <sheetData>
    <row r="1" spans="1:16" ht="13.2">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row>
    <row r="2" spans="1:16" ht="13.2">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row>
    <row r="3" spans="1:16" ht="15.75" customHeight="1">
      <c r="D3" s="3" t="s">
        <v>501</v>
      </c>
      <c r="H3" s="1" t="s">
        <v>1045</v>
      </c>
      <c r="I3" s="1" t="s">
        <v>1046</v>
      </c>
      <c r="J3" s="3" t="s">
        <v>1923</v>
      </c>
      <c r="K3" s="1" t="s">
        <v>1046</v>
      </c>
      <c r="L3" s="1" t="s">
        <v>1046</v>
      </c>
      <c r="M3" s="3" t="s">
        <v>1924</v>
      </c>
      <c r="N3" s="14"/>
      <c r="O3" s="13" t="s">
        <v>1925</v>
      </c>
      <c r="P3" s="1" t="s">
        <v>423</v>
      </c>
    </row>
    <row r="4" spans="1:16" ht="15.75" customHeight="1">
      <c r="D4" s="3" t="s">
        <v>489</v>
      </c>
      <c r="H4" s="1" t="s">
        <v>102</v>
      </c>
      <c r="I4" s="3" t="s">
        <v>1407</v>
      </c>
      <c r="J4" s="1" t="s">
        <v>1046</v>
      </c>
      <c r="M4" s="3" t="s">
        <v>1926</v>
      </c>
      <c r="N4" s="14"/>
      <c r="O4" s="13" t="s">
        <v>1925</v>
      </c>
      <c r="P4" s="1" t="s">
        <v>423</v>
      </c>
    </row>
    <row r="5" spans="1:16" ht="15.75" customHeight="1">
      <c r="D5" s="3" t="s">
        <v>614</v>
      </c>
      <c r="H5" s="1" t="s">
        <v>102</v>
      </c>
      <c r="I5" s="3" t="s">
        <v>1407</v>
      </c>
      <c r="J5" s="1" t="s">
        <v>1046</v>
      </c>
      <c r="M5" s="3" t="s">
        <v>1927</v>
      </c>
      <c r="O5" s="13" t="s">
        <v>1925</v>
      </c>
      <c r="P5" s="1" t="s">
        <v>423</v>
      </c>
    </row>
    <row r="6" spans="1:16" ht="15.75" customHeight="1">
      <c r="D6" s="3" t="s">
        <v>494</v>
      </c>
      <c r="H6" s="1" t="s">
        <v>102</v>
      </c>
      <c r="I6" s="3" t="s">
        <v>1407</v>
      </c>
      <c r="J6" s="1" t="s">
        <v>1046</v>
      </c>
      <c r="M6" s="3" t="s">
        <v>1928</v>
      </c>
      <c r="O6" s="13" t="s">
        <v>1925</v>
      </c>
      <c r="P6" s="1" t="s">
        <v>423</v>
      </c>
    </row>
    <row r="7" spans="1:16" ht="15.75" customHeight="1">
      <c r="D7" s="3" t="s">
        <v>544</v>
      </c>
      <c r="H7" s="1" t="s">
        <v>102</v>
      </c>
      <c r="I7" s="3" t="s">
        <v>1407</v>
      </c>
      <c r="J7" s="1" t="s">
        <v>1046</v>
      </c>
      <c r="M7" s="3" t="s">
        <v>1929</v>
      </c>
      <c r="O7" s="13" t="s">
        <v>1925</v>
      </c>
      <c r="P7" s="1" t="s">
        <v>423</v>
      </c>
    </row>
    <row r="8" spans="1:16" ht="15.75" customHeight="1">
      <c r="D8" s="3" t="s">
        <v>483</v>
      </c>
      <c r="H8" s="1" t="s">
        <v>102</v>
      </c>
      <c r="I8" s="3" t="s">
        <v>1407</v>
      </c>
      <c r="J8" s="1" t="s">
        <v>1046</v>
      </c>
      <c r="M8" s="3" t="s">
        <v>1930</v>
      </c>
      <c r="O8" s="13" t="s">
        <v>1925</v>
      </c>
      <c r="P8" s="1" t="s">
        <v>423</v>
      </c>
    </row>
    <row r="9" spans="1:16" ht="15.75" customHeight="1">
      <c r="D9" s="3" t="s">
        <v>532</v>
      </c>
      <c r="H9" s="1" t="s">
        <v>102</v>
      </c>
      <c r="I9" s="3" t="s">
        <v>1407</v>
      </c>
      <c r="J9" s="1" t="s">
        <v>1046</v>
      </c>
      <c r="M9" s="3" t="s">
        <v>1931</v>
      </c>
      <c r="O9" s="13" t="s">
        <v>1925</v>
      </c>
      <c r="P9" s="1" t="s">
        <v>423</v>
      </c>
    </row>
    <row r="10" spans="1:16" ht="15.75" customHeight="1">
      <c r="D10" s="3" t="s">
        <v>533</v>
      </c>
      <c r="H10" s="1" t="s">
        <v>102</v>
      </c>
      <c r="I10" s="3" t="s">
        <v>1932</v>
      </c>
      <c r="J10" s="1" t="s">
        <v>1046</v>
      </c>
      <c r="M10" s="3" t="s">
        <v>1933</v>
      </c>
      <c r="O10" s="13" t="s">
        <v>1925</v>
      </c>
      <c r="P10" s="1" t="s">
        <v>423</v>
      </c>
    </row>
    <row r="11" spans="1:16" ht="15.75" customHeight="1">
      <c r="D11" s="3" t="s">
        <v>530</v>
      </c>
      <c r="H11" s="1" t="s">
        <v>102</v>
      </c>
      <c r="I11" s="3" t="s">
        <v>1407</v>
      </c>
      <c r="J11" s="1" t="s">
        <v>1046</v>
      </c>
      <c r="M11" s="3" t="s">
        <v>1934</v>
      </c>
      <c r="O11" s="13" t="s">
        <v>1925</v>
      </c>
      <c r="P11" s="1" t="s">
        <v>423</v>
      </c>
    </row>
    <row r="12" spans="1:16" ht="15.75" customHeight="1">
      <c r="D12" s="3" t="s">
        <v>519</v>
      </c>
      <c r="H12" s="1" t="s">
        <v>102</v>
      </c>
      <c r="I12" s="1" t="s">
        <v>1046</v>
      </c>
      <c r="J12" s="1" t="s">
        <v>1046</v>
      </c>
      <c r="M12" s="3" t="s">
        <v>1935</v>
      </c>
      <c r="O12" s="13" t="s">
        <v>1925</v>
      </c>
      <c r="P12" s="1" t="s">
        <v>423</v>
      </c>
    </row>
    <row r="13" spans="1:16" ht="15.75" customHeight="1">
      <c r="D13" s="3" t="s">
        <v>508</v>
      </c>
      <c r="H13" s="1" t="s">
        <v>102</v>
      </c>
      <c r="I13" s="3" t="s">
        <v>1936</v>
      </c>
      <c r="J13" s="1" t="s">
        <v>1046</v>
      </c>
      <c r="M13" s="3" t="s">
        <v>1937</v>
      </c>
      <c r="O13" s="13" t="s">
        <v>1925</v>
      </c>
      <c r="P13" s="1" t="s">
        <v>423</v>
      </c>
    </row>
    <row r="14" spans="1:16" ht="15.75" customHeight="1">
      <c r="D14" s="3" t="s">
        <v>828</v>
      </c>
      <c r="H14" s="1" t="s">
        <v>98</v>
      </c>
      <c r="I14" s="1" t="s">
        <v>1046</v>
      </c>
      <c r="J14" s="1" t="s">
        <v>1938</v>
      </c>
      <c r="K14" s="1" t="s">
        <v>1046</v>
      </c>
      <c r="L14" s="1" t="s">
        <v>1046</v>
      </c>
      <c r="M14" s="3" t="s">
        <v>1939</v>
      </c>
      <c r="O14" s="13" t="s">
        <v>1925</v>
      </c>
      <c r="P14" s="1" t="s">
        <v>423</v>
      </c>
    </row>
    <row r="15" spans="1:16" ht="15.75" customHeight="1">
      <c r="D15" s="3" t="s">
        <v>829</v>
      </c>
      <c r="H15" s="1" t="s">
        <v>102</v>
      </c>
      <c r="I15" s="1" t="s">
        <v>1046</v>
      </c>
      <c r="J15" s="1" t="s">
        <v>1046</v>
      </c>
      <c r="M15" s="3" t="s">
        <v>1940</v>
      </c>
      <c r="O15" s="13" t="s">
        <v>1925</v>
      </c>
      <c r="P15" s="1" t="s">
        <v>423</v>
      </c>
    </row>
    <row r="16" spans="1:16" ht="15.75" customHeight="1">
      <c r="D16" s="3" t="s">
        <v>464</v>
      </c>
      <c r="H16" s="1" t="s">
        <v>102</v>
      </c>
      <c r="I16" s="3" t="s">
        <v>1136</v>
      </c>
      <c r="J16" s="1" t="s">
        <v>1046</v>
      </c>
      <c r="M16" s="3" t="s">
        <v>1941</v>
      </c>
      <c r="O16" s="13" t="s">
        <v>1925</v>
      </c>
      <c r="P16" s="1" t="s">
        <v>423</v>
      </c>
    </row>
    <row r="17" spans="4:16" ht="15.75" customHeight="1">
      <c r="D17" s="3" t="s">
        <v>642</v>
      </c>
      <c r="H17" s="1" t="s">
        <v>102</v>
      </c>
      <c r="I17" s="3" t="s">
        <v>1136</v>
      </c>
      <c r="J17" s="1" t="s">
        <v>1046</v>
      </c>
      <c r="M17" s="3" t="s">
        <v>1942</v>
      </c>
      <c r="O17" s="13" t="s">
        <v>1925</v>
      </c>
      <c r="P17" s="1" t="s">
        <v>423</v>
      </c>
    </row>
    <row r="18" spans="4:16" ht="15.75" customHeight="1">
      <c r="D18" s="3" t="s">
        <v>644</v>
      </c>
      <c r="H18" s="1" t="s">
        <v>102</v>
      </c>
      <c r="I18" s="3" t="s">
        <v>1407</v>
      </c>
      <c r="J18" s="1" t="s">
        <v>1046</v>
      </c>
      <c r="M18" s="3" t="s">
        <v>1943</v>
      </c>
      <c r="O18" s="13" t="s">
        <v>1925</v>
      </c>
      <c r="P18" s="1" t="s">
        <v>423</v>
      </c>
    </row>
    <row r="19" spans="4:16" ht="15.75" customHeight="1">
      <c r="D19" s="3" t="s">
        <v>651</v>
      </c>
      <c r="H19" s="1" t="s">
        <v>102</v>
      </c>
      <c r="I19" s="3" t="s">
        <v>1136</v>
      </c>
      <c r="J19" s="1" t="s">
        <v>1046</v>
      </c>
      <c r="M19" s="3" t="s">
        <v>1944</v>
      </c>
      <c r="O19" s="13" t="s">
        <v>1925</v>
      </c>
      <c r="P19" s="1" t="s">
        <v>423</v>
      </c>
    </row>
    <row r="20" spans="4:16" ht="15.75" customHeight="1">
      <c r="D20" s="3" t="s">
        <v>653</v>
      </c>
      <c r="H20" s="1" t="s">
        <v>102</v>
      </c>
      <c r="I20" s="3" t="s">
        <v>1407</v>
      </c>
      <c r="J20" s="1" t="s">
        <v>1046</v>
      </c>
      <c r="M20" s="3" t="s">
        <v>1945</v>
      </c>
      <c r="O20" s="13" t="s">
        <v>1925</v>
      </c>
      <c r="P20" s="1" t="s">
        <v>423</v>
      </c>
    </row>
    <row r="21" spans="4:16" ht="15.75" customHeight="1">
      <c r="D21" s="1" t="s">
        <v>690</v>
      </c>
      <c r="H21" s="1" t="s">
        <v>1045</v>
      </c>
      <c r="I21" s="1" t="s">
        <v>1046</v>
      </c>
      <c r="J21" s="3" t="s">
        <v>1923</v>
      </c>
      <c r="K21" s="1" t="s">
        <v>1046</v>
      </c>
      <c r="L21" s="1" t="s">
        <v>1046</v>
      </c>
      <c r="M21" s="3" t="s">
        <v>1946</v>
      </c>
      <c r="O21" s="13" t="s">
        <v>1925</v>
      </c>
      <c r="P21" s="1" t="s">
        <v>423</v>
      </c>
    </row>
    <row r="22" spans="4:16" ht="15.75" customHeight="1">
      <c r="D22" s="3" t="s">
        <v>691</v>
      </c>
      <c r="H22" s="1" t="s">
        <v>1045</v>
      </c>
      <c r="I22" s="1" t="s">
        <v>1046</v>
      </c>
      <c r="J22" s="3" t="s">
        <v>1923</v>
      </c>
      <c r="K22" s="1" t="s">
        <v>1046</v>
      </c>
      <c r="L22" s="1" t="s">
        <v>1046</v>
      </c>
      <c r="M22" s="3" t="s">
        <v>1946</v>
      </c>
      <c r="O22" s="13" t="s">
        <v>1925</v>
      </c>
      <c r="P22" s="1" t="s">
        <v>423</v>
      </c>
    </row>
    <row r="23" spans="4:16" ht="15.75" customHeight="1">
      <c r="D23" s="1" t="s">
        <v>692</v>
      </c>
      <c r="H23" s="1" t="s">
        <v>1045</v>
      </c>
      <c r="I23" s="1" t="s">
        <v>1046</v>
      </c>
      <c r="J23" s="3" t="s">
        <v>1923</v>
      </c>
      <c r="K23" s="1" t="s">
        <v>1046</v>
      </c>
      <c r="L23" s="1" t="s">
        <v>1046</v>
      </c>
      <c r="M23" s="3" t="s">
        <v>1946</v>
      </c>
      <c r="O23" s="13" t="s">
        <v>1925</v>
      </c>
      <c r="P23" s="1" t="s">
        <v>423</v>
      </c>
    </row>
    <row r="24" spans="4:16" ht="15.75" customHeight="1">
      <c r="D24" s="1" t="s">
        <v>693</v>
      </c>
      <c r="H24" s="1" t="s">
        <v>1045</v>
      </c>
      <c r="I24" s="1" t="s">
        <v>1046</v>
      </c>
      <c r="J24" s="3" t="s">
        <v>1923</v>
      </c>
      <c r="K24" s="1" t="s">
        <v>1046</v>
      </c>
      <c r="L24" s="1" t="s">
        <v>1046</v>
      </c>
      <c r="M24" s="3" t="s">
        <v>1946</v>
      </c>
      <c r="O24" s="13" t="s">
        <v>1925</v>
      </c>
      <c r="P24" s="1" t="s">
        <v>423</v>
      </c>
    </row>
    <row r="25" spans="4:16" ht="15.75" customHeight="1">
      <c r="D25" s="3" t="s">
        <v>679</v>
      </c>
      <c r="H25" s="1" t="s">
        <v>102</v>
      </c>
      <c r="I25" s="3" t="s">
        <v>1611</v>
      </c>
      <c r="J25" s="1" t="s">
        <v>1046</v>
      </c>
      <c r="M25" s="3" t="s">
        <v>1947</v>
      </c>
      <c r="O25" s="13" t="s">
        <v>1925</v>
      </c>
      <c r="P25" s="1" t="s">
        <v>423</v>
      </c>
    </row>
    <row r="26" spans="4:16" ht="15.75" customHeight="1">
      <c r="D26" s="3" t="s">
        <v>660</v>
      </c>
      <c r="H26" s="1" t="s">
        <v>102</v>
      </c>
      <c r="I26" s="3" t="s">
        <v>1611</v>
      </c>
      <c r="J26" s="1" t="s">
        <v>1046</v>
      </c>
      <c r="M26" s="3" t="s">
        <v>1948</v>
      </c>
      <c r="O26" s="13" t="s">
        <v>1925</v>
      </c>
      <c r="P26" s="1" t="s">
        <v>423</v>
      </c>
    </row>
    <row r="27" spans="4:16" ht="15.75" customHeight="1">
      <c r="D27" s="3" t="s">
        <v>666</v>
      </c>
      <c r="H27" s="1" t="s">
        <v>1949</v>
      </c>
      <c r="I27" s="1" t="s">
        <v>1046</v>
      </c>
      <c r="J27" s="3" t="s">
        <v>1923</v>
      </c>
      <c r="K27" s="1" t="s">
        <v>1046</v>
      </c>
      <c r="L27" s="1" t="s">
        <v>1046</v>
      </c>
      <c r="M27" s="3" t="s">
        <v>1950</v>
      </c>
      <c r="O27" s="13" t="s">
        <v>1925</v>
      </c>
      <c r="P27" s="1" t="s">
        <v>423</v>
      </c>
    </row>
    <row r="28" spans="4:16" ht="15.75" customHeight="1">
      <c r="D28" s="3" t="s">
        <v>667</v>
      </c>
      <c r="H28" s="1" t="s">
        <v>1949</v>
      </c>
      <c r="I28" s="1" t="s">
        <v>1046</v>
      </c>
      <c r="J28" s="3" t="s">
        <v>1923</v>
      </c>
      <c r="K28" s="1" t="s">
        <v>1046</v>
      </c>
      <c r="L28" s="1" t="s">
        <v>1046</v>
      </c>
      <c r="M28" s="3" t="s">
        <v>1951</v>
      </c>
      <c r="O28" s="13" t="s">
        <v>1925</v>
      </c>
      <c r="P28" s="1" t="s">
        <v>423</v>
      </c>
    </row>
    <row r="29" spans="4:16" ht="15.75" customHeight="1">
      <c r="D29" s="3" t="s">
        <v>668</v>
      </c>
      <c r="H29" s="1" t="s">
        <v>1045</v>
      </c>
      <c r="I29" s="1" t="s">
        <v>1046</v>
      </c>
      <c r="J29" s="3" t="s">
        <v>1923</v>
      </c>
      <c r="K29" s="1" t="s">
        <v>1046</v>
      </c>
      <c r="L29" s="1" t="s">
        <v>1046</v>
      </c>
      <c r="M29" s="3" t="s">
        <v>1952</v>
      </c>
      <c r="O29" s="13" t="s">
        <v>1925</v>
      </c>
      <c r="P29" s="1" t="s">
        <v>423</v>
      </c>
    </row>
    <row r="30" spans="4:16" ht="14.4">
      <c r="D30" s="3" t="s">
        <v>637</v>
      </c>
      <c r="H30" s="1" t="s">
        <v>102</v>
      </c>
      <c r="I30" s="3" t="s">
        <v>1953</v>
      </c>
      <c r="J30" s="1" t="s">
        <v>1046</v>
      </c>
      <c r="M30" s="3" t="s">
        <v>1954</v>
      </c>
      <c r="O30" s="13" t="s">
        <v>1925</v>
      </c>
      <c r="P30" s="1" t="s">
        <v>423</v>
      </c>
    </row>
    <row r="31" spans="4:16" ht="14.4">
      <c r="D31" s="3" t="s">
        <v>634</v>
      </c>
      <c r="H31" s="1" t="s">
        <v>102</v>
      </c>
      <c r="I31" s="3" t="s">
        <v>1611</v>
      </c>
      <c r="J31" s="1" t="s">
        <v>1046</v>
      </c>
      <c r="M31" s="3" t="s">
        <v>1955</v>
      </c>
      <c r="O31" s="13" t="s">
        <v>1925</v>
      </c>
      <c r="P31" s="1" t="s">
        <v>423</v>
      </c>
    </row>
    <row r="32" spans="4:16" ht="14.4">
      <c r="D32" s="3" t="s">
        <v>639</v>
      </c>
      <c r="H32" s="1" t="s">
        <v>102</v>
      </c>
      <c r="I32" s="3" t="s">
        <v>1611</v>
      </c>
      <c r="J32" s="1" t="s">
        <v>1046</v>
      </c>
      <c r="M32" s="3" t="s">
        <v>1956</v>
      </c>
      <c r="O32" s="13" t="s">
        <v>1925</v>
      </c>
      <c r="P32" s="1" t="s">
        <v>423</v>
      </c>
    </row>
    <row r="33" spans="4:16" ht="14.4">
      <c r="D33" s="3" t="s">
        <v>647</v>
      </c>
      <c r="H33" s="1" t="s">
        <v>102</v>
      </c>
      <c r="I33" s="3" t="s">
        <v>1611</v>
      </c>
      <c r="J33" s="1" t="s">
        <v>1046</v>
      </c>
      <c r="M33" s="3" t="s">
        <v>1957</v>
      </c>
      <c r="O33" s="13" t="s">
        <v>1925</v>
      </c>
      <c r="P33" s="1" t="s">
        <v>423</v>
      </c>
    </row>
    <row r="34" spans="4:16" ht="14.4">
      <c r="D34" s="3" t="s">
        <v>626</v>
      </c>
      <c r="H34" s="1" t="s">
        <v>102</v>
      </c>
      <c r="I34" s="1" t="s">
        <v>1046</v>
      </c>
      <c r="J34" s="1" t="s">
        <v>1046</v>
      </c>
      <c r="M34" s="3" t="s">
        <v>1958</v>
      </c>
      <c r="O34" s="13" t="s">
        <v>1925</v>
      </c>
      <c r="P34" s="1" t="s">
        <v>423</v>
      </c>
    </row>
    <row r="35" spans="4:16" ht="14.4">
      <c r="D35" s="3" t="s">
        <v>623</v>
      </c>
      <c r="H35" s="1" t="s">
        <v>102</v>
      </c>
      <c r="I35" s="1" t="s">
        <v>1046</v>
      </c>
      <c r="J35" s="1" t="s">
        <v>1046</v>
      </c>
      <c r="M35" s="3" t="s">
        <v>1623</v>
      </c>
      <c r="O35" s="13" t="s">
        <v>1925</v>
      </c>
      <c r="P35" s="1" t="s">
        <v>423</v>
      </c>
    </row>
    <row r="36" spans="4:16" ht="14.4">
      <c r="D36" s="3" t="s">
        <v>662</v>
      </c>
      <c r="H36" s="1" t="s">
        <v>102</v>
      </c>
      <c r="I36" s="3" t="s">
        <v>1611</v>
      </c>
      <c r="J36" s="1" t="s">
        <v>1046</v>
      </c>
      <c r="M36" s="3" t="s">
        <v>1959</v>
      </c>
      <c r="O36" s="13" t="s">
        <v>1925</v>
      </c>
      <c r="P36" s="1" t="s">
        <v>423</v>
      </c>
    </row>
    <row r="37" spans="4:16" ht="14.4">
      <c r="D37" s="3" t="s">
        <v>658</v>
      </c>
      <c r="H37" s="1" t="s">
        <v>1949</v>
      </c>
      <c r="I37" s="1" t="s">
        <v>1046</v>
      </c>
      <c r="J37" s="3" t="s">
        <v>1923</v>
      </c>
      <c r="K37" s="1" t="s">
        <v>1046</v>
      </c>
      <c r="L37" s="1" t="s">
        <v>1046</v>
      </c>
      <c r="M37" s="3" t="s">
        <v>1960</v>
      </c>
      <c r="O37" s="13" t="s">
        <v>1925</v>
      </c>
      <c r="P37" s="1" t="s">
        <v>423</v>
      </c>
    </row>
    <row r="38" spans="4:16" ht="14.4">
      <c r="D38" s="3" t="s">
        <v>1961</v>
      </c>
      <c r="H38" s="1" t="s">
        <v>1949</v>
      </c>
      <c r="I38" s="1" t="s">
        <v>1046</v>
      </c>
      <c r="J38" s="3" t="s">
        <v>1923</v>
      </c>
      <c r="K38" s="1" t="s">
        <v>1046</v>
      </c>
      <c r="L38" s="1" t="s">
        <v>1046</v>
      </c>
      <c r="M38" s="3" t="s">
        <v>1962</v>
      </c>
      <c r="O38" s="13" t="s">
        <v>1925</v>
      </c>
      <c r="P38" s="1" t="s">
        <v>423</v>
      </c>
    </row>
    <row r="39" spans="4:16" ht="14.4">
      <c r="D39" s="3" t="s">
        <v>951</v>
      </c>
      <c r="H39" s="1" t="s">
        <v>102</v>
      </c>
      <c r="I39" s="3" t="s">
        <v>1963</v>
      </c>
      <c r="J39" s="1" t="s">
        <v>1046</v>
      </c>
      <c r="M39" s="3" t="s">
        <v>1964</v>
      </c>
      <c r="O39" s="13" t="s">
        <v>1925</v>
      </c>
      <c r="P39" s="1" t="s">
        <v>423</v>
      </c>
    </row>
    <row r="40" spans="4:16" ht="14.4">
      <c r="D40" s="3" t="s">
        <v>674</v>
      </c>
      <c r="H40" s="1" t="s">
        <v>102</v>
      </c>
      <c r="I40" s="3" t="s">
        <v>1569</v>
      </c>
      <c r="J40" s="1" t="s">
        <v>1046</v>
      </c>
      <c r="M40" s="3" t="s">
        <v>1965</v>
      </c>
      <c r="O40" s="13" t="s">
        <v>1925</v>
      </c>
      <c r="P40" s="1" t="s">
        <v>423</v>
      </c>
    </row>
    <row r="41" spans="4:16" ht="14.4">
      <c r="D41" s="3" t="s">
        <v>675</v>
      </c>
      <c r="H41" s="1" t="s">
        <v>102</v>
      </c>
      <c r="I41" s="3" t="s">
        <v>1569</v>
      </c>
      <c r="J41" s="1" t="s">
        <v>1046</v>
      </c>
      <c r="M41" s="3" t="s">
        <v>1966</v>
      </c>
      <c r="O41" s="13" t="s">
        <v>1925</v>
      </c>
      <c r="P41" s="1" t="s">
        <v>423</v>
      </c>
    </row>
    <row r="42" spans="4:16" ht="14.4">
      <c r="D42" s="3" t="s">
        <v>871</v>
      </c>
      <c r="H42" s="1" t="s">
        <v>102</v>
      </c>
      <c r="I42" s="3" t="s">
        <v>1967</v>
      </c>
      <c r="J42" s="1" t="s">
        <v>1046</v>
      </c>
      <c r="M42" s="3" t="s">
        <v>1968</v>
      </c>
      <c r="O42" s="13" t="s">
        <v>1925</v>
      </c>
      <c r="P42" s="1" t="s">
        <v>423</v>
      </c>
    </row>
    <row r="43" spans="4:16" ht="14.4">
      <c r="D43" s="3" t="s">
        <v>877</v>
      </c>
      <c r="H43" s="1" t="s">
        <v>102</v>
      </c>
      <c r="I43" s="3" t="s">
        <v>1969</v>
      </c>
      <c r="J43" s="1" t="s">
        <v>1046</v>
      </c>
      <c r="M43" s="3" t="s">
        <v>1970</v>
      </c>
      <c r="O43" s="13" t="s">
        <v>1925</v>
      </c>
      <c r="P43" s="1" t="s">
        <v>423</v>
      </c>
    </row>
    <row r="44" spans="4:16" ht="14.4">
      <c r="D44" s="3" t="s">
        <v>733</v>
      </c>
      <c r="H44" s="1" t="s">
        <v>1949</v>
      </c>
      <c r="I44" s="1" t="s">
        <v>1046</v>
      </c>
      <c r="J44" s="3" t="s">
        <v>1923</v>
      </c>
      <c r="K44" s="1" t="s">
        <v>1046</v>
      </c>
      <c r="L44" s="1" t="s">
        <v>1046</v>
      </c>
      <c r="M44" s="3" t="s">
        <v>1971</v>
      </c>
      <c r="O44" s="13" t="s">
        <v>1925</v>
      </c>
      <c r="P44" s="1" t="s">
        <v>423</v>
      </c>
    </row>
    <row r="45" spans="4:16" ht="14.4">
      <c r="D45" s="3" t="s">
        <v>728</v>
      </c>
      <c r="H45" s="1" t="s">
        <v>1949</v>
      </c>
      <c r="I45" s="1" t="s">
        <v>1046</v>
      </c>
      <c r="J45" s="3" t="s">
        <v>1923</v>
      </c>
      <c r="K45" s="1" t="s">
        <v>1046</v>
      </c>
      <c r="L45" s="1" t="s">
        <v>1046</v>
      </c>
      <c r="M45" s="3" t="s">
        <v>1972</v>
      </c>
      <c r="O45" s="13" t="s">
        <v>1925</v>
      </c>
      <c r="P45" s="1" t="s">
        <v>423</v>
      </c>
    </row>
    <row r="46" spans="4:16" ht="14.4">
      <c r="D46" s="3" t="s">
        <v>1973</v>
      </c>
      <c r="H46" s="1" t="s">
        <v>102</v>
      </c>
      <c r="I46" s="3" t="s">
        <v>1963</v>
      </c>
      <c r="J46" s="1" t="s">
        <v>1046</v>
      </c>
      <c r="M46" s="3" t="s">
        <v>1974</v>
      </c>
      <c r="O46" s="13" t="s">
        <v>1925</v>
      </c>
      <c r="P46" s="1" t="s">
        <v>423</v>
      </c>
    </row>
    <row r="47" spans="4:16" ht="14.4">
      <c r="D47" s="3" t="s">
        <v>1975</v>
      </c>
      <c r="H47" s="1" t="s">
        <v>1949</v>
      </c>
      <c r="I47" s="1" t="s">
        <v>1046</v>
      </c>
      <c r="J47" s="3" t="s">
        <v>1976</v>
      </c>
      <c r="K47" s="1" t="s">
        <v>1046</v>
      </c>
      <c r="L47" s="1" t="s">
        <v>1046</v>
      </c>
      <c r="M47" s="3" t="s">
        <v>1977</v>
      </c>
      <c r="O47" s="13" t="s">
        <v>1925</v>
      </c>
      <c r="P47" s="1" t="s">
        <v>423</v>
      </c>
    </row>
    <row r="48" spans="4:16" ht="14.4">
      <c r="D48" s="3" t="s">
        <v>960</v>
      </c>
      <c r="H48" s="1" t="s">
        <v>1949</v>
      </c>
      <c r="I48" s="1" t="s">
        <v>1046</v>
      </c>
      <c r="J48" s="3" t="s">
        <v>1923</v>
      </c>
      <c r="K48" s="1" t="s">
        <v>1046</v>
      </c>
      <c r="L48" s="1" t="s">
        <v>1046</v>
      </c>
      <c r="M48" s="3" t="s">
        <v>1978</v>
      </c>
      <c r="N48" s="4"/>
      <c r="O48" s="13" t="s">
        <v>1925</v>
      </c>
      <c r="P48" s="1" t="s">
        <v>423</v>
      </c>
    </row>
    <row r="49" spans="4:16" ht="14.4">
      <c r="D49" s="3" t="s">
        <v>719</v>
      </c>
      <c r="H49" s="1" t="s">
        <v>1949</v>
      </c>
      <c r="I49" s="1" t="s">
        <v>1046</v>
      </c>
      <c r="J49" s="3" t="s">
        <v>1923</v>
      </c>
      <c r="K49" s="1" t="s">
        <v>1046</v>
      </c>
      <c r="L49" s="1" t="s">
        <v>1046</v>
      </c>
      <c r="M49" s="3" t="s">
        <v>1979</v>
      </c>
      <c r="N49" s="4"/>
      <c r="O49" s="13" t="s">
        <v>1925</v>
      </c>
      <c r="P49" s="1" t="s">
        <v>423</v>
      </c>
    </row>
    <row r="50" spans="4:16" ht="14.4">
      <c r="D50" s="3" t="s">
        <v>722</v>
      </c>
      <c r="H50" s="1" t="s">
        <v>102</v>
      </c>
      <c r="I50" s="3" t="s">
        <v>1611</v>
      </c>
      <c r="J50" s="1" t="s">
        <v>1046</v>
      </c>
      <c r="M50" s="3" t="s">
        <v>1980</v>
      </c>
      <c r="O50" s="13" t="s">
        <v>1925</v>
      </c>
      <c r="P50" s="1" t="s">
        <v>423</v>
      </c>
    </row>
    <row r="51" spans="4:16" ht="14.4">
      <c r="D51" s="3" t="s">
        <v>961</v>
      </c>
      <c r="H51" s="1" t="s">
        <v>1949</v>
      </c>
      <c r="I51" s="1" t="s">
        <v>1046</v>
      </c>
      <c r="J51" s="3" t="s">
        <v>1923</v>
      </c>
      <c r="K51" s="1" t="s">
        <v>1046</v>
      </c>
      <c r="L51" s="1" t="s">
        <v>1046</v>
      </c>
      <c r="M51" s="3" t="s">
        <v>1981</v>
      </c>
      <c r="O51" s="13" t="s">
        <v>1925</v>
      </c>
      <c r="P51" s="1" t="s">
        <v>423</v>
      </c>
    </row>
    <row r="52" spans="4:16" ht="14.4">
      <c r="D52" s="3" t="s">
        <v>962</v>
      </c>
      <c r="H52" s="1" t="s">
        <v>1949</v>
      </c>
      <c r="I52" s="1" t="s">
        <v>1046</v>
      </c>
      <c r="J52" s="3" t="s">
        <v>1982</v>
      </c>
      <c r="K52" s="1" t="s">
        <v>1046</v>
      </c>
      <c r="L52" s="1" t="s">
        <v>1046</v>
      </c>
      <c r="M52" s="3" t="s">
        <v>1983</v>
      </c>
      <c r="O52" s="13" t="s">
        <v>1925</v>
      </c>
      <c r="P52" s="1" t="s">
        <v>423</v>
      </c>
    </row>
    <row r="53" spans="4:16" ht="14.4">
      <c r="D53" s="3" t="s">
        <v>973</v>
      </c>
      <c r="H53" s="1" t="s">
        <v>102</v>
      </c>
      <c r="I53" s="3" t="s">
        <v>1143</v>
      </c>
      <c r="J53" s="1" t="s">
        <v>1046</v>
      </c>
      <c r="M53" s="3" t="s">
        <v>1984</v>
      </c>
      <c r="O53" s="13" t="s">
        <v>1925</v>
      </c>
      <c r="P53" s="1" t="s">
        <v>423</v>
      </c>
    </row>
    <row r="54" spans="4:16" ht="14.4">
      <c r="D54" s="3" t="s">
        <v>977</v>
      </c>
      <c r="H54" s="1" t="s">
        <v>102</v>
      </c>
      <c r="I54" s="3" t="s">
        <v>1143</v>
      </c>
      <c r="J54" s="1" t="s">
        <v>1046</v>
      </c>
      <c r="M54" s="3" t="s">
        <v>1985</v>
      </c>
      <c r="O54" s="13" t="s">
        <v>1925</v>
      </c>
      <c r="P54" s="1" t="s">
        <v>423</v>
      </c>
    </row>
    <row r="55" spans="4:16" ht="14.4">
      <c r="D55" s="3" t="s">
        <v>752</v>
      </c>
      <c r="H55" s="1" t="s">
        <v>1949</v>
      </c>
      <c r="I55" s="1" t="s">
        <v>1046</v>
      </c>
      <c r="J55" s="3" t="s">
        <v>1923</v>
      </c>
      <c r="K55" s="1" t="s">
        <v>1046</v>
      </c>
      <c r="L55" s="1" t="s">
        <v>1046</v>
      </c>
      <c r="M55" s="3" t="s">
        <v>1986</v>
      </c>
      <c r="O55" s="13" t="s">
        <v>1925</v>
      </c>
      <c r="P55" s="1" t="s">
        <v>423</v>
      </c>
    </row>
    <row r="56" spans="4:16" ht="14.4">
      <c r="D56" s="3" t="s">
        <v>753</v>
      </c>
      <c r="H56" s="1" t="s">
        <v>1949</v>
      </c>
      <c r="I56" s="1" t="s">
        <v>1046</v>
      </c>
      <c r="J56" s="3" t="s">
        <v>1923</v>
      </c>
      <c r="K56" s="1" t="s">
        <v>1046</v>
      </c>
      <c r="L56" s="1" t="s">
        <v>1046</v>
      </c>
      <c r="M56" s="3" t="s">
        <v>1986</v>
      </c>
      <c r="O56" s="13" t="s">
        <v>1925</v>
      </c>
      <c r="P56" s="1" t="s">
        <v>423</v>
      </c>
    </row>
    <row r="57" spans="4:16" ht="14.4">
      <c r="D57" s="3" t="s">
        <v>754</v>
      </c>
      <c r="H57" s="1" t="s">
        <v>1949</v>
      </c>
      <c r="I57" s="1" t="s">
        <v>1046</v>
      </c>
      <c r="J57" s="3" t="s">
        <v>1923</v>
      </c>
      <c r="K57" s="1" t="s">
        <v>1046</v>
      </c>
      <c r="L57" s="1" t="s">
        <v>1046</v>
      </c>
      <c r="M57" s="3" t="s">
        <v>1986</v>
      </c>
      <c r="O57" s="13" t="s">
        <v>1925</v>
      </c>
      <c r="P57" s="1" t="s">
        <v>423</v>
      </c>
    </row>
    <row r="58" spans="4:16" ht="14.4">
      <c r="D58" s="3" t="s">
        <v>755</v>
      </c>
      <c r="H58" s="1" t="s">
        <v>1949</v>
      </c>
      <c r="I58" s="1" t="s">
        <v>1046</v>
      </c>
      <c r="J58" s="3" t="s">
        <v>1923</v>
      </c>
      <c r="K58" s="1" t="s">
        <v>1046</v>
      </c>
      <c r="L58" s="1" t="s">
        <v>1046</v>
      </c>
      <c r="M58" s="3" t="s">
        <v>1986</v>
      </c>
      <c r="O58" s="13" t="s">
        <v>1925</v>
      </c>
      <c r="P58" s="1" t="s">
        <v>423</v>
      </c>
    </row>
    <row r="59" spans="4:16" ht="14.4">
      <c r="D59" s="3" t="s">
        <v>935</v>
      </c>
      <c r="H59" s="1" t="s">
        <v>1949</v>
      </c>
      <c r="I59" s="1" t="s">
        <v>1046</v>
      </c>
      <c r="J59" s="3" t="s">
        <v>1923</v>
      </c>
      <c r="K59" s="1" t="s">
        <v>1046</v>
      </c>
      <c r="L59" s="1" t="s">
        <v>1046</v>
      </c>
      <c r="M59" s="3" t="s">
        <v>1987</v>
      </c>
      <c r="O59" s="13" t="s">
        <v>1925</v>
      </c>
      <c r="P59" s="1" t="s">
        <v>423</v>
      </c>
    </row>
    <row r="60" spans="4:16" ht="14.4">
      <c r="D60" s="3" t="s">
        <v>936</v>
      </c>
      <c r="H60" s="1" t="s">
        <v>1949</v>
      </c>
      <c r="I60" s="1" t="s">
        <v>1046</v>
      </c>
      <c r="J60" s="3" t="s">
        <v>1923</v>
      </c>
      <c r="K60" s="1" t="s">
        <v>1046</v>
      </c>
      <c r="L60" s="1" t="s">
        <v>1046</v>
      </c>
      <c r="M60" s="3" t="s">
        <v>1987</v>
      </c>
      <c r="O60" s="13" t="s">
        <v>1925</v>
      </c>
      <c r="P60" s="1" t="s">
        <v>423</v>
      </c>
    </row>
    <row r="61" spans="4:16" ht="14.4">
      <c r="D61" s="3" t="s">
        <v>937</v>
      </c>
      <c r="H61" s="1" t="s">
        <v>1949</v>
      </c>
      <c r="I61" s="1" t="s">
        <v>1046</v>
      </c>
      <c r="J61" s="3" t="s">
        <v>1923</v>
      </c>
      <c r="K61" s="1" t="s">
        <v>1046</v>
      </c>
      <c r="L61" s="1" t="s">
        <v>1046</v>
      </c>
      <c r="M61" s="3" t="s">
        <v>1987</v>
      </c>
      <c r="O61" s="13" t="s">
        <v>1925</v>
      </c>
      <c r="P61" s="1" t="s">
        <v>423</v>
      </c>
    </row>
    <row r="62" spans="4:16" ht="14.4">
      <c r="D62" s="3" t="s">
        <v>939</v>
      </c>
      <c r="H62" s="1" t="s">
        <v>1949</v>
      </c>
      <c r="I62" s="1" t="s">
        <v>1046</v>
      </c>
      <c r="J62" s="3" t="s">
        <v>1923</v>
      </c>
      <c r="K62" s="1" t="s">
        <v>1046</v>
      </c>
      <c r="L62" s="1" t="s">
        <v>1046</v>
      </c>
      <c r="M62" s="3" t="s">
        <v>1987</v>
      </c>
      <c r="O62" s="13" t="s">
        <v>1925</v>
      </c>
      <c r="P62" s="1" t="s">
        <v>423</v>
      </c>
    </row>
    <row r="63" spans="4:16" ht="14.4">
      <c r="D63" s="3" t="s">
        <v>940</v>
      </c>
      <c r="H63" s="1" t="s">
        <v>1949</v>
      </c>
      <c r="I63" s="1" t="s">
        <v>1046</v>
      </c>
      <c r="J63" s="3" t="s">
        <v>1923</v>
      </c>
      <c r="K63" s="1" t="s">
        <v>1046</v>
      </c>
      <c r="L63" s="1" t="s">
        <v>1046</v>
      </c>
      <c r="M63" s="3" t="s">
        <v>1987</v>
      </c>
      <c r="O63" s="13" t="s">
        <v>1925</v>
      </c>
      <c r="P63" s="1" t="s">
        <v>423</v>
      </c>
    </row>
    <row r="64" spans="4:16" ht="14.4">
      <c r="D64" s="3" t="s">
        <v>941</v>
      </c>
      <c r="H64" s="1" t="s">
        <v>1949</v>
      </c>
      <c r="I64" s="1" t="s">
        <v>1046</v>
      </c>
      <c r="J64" s="3" t="s">
        <v>1923</v>
      </c>
      <c r="K64" s="1" t="s">
        <v>1046</v>
      </c>
      <c r="L64" s="1" t="s">
        <v>1046</v>
      </c>
      <c r="M64" s="3" t="s">
        <v>1987</v>
      </c>
      <c r="O64" s="13" t="s">
        <v>1925</v>
      </c>
      <c r="P64" s="1" t="s">
        <v>423</v>
      </c>
    </row>
    <row r="65" spans="4:16" ht="14.4">
      <c r="D65" s="3" t="s">
        <v>942</v>
      </c>
      <c r="H65" s="1" t="s">
        <v>1949</v>
      </c>
      <c r="I65" s="1" t="s">
        <v>1046</v>
      </c>
      <c r="J65" s="3" t="s">
        <v>1923</v>
      </c>
      <c r="K65" s="1" t="s">
        <v>1046</v>
      </c>
      <c r="L65" s="1" t="s">
        <v>1046</v>
      </c>
      <c r="M65" s="3" t="s">
        <v>1987</v>
      </c>
      <c r="O65" s="13" t="s">
        <v>1925</v>
      </c>
      <c r="P65" s="1" t="s">
        <v>423</v>
      </c>
    </row>
    <row r="66" spans="4:16" ht="14.4">
      <c r="D66" s="3" t="s">
        <v>1002</v>
      </c>
      <c r="H66" s="1" t="s">
        <v>1949</v>
      </c>
      <c r="I66" s="1" t="s">
        <v>1046</v>
      </c>
      <c r="J66" s="3" t="s">
        <v>1923</v>
      </c>
      <c r="K66" s="1" t="s">
        <v>1046</v>
      </c>
      <c r="L66" s="1" t="s">
        <v>1046</v>
      </c>
      <c r="M66" s="3" t="s">
        <v>1988</v>
      </c>
      <c r="O66" s="13" t="s">
        <v>1925</v>
      </c>
      <c r="P66" s="1" t="s">
        <v>423</v>
      </c>
    </row>
    <row r="67" spans="4:16" ht="14.4">
      <c r="D67" s="3" t="s">
        <v>1003</v>
      </c>
      <c r="H67" s="1" t="s">
        <v>1949</v>
      </c>
      <c r="I67" s="1" t="s">
        <v>1046</v>
      </c>
      <c r="J67" s="3" t="s">
        <v>1923</v>
      </c>
      <c r="K67" s="1" t="s">
        <v>1046</v>
      </c>
      <c r="L67" s="1" t="s">
        <v>1046</v>
      </c>
      <c r="M67" s="3" t="s">
        <v>1989</v>
      </c>
      <c r="O67" s="13" t="s">
        <v>1925</v>
      </c>
      <c r="P67" s="1" t="s">
        <v>423</v>
      </c>
    </row>
    <row r="68" spans="4:16" ht="14.4">
      <c r="D68" s="3" t="s">
        <v>1004</v>
      </c>
      <c r="H68" s="1" t="s">
        <v>1949</v>
      </c>
      <c r="I68" s="1" t="s">
        <v>1046</v>
      </c>
      <c r="J68" s="3" t="s">
        <v>1923</v>
      </c>
      <c r="K68" s="1" t="s">
        <v>1046</v>
      </c>
      <c r="L68" s="1" t="s">
        <v>1046</v>
      </c>
      <c r="M68" s="3" t="s">
        <v>1990</v>
      </c>
      <c r="O68" s="13" t="s">
        <v>1925</v>
      </c>
      <c r="P68" s="1" t="s">
        <v>423</v>
      </c>
    </row>
    <row r="69" spans="4:16" ht="14.4">
      <c r="D69" s="3" t="s">
        <v>1011</v>
      </c>
      <c r="H69" s="1" t="s">
        <v>1949</v>
      </c>
      <c r="I69" s="1" t="s">
        <v>1046</v>
      </c>
      <c r="J69" s="3" t="s">
        <v>1923</v>
      </c>
      <c r="K69" s="1" t="s">
        <v>1046</v>
      </c>
      <c r="L69" s="1" t="s">
        <v>1046</v>
      </c>
      <c r="M69" s="3" t="s">
        <v>1991</v>
      </c>
      <c r="O69" s="13" t="s">
        <v>1925</v>
      </c>
      <c r="P69" s="1" t="s">
        <v>423</v>
      </c>
    </row>
    <row r="70" spans="4:16" ht="14.4">
      <c r="D70" s="3" t="s">
        <v>1013</v>
      </c>
      <c r="H70" s="1" t="s">
        <v>1949</v>
      </c>
      <c r="I70" s="1" t="s">
        <v>1046</v>
      </c>
      <c r="J70" s="3" t="s">
        <v>1923</v>
      </c>
      <c r="K70" s="1" t="s">
        <v>1046</v>
      </c>
      <c r="L70" s="1" t="s">
        <v>1046</v>
      </c>
      <c r="M70" s="3" t="s">
        <v>1991</v>
      </c>
      <c r="O70" s="13" t="s">
        <v>1925</v>
      </c>
      <c r="P70" s="1" t="s">
        <v>423</v>
      </c>
    </row>
    <row r="71" spans="4:16" ht="14.4">
      <c r="D71" s="3" t="s">
        <v>1015</v>
      </c>
      <c r="H71" s="1" t="s">
        <v>1949</v>
      </c>
      <c r="I71" s="1" t="s">
        <v>1046</v>
      </c>
      <c r="J71" s="3" t="s">
        <v>1923</v>
      </c>
      <c r="K71" s="1" t="s">
        <v>1046</v>
      </c>
      <c r="L71" s="1" t="s">
        <v>1046</v>
      </c>
      <c r="M71" s="3" t="s">
        <v>1991</v>
      </c>
      <c r="O71" s="13" t="s">
        <v>1925</v>
      </c>
      <c r="P71" s="1" t="s">
        <v>423</v>
      </c>
    </row>
    <row r="72" spans="4:16" ht="14.4">
      <c r="D72" s="3" t="s">
        <v>1018</v>
      </c>
      <c r="H72" s="1" t="s">
        <v>1949</v>
      </c>
      <c r="I72" s="1" t="s">
        <v>1046</v>
      </c>
      <c r="J72" s="3" t="s">
        <v>1923</v>
      </c>
      <c r="K72" s="1" t="s">
        <v>1046</v>
      </c>
      <c r="L72" s="1" t="s">
        <v>1046</v>
      </c>
      <c r="M72" s="3" t="s">
        <v>1991</v>
      </c>
      <c r="O72" s="13" t="s">
        <v>1925</v>
      </c>
      <c r="P72" s="1" t="s">
        <v>423</v>
      </c>
    </row>
    <row r="73" spans="4:16" ht="14.4">
      <c r="D73" s="3" t="s">
        <v>1021</v>
      </c>
      <c r="H73" s="1" t="s">
        <v>1949</v>
      </c>
      <c r="I73" s="1" t="s">
        <v>1046</v>
      </c>
      <c r="J73" s="3" t="s">
        <v>1923</v>
      </c>
      <c r="K73" s="1" t="s">
        <v>1046</v>
      </c>
      <c r="L73" s="1" t="s">
        <v>1046</v>
      </c>
      <c r="M73" s="3" t="s">
        <v>1991</v>
      </c>
      <c r="O73" s="13" t="s">
        <v>1925</v>
      </c>
      <c r="P73" s="1" t="s">
        <v>423</v>
      </c>
    </row>
    <row r="74" spans="4:16" ht="14.4">
      <c r="D74" s="3" t="s">
        <v>1022</v>
      </c>
      <c r="H74" s="1" t="s">
        <v>1949</v>
      </c>
      <c r="I74" s="1" t="s">
        <v>1046</v>
      </c>
      <c r="J74" s="3" t="s">
        <v>1923</v>
      </c>
      <c r="K74" s="1" t="s">
        <v>1046</v>
      </c>
      <c r="L74" s="1" t="s">
        <v>1046</v>
      </c>
      <c r="M74" s="3" t="s">
        <v>1991</v>
      </c>
      <c r="O74" s="13" t="s">
        <v>1925</v>
      </c>
      <c r="P74" s="1" t="s">
        <v>423</v>
      </c>
    </row>
    <row r="75" spans="4:16" ht="14.4">
      <c r="D75" s="3" t="s">
        <v>1025</v>
      </c>
      <c r="H75" s="1" t="s">
        <v>1949</v>
      </c>
      <c r="I75" s="1" t="s">
        <v>1046</v>
      </c>
      <c r="J75" s="3" t="s">
        <v>1923</v>
      </c>
      <c r="K75" s="1" t="s">
        <v>1046</v>
      </c>
      <c r="L75" s="1" t="s">
        <v>1046</v>
      </c>
      <c r="M75" s="3" t="s">
        <v>1991</v>
      </c>
      <c r="O75" s="13" t="s">
        <v>1925</v>
      </c>
      <c r="P75" s="1" t="s">
        <v>423</v>
      </c>
    </row>
    <row r="76" spans="4:16" ht="14.4">
      <c r="D76" s="3" t="s">
        <v>1027</v>
      </c>
      <c r="H76" s="1" t="s">
        <v>1949</v>
      </c>
      <c r="I76" s="1" t="s">
        <v>1046</v>
      </c>
      <c r="J76" s="3" t="s">
        <v>1923</v>
      </c>
      <c r="K76" s="1" t="s">
        <v>1046</v>
      </c>
      <c r="L76" s="1" t="s">
        <v>1046</v>
      </c>
      <c r="M76" s="3" t="s">
        <v>1991</v>
      </c>
      <c r="O76" s="13" t="s">
        <v>1925</v>
      </c>
      <c r="P76" s="1" t="s">
        <v>423</v>
      </c>
    </row>
    <row r="77" spans="4:16" ht="14.4">
      <c r="D77" s="3" t="s">
        <v>1006</v>
      </c>
      <c r="H77" s="1" t="s">
        <v>1949</v>
      </c>
      <c r="I77" s="1" t="s">
        <v>1046</v>
      </c>
      <c r="J77" s="3" t="s">
        <v>1992</v>
      </c>
      <c r="K77" s="1" t="s">
        <v>1046</v>
      </c>
      <c r="L77" s="1" t="s">
        <v>1046</v>
      </c>
      <c r="M77" s="3" t="s">
        <v>1993</v>
      </c>
      <c r="O77" s="13" t="s">
        <v>1925</v>
      </c>
      <c r="P77" s="1" t="s">
        <v>423</v>
      </c>
    </row>
    <row r="78" spans="4:16" ht="14.4">
      <c r="D78" s="3" t="s">
        <v>773</v>
      </c>
      <c r="H78" s="1" t="s">
        <v>1949</v>
      </c>
      <c r="I78" s="1" t="s">
        <v>1046</v>
      </c>
      <c r="J78" s="3" t="s">
        <v>1994</v>
      </c>
      <c r="K78" s="1" t="s">
        <v>1046</v>
      </c>
      <c r="L78" s="1" t="s">
        <v>1046</v>
      </c>
      <c r="M78" s="3" t="s">
        <v>1995</v>
      </c>
      <c r="O78" s="13" t="s">
        <v>1925</v>
      </c>
      <c r="P78" s="1" t="s">
        <v>423</v>
      </c>
    </row>
    <row r="79" spans="4:16" ht="14.4">
      <c r="D79" s="3" t="s">
        <v>774</v>
      </c>
      <c r="H79" s="1" t="s">
        <v>1045</v>
      </c>
      <c r="I79" s="1" t="s">
        <v>1046</v>
      </c>
      <c r="J79" s="3" t="s">
        <v>1994</v>
      </c>
      <c r="K79" s="1" t="s">
        <v>1046</v>
      </c>
      <c r="L79" s="1" t="s">
        <v>1046</v>
      </c>
      <c r="M79" s="3" t="s">
        <v>1996</v>
      </c>
      <c r="O79" s="13" t="s">
        <v>1925</v>
      </c>
      <c r="P79" s="1" t="s">
        <v>423</v>
      </c>
    </row>
    <row r="80" spans="4:16" ht="14.4">
      <c r="D80" s="3" t="s">
        <v>775</v>
      </c>
      <c r="H80" s="1" t="s">
        <v>1045</v>
      </c>
      <c r="I80" s="1" t="s">
        <v>1046</v>
      </c>
      <c r="J80" s="3" t="s">
        <v>1994</v>
      </c>
      <c r="K80" s="1" t="s">
        <v>1046</v>
      </c>
      <c r="L80" s="1" t="s">
        <v>1046</v>
      </c>
      <c r="M80" s="3" t="s">
        <v>1997</v>
      </c>
      <c r="O80" s="13" t="s">
        <v>1925</v>
      </c>
      <c r="P80" s="1" t="s">
        <v>423</v>
      </c>
    </row>
    <row r="81" spans="4:16" ht="14.4">
      <c r="D81" s="3" t="s">
        <v>776</v>
      </c>
      <c r="H81" s="1" t="s">
        <v>1045</v>
      </c>
      <c r="I81" s="1" t="s">
        <v>1046</v>
      </c>
      <c r="J81" s="3" t="s">
        <v>1994</v>
      </c>
      <c r="K81" s="1" t="s">
        <v>1046</v>
      </c>
      <c r="L81" s="1" t="s">
        <v>1046</v>
      </c>
      <c r="M81" s="3" t="s">
        <v>1998</v>
      </c>
      <c r="O81" s="13" t="s">
        <v>1925</v>
      </c>
      <c r="P81" s="1" t="s">
        <v>423</v>
      </c>
    </row>
    <row r="82" spans="4:16" ht="14.4">
      <c r="D82" s="3" t="s">
        <v>842</v>
      </c>
      <c r="H82" s="1" t="s">
        <v>1949</v>
      </c>
      <c r="I82" s="1" t="s">
        <v>1046</v>
      </c>
      <c r="J82" s="3" t="s">
        <v>1994</v>
      </c>
      <c r="K82" s="1" t="s">
        <v>1046</v>
      </c>
      <c r="L82" s="1" t="s">
        <v>1046</v>
      </c>
      <c r="M82" s="3" t="s">
        <v>1999</v>
      </c>
      <c r="O82" s="13" t="s">
        <v>1925</v>
      </c>
      <c r="P82" s="1" t="s">
        <v>423</v>
      </c>
    </row>
    <row r="83" spans="4:16" ht="14.4">
      <c r="D83" s="3" t="s">
        <v>843</v>
      </c>
      <c r="H83" s="1" t="s">
        <v>1045</v>
      </c>
      <c r="I83" s="1" t="s">
        <v>1046</v>
      </c>
      <c r="J83" s="3" t="s">
        <v>1994</v>
      </c>
      <c r="K83" s="1" t="s">
        <v>1046</v>
      </c>
      <c r="L83" s="1" t="s">
        <v>1046</v>
      </c>
      <c r="M83" s="3" t="s">
        <v>2000</v>
      </c>
      <c r="O83" s="13" t="s">
        <v>1925</v>
      </c>
      <c r="P83" s="1" t="s">
        <v>423</v>
      </c>
    </row>
    <row r="84" spans="4:16" ht="14.4">
      <c r="D84" s="3" t="s">
        <v>844</v>
      </c>
      <c r="H84" s="1" t="s">
        <v>1045</v>
      </c>
      <c r="I84" s="1" t="s">
        <v>1046</v>
      </c>
      <c r="J84" s="3" t="s">
        <v>1994</v>
      </c>
      <c r="K84" s="1" t="s">
        <v>1046</v>
      </c>
      <c r="L84" s="1" t="s">
        <v>1046</v>
      </c>
      <c r="M84" s="3" t="s">
        <v>2001</v>
      </c>
      <c r="O84" s="13" t="s">
        <v>1925</v>
      </c>
      <c r="P84" s="1" t="s">
        <v>423</v>
      </c>
    </row>
    <row r="85" spans="4:16" ht="14.4">
      <c r="D85" s="3" t="s">
        <v>2002</v>
      </c>
      <c r="H85" s="1" t="s">
        <v>1045</v>
      </c>
      <c r="I85" s="1" t="s">
        <v>1046</v>
      </c>
      <c r="J85" s="3" t="s">
        <v>1994</v>
      </c>
      <c r="K85" s="1" t="s">
        <v>1046</v>
      </c>
      <c r="L85" s="1" t="s">
        <v>1046</v>
      </c>
      <c r="M85" s="3" t="s">
        <v>2003</v>
      </c>
      <c r="O85" s="13" t="s">
        <v>1925</v>
      </c>
      <c r="P85" s="1" t="s">
        <v>423</v>
      </c>
    </row>
    <row r="86" spans="4:16" ht="14.4">
      <c r="D86" s="3" t="s">
        <v>845</v>
      </c>
      <c r="H86" s="1" t="s">
        <v>1949</v>
      </c>
      <c r="I86" s="1" t="s">
        <v>1046</v>
      </c>
      <c r="J86" s="3" t="s">
        <v>1994</v>
      </c>
      <c r="K86" s="1" t="s">
        <v>1046</v>
      </c>
      <c r="L86" s="1" t="s">
        <v>1046</v>
      </c>
      <c r="M86" s="3" t="s">
        <v>2004</v>
      </c>
      <c r="O86" s="13" t="s">
        <v>1925</v>
      </c>
      <c r="P86" s="1" t="s">
        <v>423</v>
      </c>
    </row>
    <row r="87" spans="4:16" ht="14.4">
      <c r="D87" s="3" t="s">
        <v>846</v>
      </c>
      <c r="H87" s="1" t="s">
        <v>1045</v>
      </c>
      <c r="I87" s="1" t="s">
        <v>1046</v>
      </c>
      <c r="J87" s="3" t="s">
        <v>1994</v>
      </c>
      <c r="K87" s="1" t="s">
        <v>1046</v>
      </c>
      <c r="L87" s="1" t="s">
        <v>1046</v>
      </c>
      <c r="M87" s="3" t="s">
        <v>2005</v>
      </c>
      <c r="O87" s="13" t="s">
        <v>1925</v>
      </c>
      <c r="P87" s="1" t="s">
        <v>423</v>
      </c>
    </row>
    <row r="88" spans="4:16" ht="14.4">
      <c r="D88" s="3" t="s">
        <v>847</v>
      </c>
      <c r="H88" s="1" t="s">
        <v>1045</v>
      </c>
      <c r="I88" s="1" t="s">
        <v>1046</v>
      </c>
      <c r="J88" s="3" t="s">
        <v>1994</v>
      </c>
      <c r="K88" s="1" t="s">
        <v>1046</v>
      </c>
      <c r="L88" s="1" t="s">
        <v>1046</v>
      </c>
      <c r="M88" s="3" t="s">
        <v>2006</v>
      </c>
      <c r="O88" s="13" t="s">
        <v>1925</v>
      </c>
      <c r="P88" s="1" t="s">
        <v>423</v>
      </c>
    </row>
    <row r="89" spans="4:16" ht="14.4">
      <c r="D89" s="3" t="s">
        <v>741</v>
      </c>
      <c r="H89" s="1" t="s">
        <v>1949</v>
      </c>
      <c r="I89" s="1" t="s">
        <v>1046</v>
      </c>
      <c r="J89" s="3" t="s">
        <v>1994</v>
      </c>
      <c r="K89" s="1" t="s">
        <v>1046</v>
      </c>
      <c r="L89" s="1" t="s">
        <v>1046</v>
      </c>
      <c r="M89" s="3" t="s">
        <v>2007</v>
      </c>
      <c r="O89" s="13" t="s">
        <v>1925</v>
      </c>
      <c r="P89" s="1" t="s">
        <v>423</v>
      </c>
    </row>
    <row r="90" spans="4:16" ht="14.4">
      <c r="D90" s="3" t="s">
        <v>742</v>
      </c>
      <c r="H90" s="1" t="s">
        <v>1045</v>
      </c>
      <c r="I90" s="1" t="s">
        <v>1046</v>
      </c>
      <c r="J90" s="3" t="s">
        <v>1994</v>
      </c>
      <c r="K90" s="1" t="s">
        <v>1046</v>
      </c>
      <c r="L90" s="1" t="s">
        <v>1046</v>
      </c>
      <c r="M90" s="3" t="s">
        <v>2008</v>
      </c>
      <c r="O90" s="13" t="s">
        <v>1925</v>
      </c>
      <c r="P90" s="1" t="s">
        <v>423</v>
      </c>
    </row>
    <row r="91" spans="4:16" ht="14.4">
      <c r="D91" s="3" t="s">
        <v>744</v>
      </c>
      <c r="H91" s="1" t="s">
        <v>1045</v>
      </c>
      <c r="I91" s="1" t="s">
        <v>1046</v>
      </c>
      <c r="J91" s="3" t="s">
        <v>1994</v>
      </c>
      <c r="K91" s="1" t="s">
        <v>1046</v>
      </c>
      <c r="L91" s="1" t="s">
        <v>1046</v>
      </c>
      <c r="M91" s="3" t="s">
        <v>2009</v>
      </c>
      <c r="O91" s="13" t="s">
        <v>1925</v>
      </c>
      <c r="P91" s="1" t="s">
        <v>423</v>
      </c>
    </row>
    <row r="92" spans="4:16" ht="14.4">
      <c r="D92" s="3" t="s">
        <v>745</v>
      </c>
      <c r="H92" s="1" t="s">
        <v>1045</v>
      </c>
      <c r="I92" s="1" t="s">
        <v>1046</v>
      </c>
      <c r="J92" s="3" t="s">
        <v>1994</v>
      </c>
      <c r="K92" s="1" t="s">
        <v>1046</v>
      </c>
      <c r="L92" s="1" t="s">
        <v>1046</v>
      </c>
      <c r="M92" s="3" t="s">
        <v>2010</v>
      </c>
      <c r="O92" s="13" t="s">
        <v>1925</v>
      </c>
      <c r="P92" s="1" t="s">
        <v>423</v>
      </c>
    </row>
    <row r="93" spans="4:16" ht="14.4">
      <c r="D93" s="3" t="s">
        <v>746</v>
      </c>
      <c r="H93" s="1" t="s">
        <v>1045</v>
      </c>
      <c r="I93" s="1" t="s">
        <v>1046</v>
      </c>
      <c r="J93" s="3" t="s">
        <v>1994</v>
      </c>
      <c r="K93" s="1" t="s">
        <v>1046</v>
      </c>
      <c r="L93" s="1" t="s">
        <v>1046</v>
      </c>
      <c r="M93" s="3" t="s">
        <v>2011</v>
      </c>
      <c r="O93" s="13" t="s">
        <v>1925</v>
      </c>
      <c r="P93" s="1" t="s">
        <v>423</v>
      </c>
    </row>
    <row r="94" spans="4:16" ht="14.4">
      <c r="D94" s="3" t="s">
        <v>748</v>
      </c>
      <c r="H94" s="1" t="s">
        <v>1045</v>
      </c>
      <c r="I94" s="1" t="s">
        <v>1046</v>
      </c>
      <c r="J94" s="3" t="s">
        <v>1994</v>
      </c>
      <c r="K94" s="1" t="s">
        <v>1046</v>
      </c>
      <c r="L94" s="1" t="s">
        <v>1046</v>
      </c>
      <c r="M94" s="3" t="s">
        <v>2012</v>
      </c>
      <c r="O94" s="13" t="s">
        <v>1925</v>
      </c>
      <c r="P94" s="1" t="s">
        <v>423</v>
      </c>
    </row>
    <row r="95" spans="4:16" ht="14.4">
      <c r="D95" s="3" t="s">
        <v>820</v>
      </c>
      <c r="H95" s="1" t="s">
        <v>1949</v>
      </c>
      <c r="I95" s="1" t="s">
        <v>1046</v>
      </c>
      <c r="J95" s="3" t="s">
        <v>1994</v>
      </c>
      <c r="K95" s="1" t="s">
        <v>1046</v>
      </c>
      <c r="L95" s="1" t="s">
        <v>1046</v>
      </c>
      <c r="M95" s="3" t="s">
        <v>2013</v>
      </c>
      <c r="O95" s="13" t="s">
        <v>1925</v>
      </c>
      <c r="P95" s="1" t="s">
        <v>423</v>
      </c>
    </row>
    <row r="96" spans="4:16" ht="14.4">
      <c r="D96" s="3" t="s">
        <v>812</v>
      </c>
      <c r="H96" s="1" t="s">
        <v>1045</v>
      </c>
      <c r="I96" s="1" t="s">
        <v>1046</v>
      </c>
      <c r="J96" s="3" t="s">
        <v>1994</v>
      </c>
      <c r="K96" s="1" t="s">
        <v>1046</v>
      </c>
      <c r="L96" s="1" t="s">
        <v>1046</v>
      </c>
      <c r="M96" s="3" t="s">
        <v>2014</v>
      </c>
      <c r="O96" s="13" t="s">
        <v>1925</v>
      </c>
      <c r="P96" s="1" t="s">
        <v>423</v>
      </c>
    </row>
    <row r="97" spans="1:16" ht="14.4">
      <c r="D97" s="3" t="s">
        <v>822</v>
      </c>
      <c r="H97" s="1" t="s">
        <v>1045</v>
      </c>
      <c r="I97" s="1" t="s">
        <v>1046</v>
      </c>
      <c r="J97" s="3" t="s">
        <v>1994</v>
      </c>
      <c r="K97" s="1" t="s">
        <v>1046</v>
      </c>
      <c r="L97" s="1" t="s">
        <v>1046</v>
      </c>
      <c r="M97" s="3" t="s">
        <v>2015</v>
      </c>
      <c r="O97" s="13" t="s">
        <v>1925</v>
      </c>
      <c r="P97" s="1" t="s">
        <v>423</v>
      </c>
    </row>
    <row r="98" spans="1:16" ht="14.4">
      <c r="D98" s="3" t="s">
        <v>2016</v>
      </c>
      <c r="H98" s="1" t="s">
        <v>1045</v>
      </c>
      <c r="I98" s="1" t="s">
        <v>1046</v>
      </c>
      <c r="J98" s="3" t="s">
        <v>1994</v>
      </c>
      <c r="K98" s="1" t="s">
        <v>1046</v>
      </c>
      <c r="L98" s="1" t="s">
        <v>1046</v>
      </c>
      <c r="M98" s="3" t="s">
        <v>2017</v>
      </c>
      <c r="O98" s="13" t="s">
        <v>1925</v>
      </c>
      <c r="P98" s="1" t="s">
        <v>423</v>
      </c>
    </row>
    <row r="99" spans="1:16" ht="14.4">
      <c r="D99" s="3" t="s">
        <v>816</v>
      </c>
      <c r="H99" s="1" t="s">
        <v>1045</v>
      </c>
      <c r="I99" s="1" t="s">
        <v>1046</v>
      </c>
      <c r="J99" s="3" t="s">
        <v>1994</v>
      </c>
      <c r="K99" s="1" t="s">
        <v>1046</v>
      </c>
      <c r="L99" s="1" t="s">
        <v>1046</v>
      </c>
      <c r="M99" s="3" t="s">
        <v>2018</v>
      </c>
      <c r="O99" s="13" t="s">
        <v>1925</v>
      </c>
      <c r="P99" s="1" t="s">
        <v>423</v>
      </c>
    </row>
    <row r="100" spans="1:16" ht="14.4">
      <c r="D100" s="3" t="s">
        <v>794</v>
      </c>
      <c r="H100" s="1" t="s">
        <v>1045</v>
      </c>
      <c r="I100" s="1" t="s">
        <v>1046</v>
      </c>
      <c r="J100" s="3" t="s">
        <v>1994</v>
      </c>
      <c r="K100" s="1" t="s">
        <v>1046</v>
      </c>
      <c r="L100" s="1" t="s">
        <v>1046</v>
      </c>
      <c r="M100" s="3" t="s">
        <v>2019</v>
      </c>
      <c r="O100" s="13" t="s">
        <v>1925</v>
      </c>
      <c r="P100" s="1" t="s">
        <v>423</v>
      </c>
    </row>
    <row r="101" spans="1:16" ht="14.4">
      <c r="D101" s="3" t="s">
        <v>795</v>
      </c>
      <c r="H101" s="1" t="s">
        <v>1045</v>
      </c>
      <c r="I101" s="1" t="s">
        <v>1046</v>
      </c>
      <c r="J101" s="3" t="s">
        <v>1994</v>
      </c>
      <c r="K101" s="1" t="s">
        <v>1046</v>
      </c>
      <c r="L101" s="1" t="s">
        <v>1046</v>
      </c>
      <c r="M101" s="3" t="s">
        <v>2020</v>
      </c>
      <c r="O101" s="13" t="s">
        <v>1925</v>
      </c>
      <c r="P101" s="1" t="s">
        <v>423</v>
      </c>
    </row>
    <row r="102" spans="1:16" ht="14.4">
      <c r="D102" s="3" t="s">
        <v>796</v>
      </c>
      <c r="H102" s="1" t="s">
        <v>1045</v>
      </c>
      <c r="I102" s="1" t="s">
        <v>1046</v>
      </c>
      <c r="J102" s="3" t="s">
        <v>1994</v>
      </c>
      <c r="K102" s="1" t="s">
        <v>1046</v>
      </c>
      <c r="L102" s="1" t="s">
        <v>1046</v>
      </c>
      <c r="M102" s="3" t="s">
        <v>2021</v>
      </c>
      <c r="O102" s="13" t="s">
        <v>1925</v>
      </c>
      <c r="P102" s="1" t="s">
        <v>423</v>
      </c>
    </row>
    <row r="103" spans="1:16" ht="14.4">
      <c r="D103" s="3" t="s">
        <v>807</v>
      </c>
      <c r="H103" s="1" t="s">
        <v>1045</v>
      </c>
      <c r="I103" s="1" t="s">
        <v>1046</v>
      </c>
      <c r="J103" s="3" t="s">
        <v>1994</v>
      </c>
      <c r="K103" s="1" t="s">
        <v>1046</v>
      </c>
      <c r="L103" s="1" t="s">
        <v>1046</v>
      </c>
      <c r="M103" s="3" t="s">
        <v>2022</v>
      </c>
      <c r="O103" s="13" t="s">
        <v>1925</v>
      </c>
      <c r="P103" s="1" t="s">
        <v>423</v>
      </c>
    </row>
    <row r="104" spans="1:16" ht="14.4">
      <c r="D104" s="3" t="s">
        <v>805</v>
      </c>
      <c r="H104" s="1" t="s">
        <v>1045</v>
      </c>
      <c r="I104" s="1" t="s">
        <v>1046</v>
      </c>
      <c r="J104" s="3" t="s">
        <v>1994</v>
      </c>
      <c r="K104" s="1" t="s">
        <v>1046</v>
      </c>
      <c r="L104" s="1" t="s">
        <v>1046</v>
      </c>
      <c r="M104" s="3" t="s">
        <v>2023</v>
      </c>
      <c r="O104" s="13" t="s">
        <v>1925</v>
      </c>
      <c r="P104" s="1" t="s">
        <v>423</v>
      </c>
    </row>
    <row r="105" spans="1:16" ht="14.4">
      <c r="D105" s="3" t="s">
        <v>2024</v>
      </c>
      <c r="H105" s="1" t="s">
        <v>1045</v>
      </c>
      <c r="I105" s="1" t="s">
        <v>1046</v>
      </c>
      <c r="J105" s="3" t="s">
        <v>1994</v>
      </c>
      <c r="K105" s="1" t="s">
        <v>1046</v>
      </c>
      <c r="L105" s="1" t="s">
        <v>1046</v>
      </c>
      <c r="M105" s="3" t="s">
        <v>2025</v>
      </c>
      <c r="O105" s="13" t="s">
        <v>1925</v>
      </c>
      <c r="P105" s="1" t="s">
        <v>423</v>
      </c>
    </row>
    <row r="106" spans="1:16" ht="14.4">
      <c r="D106" s="3" t="s">
        <v>798</v>
      </c>
      <c r="H106" s="1" t="s">
        <v>1045</v>
      </c>
      <c r="I106" s="1" t="s">
        <v>1046</v>
      </c>
      <c r="J106" s="3" t="s">
        <v>1994</v>
      </c>
      <c r="K106" s="1" t="s">
        <v>1046</v>
      </c>
      <c r="L106" s="1" t="s">
        <v>1046</v>
      </c>
      <c r="M106" s="3" t="s">
        <v>2026</v>
      </c>
      <c r="O106" s="13" t="s">
        <v>1925</v>
      </c>
      <c r="P106" s="1" t="s">
        <v>423</v>
      </c>
    </row>
    <row r="107" spans="1:16" ht="14.4">
      <c r="D107" s="3" t="s">
        <v>799</v>
      </c>
      <c r="H107" s="1" t="s">
        <v>1045</v>
      </c>
      <c r="I107" s="1" t="s">
        <v>1046</v>
      </c>
      <c r="J107" s="3" t="s">
        <v>1994</v>
      </c>
      <c r="K107" s="1" t="s">
        <v>1046</v>
      </c>
      <c r="L107" s="1" t="s">
        <v>1046</v>
      </c>
      <c r="M107" s="3" t="s">
        <v>2027</v>
      </c>
      <c r="O107" s="13" t="s">
        <v>1925</v>
      </c>
      <c r="P107" s="1" t="s">
        <v>423</v>
      </c>
    </row>
    <row r="108" spans="1:16" ht="13.2">
      <c r="A108" s="1" t="s">
        <v>85</v>
      </c>
      <c r="B108" s="1" t="s">
        <v>97</v>
      </c>
      <c r="C108" s="1" t="s">
        <v>98</v>
      </c>
      <c r="D108" s="1" t="s">
        <v>98</v>
      </c>
      <c r="E108" s="1" t="s">
        <v>98</v>
      </c>
      <c r="F108" s="1" t="s">
        <v>98</v>
      </c>
      <c r="G108" s="1" t="s">
        <v>98</v>
      </c>
      <c r="H108" s="1" t="s">
        <v>98</v>
      </c>
      <c r="I108" s="1" t="s">
        <v>98</v>
      </c>
      <c r="J108" s="1" t="s">
        <v>98</v>
      </c>
      <c r="K108" s="1" t="s">
        <v>98</v>
      </c>
      <c r="L108" s="1" t="s">
        <v>98</v>
      </c>
      <c r="M108" s="1" t="s">
        <v>98</v>
      </c>
      <c r="N108" s="1" t="s">
        <v>98</v>
      </c>
      <c r="O108" s="1" t="s">
        <v>98</v>
      </c>
    </row>
    <row r="109" spans="1:16" ht="13.2">
      <c r="A109" s="1" t="s">
        <v>103</v>
      </c>
      <c r="B109" s="1" t="s">
        <v>104</v>
      </c>
      <c r="C109" s="1" t="s">
        <v>175</v>
      </c>
      <c r="D109" s="1" t="s">
        <v>176</v>
      </c>
      <c r="E109" s="1" t="s">
        <v>177</v>
      </c>
      <c r="F109" s="1" t="s">
        <v>178</v>
      </c>
      <c r="G109" s="1" t="s">
        <v>179</v>
      </c>
      <c r="H109" s="1" t="s">
        <v>180</v>
      </c>
      <c r="I109" s="1" t="s">
        <v>181</v>
      </c>
      <c r="J109" s="1" t="s">
        <v>182</v>
      </c>
      <c r="K109" s="1" t="s">
        <v>183</v>
      </c>
      <c r="L109" s="1" t="s">
        <v>184</v>
      </c>
      <c r="M109" s="1" t="s">
        <v>185</v>
      </c>
      <c r="N109" s="1" t="s">
        <v>186</v>
      </c>
      <c r="O109" s="1" t="s">
        <v>187</v>
      </c>
    </row>
    <row r="110" spans="1:16" ht="13.2">
      <c r="A110" s="1" t="s">
        <v>207</v>
      </c>
      <c r="C110" s="1" t="s">
        <v>234</v>
      </c>
      <c r="D110" s="1" t="s">
        <v>235</v>
      </c>
      <c r="M110" s="1" t="s">
        <v>226</v>
      </c>
    </row>
    <row r="111" spans="1:16" ht="13.2">
      <c r="A111" s="1" t="s">
        <v>236</v>
      </c>
      <c r="B111" s="1" t="s">
        <v>190</v>
      </c>
      <c r="C111" s="1" t="s">
        <v>201</v>
      </c>
      <c r="N111" s="1" t="s">
        <v>202</v>
      </c>
    </row>
    <row r="112" spans="1:16" ht="13.2">
      <c r="A112" s="1" t="s">
        <v>237</v>
      </c>
    </row>
    <row r="113" spans="1:42" ht="13.2">
      <c r="A113" s="1" t="s">
        <v>238</v>
      </c>
    </row>
    <row r="114" spans="1:42" ht="13.2">
      <c r="A114" s="1" t="s">
        <v>239</v>
      </c>
      <c r="B114" s="1" t="s">
        <v>240</v>
      </c>
      <c r="C114" s="1" t="s">
        <v>240</v>
      </c>
      <c r="D114" s="1" t="s">
        <v>242</v>
      </c>
      <c r="E114" s="1" t="s">
        <v>242</v>
      </c>
      <c r="F114" s="1" t="s">
        <v>242</v>
      </c>
      <c r="G114" s="1" t="s">
        <v>243</v>
      </c>
      <c r="H114" s="1" t="s">
        <v>242</v>
      </c>
      <c r="I114" s="1" t="s">
        <v>242</v>
      </c>
      <c r="J114" s="1" t="s">
        <v>242</v>
      </c>
      <c r="K114" s="1" t="s">
        <v>242</v>
      </c>
      <c r="L114" s="1" t="s">
        <v>242</v>
      </c>
      <c r="M114" s="1" t="s">
        <v>242</v>
      </c>
      <c r="N114" s="1" t="s">
        <v>240</v>
      </c>
      <c r="O114" s="1" t="s">
        <v>243</v>
      </c>
    </row>
    <row r="115" spans="1:42" ht="13.2">
      <c r="A115" s="1" t="s">
        <v>244</v>
      </c>
      <c r="B115" s="2">
        <v>43405</v>
      </c>
      <c r="C115" s="2">
        <v>43405</v>
      </c>
      <c r="D115" s="2">
        <v>43032</v>
      </c>
      <c r="E115" s="2">
        <v>42971</v>
      </c>
      <c r="F115" s="2">
        <v>42971</v>
      </c>
      <c r="G115" s="2">
        <v>43361</v>
      </c>
      <c r="H115" s="2">
        <v>43005</v>
      </c>
      <c r="I115" s="2">
        <v>43032</v>
      </c>
      <c r="J115" s="2">
        <v>43005</v>
      </c>
      <c r="K115" s="2">
        <v>43005</v>
      </c>
      <c r="L115" s="2">
        <v>43005</v>
      </c>
      <c r="M115" s="2">
        <v>43005</v>
      </c>
      <c r="N115" s="2">
        <v>43405</v>
      </c>
      <c r="O115" s="2">
        <v>43361</v>
      </c>
      <c r="X115" s="2"/>
      <c r="Y115" s="2"/>
      <c r="Z115" s="2"/>
      <c r="AA115" s="2"/>
      <c r="AB115" s="2"/>
      <c r="AC115" s="2"/>
      <c r="AD115" s="2"/>
      <c r="AE115" s="2"/>
      <c r="AF115" s="2"/>
      <c r="AG115" s="2"/>
      <c r="AH115" s="2"/>
      <c r="AI115" s="2"/>
      <c r="AJ115" s="2"/>
      <c r="AK115" s="2"/>
      <c r="AL115" s="2"/>
      <c r="AM115" s="2"/>
      <c r="AN115" s="2"/>
      <c r="AO115" s="2"/>
      <c r="AP115" s="2"/>
    </row>
    <row r="116" spans="1:42" ht="13.2">
      <c r="A116" s="1" t="s">
        <v>245</v>
      </c>
      <c r="E116" s="2">
        <v>43054</v>
      </c>
      <c r="F116" s="2">
        <v>43054</v>
      </c>
      <c r="H116" s="2">
        <v>43054</v>
      </c>
      <c r="I116" s="2">
        <v>43054</v>
      </c>
      <c r="J116" s="2">
        <v>43054</v>
      </c>
      <c r="M116" s="2">
        <v>43249</v>
      </c>
      <c r="X116" s="2"/>
      <c r="Z116" s="2"/>
      <c r="AC116" s="2"/>
      <c r="AK116" s="2"/>
      <c r="AL116" s="2"/>
      <c r="AM116" s="2"/>
      <c r="AN116" s="2"/>
      <c r="AO116" s="2"/>
      <c r="AP116" s="2"/>
    </row>
    <row r="117" spans="1:42" ht="13.2">
      <c r="A117" s="1" t="s">
        <v>246</v>
      </c>
      <c r="B117" s="1" t="s">
        <v>247</v>
      </c>
      <c r="C117" s="1" t="s">
        <v>318</v>
      </c>
      <c r="D117" s="1" t="s">
        <v>319</v>
      </c>
      <c r="E117" s="1" t="s">
        <v>320</v>
      </c>
      <c r="F117" s="1" t="s">
        <v>321</v>
      </c>
      <c r="G117" s="1" t="s">
        <v>322</v>
      </c>
      <c r="H117" s="1" t="s">
        <v>323</v>
      </c>
      <c r="I117" s="1" t="s">
        <v>324</v>
      </c>
      <c r="J117" s="1" t="s">
        <v>325</v>
      </c>
      <c r="K117" s="1" t="s">
        <v>326</v>
      </c>
      <c r="L117" s="1" t="s">
        <v>327</v>
      </c>
      <c r="M117" s="1" t="s">
        <v>328</v>
      </c>
      <c r="N117" s="1" t="s">
        <v>329</v>
      </c>
      <c r="O117" s="1" t="s">
        <v>330</v>
      </c>
    </row>
    <row r="118" spans="1:42" ht="13.2">
      <c r="A118" s="1" t="s">
        <v>335</v>
      </c>
      <c r="B118" s="1" t="s">
        <v>336</v>
      </c>
      <c r="C118" s="1" t="s">
        <v>403</v>
      </c>
      <c r="D118" s="1" t="s">
        <v>404</v>
      </c>
      <c r="E118" s="1" t="s">
        <v>405</v>
      </c>
      <c r="F118" s="1" t="s">
        <v>406</v>
      </c>
      <c r="G118" s="1" t="s">
        <v>407</v>
      </c>
      <c r="H118" s="1" t="s">
        <v>408</v>
      </c>
      <c r="I118" s="1" t="s">
        <v>409</v>
      </c>
      <c r="J118" s="1" t="s">
        <v>410</v>
      </c>
      <c r="K118" s="1" t="s">
        <v>411</v>
      </c>
      <c r="L118" s="1" t="s">
        <v>412</v>
      </c>
      <c r="M118" s="1" t="s">
        <v>413</v>
      </c>
      <c r="N118" s="1" t="s">
        <v>414</v>
      </c>
      <c r="O118" s="1" t="s">
        <v>415</v>
      </c>
    </row>
  </sheetData>
  <hyperlinks>
    <hyperlink ref="O3" r:id="rId1" xr:uid="{00000000-0004-0000-1100-000000000000}"/>
    <hyperlink ref="O4" r:id="rId2" xr:uid="{00000000-0004-0000-1100-000001000000}"/>
    <hyperlink ref="O5" r:id="rId3" xr:uid="{00000000-0004-0000-1100-000002000000}"/>
    <hyperlink ref="O6" r:id="rId4" xr:uid="{00000000-0004-0000-1100-000003000000}"/>
    <hyperlink ref="O7" r:id="rId5" xr:uid="{00000000-0004-0000-1100-000004000000}"/>
    <hyperlink ref="O8" r:id="rId6" xr:uid="{00000000-0004-0000-1100-000005000000}"/>
    <hyperlink ref="O9" r:id="rId7" xr:uid="{00000000-0004-0000-1100-000006000000}"/>
    <hyperlink ref="O10" r:id="rId8" xr:uid="{00000000-0004-0000-1100-000007000000}"/>
    <hyperlink ref="O11" r:id="rId9" xr:uid="{00000000-0004-0000-1100-000008000000}"/>
    <hyperlink ref="O12" r:id="rId10" xr:uid="{00000000-0004-0000-1100-000009000000}"/>
    <hyperlink ref="O13" r:id="rId11" xr:uid="{00000000-0004-0000-1100-00000A000000}"/>
    <hyperlink ref="O14" r:id="rId12" xr:uid="{00000000-0004-0000-1100-00000B000000}"/>
    <hyperlink ref="O15" r:id="rId13" xr:uid="{00000000-0004-0000-1100-00000C000000}"/>
    <hyperlink ref="O16" r:id="rId14" xr:uid="{00000000-0004-0000-1100-00000D000000}"/>
    <hyperlink ref="O17" r:id="rId15" xr:uid="{00000000-0004-0000-1100-00000E000000}"/>
    <hyperlink ref="O18" r:id="rId16" xr:uid="{00000000-0004-0000-1100-00000F000000}"/>
    <hyperlink ref="O19" r:id="rId17" xr:uid="{00000000-0004-0000-1100-000010000000}"/>
    <hyperlink ref="O20" r:id="rId18" xr:uid="{00000000-0004-0000-1100-000011000000}"/>
    <hyperlink ref="O21" r:id="rId19" xr:uid="{00000000-0004-0000-1100-000012000000}"/>
    <hyperlink ref="O22" r:id="rId20" xr:uid="{00000000-0004-0000-1100-000013000000}"/>
    <hyperlink ref="O23" r:id="rId21" xr:uid="{00000000-0004-0000-1100-000014000000}"/>
    <hyperlink ref="O24" r:id="rId22" xr:uid="{00000000-0004-0000-1100-000015000000}"/>
    <hyperlink ref="O25" r:id="rId23" xr:uid="{00000000-0004-0000-1100-000016000000}"/>
    <hyperlink ref="O26" r:id="rId24" xr:uid="{00000000-0004-0000-1100-000017000000}"/>
    <hyperlink ref="O27" r:id="rId25" xr:uid="{00000000-0004-0000-1100-000018000000}"/>
    <hyperlink ref="O28" r:id="rId26" xr:uid="{00000000-0004-0000-1100-000019000000}"/>
    <hyperlink ref="O29" r:id="rId27" xr:uid="{00000000-0004-0000-1100-00001A000000}"/>
    <hyperlink ref="O30" r:id="rId28" xr:uid="{00000000-0004-0000-1100-00001B000000}"/>
    <hyperlink ref="O31" r:id="rId29" xr:uid="{00000000-0004-0000-1100-00001C000000}"/>
    <hyperlink ref="O32" r:id="rId30" xr:uid="{00000000-0004-0000-1100-00001D000000}"/>
    <hyperlink ref="O33" r:id="rId31" xr:uid="{00000000-0004-0000-1100-00001E000000}"/>
    <hyperlink ref="O34" r:id="rId32" xr:uid="{00000000-0004-0000-1100-00001F000000}"/>
    <hyperlink ref="O35" r:id="rId33" xr:uid="{00000000-0004-0000-1100-000020000000}"/>
    <hyperlink ref="O36" r:id="rId34" xr:uid="{00000000-0004-0000-1100-000021000000}"/>
    <hyperlink ref="O37" r:id="rId35" xr:uid="{00000000-0004-0000-1100-000022000000}"/>
    <hyperlink ref="O38" r:id="rId36" xr:uid="{00000000-0004-0000-1100-000023000000}"/>
    <hyperlink ref="O39" r:id="rId37" xr:uid="{00000000-0004-0000-1100-000024000000}"/>
    <hyperlink ref="O40" r:id="rId38" xr:uid="{00000000-0004-0000-1100-000025000000}"/>
    <hyperlink ref="O41" r:id="rId39" xr:uid="{00000000-0004-0000-1100-000026000000}"/>
    <hyperlink ref="O42" r:id="rId40" xr:uid="{00000000-0004-0000-1100-000027000000}"/>
    <hyperlink ref="O43" r:id="rId41" xr:uid="{00000000-0004-0000-1100-000028000000}"/>
    <hyperlink ref="O44" r:id="rId42" xr:uid="{00000000-0004-0000-1100-000029000000}"/>
    <hyperlink ref="O45" r:id="rId43" xr:uid="{00000000-0004-0000-1100-00002A000000}"/>
    <hyperlink ref="O46" r:id="rId44" xr:uid="{00000000-0004-0000-1100-00002B000000}"/>
    <hyperlink ref="O47" r:id="rId45" xr:uid="{00000000-0004-0000-1100-00002C000000}"/>
    <hyperlink ref="O48" r:id="rId46" xr:uid="{00000000-0004-0000-1100-00002D000000}"/>
    <hyperlink ref="O49" r:id="rId47" xr:uid="{00000000-0004-0000-1100-00002E000000}"/>
    <hyperlink ref="O50" r:id="rId48" xr:uid="{00000000-0004-0000-1100-00002F000000}"/>
    <hyperlink ref="O51" r:id="rId49" xr:uid="{00000000-0004-0000-1100-000030000000}"/>
    <hyperlink ref="O52" r:id="rId50" xr:uid="{00000000-0004-0000-1100-000031000000}"/>
    <hyperlink ref="O53" r:id="rId51" xr:uid="{00000000-0004-0000-1100-000032000000}"/>
    <hyperlink ref="O54" r:id="rId52" xr:uid="{00000000-0004-0000-1100-000033000000}"/>
    <hyperlink ref="O55" r:id="rId53" xr:uid="{00000000-0004-0000-1100-000034000000}"/>
    <hyperlink ref="O56" r:id="rId54" xr:uid="{00000000-0004-0000-1100-000035000000}"/>
    <hyperlink ref="O57" r:id="rId55" xr:uid="{00000000-0004-0000-1100-000036000000}"/>
    <hyperlink ref="O58" r:id="rId56" xr:uid="{00000000-0004-0000-1100-000037000000}"/>
    <hyperlink ref="O59" r:id="rId57" xr:uid="{00000000-0004-0000-1100-000038000000}"/>
    <hyperlink ref="O60" r:id="rId58" xr:uid="{00000000-0004-0000-1100-000039000000}"/>
    <hyperlink ref="O61" r:id="rId59" xr:uid="{00000000-0004-0000-1100-00003A000000}"/>
    <hyperlink ref="O62" r:id="rId60" xr:uid="{00000000-0004-0000-1100-00003B000000}"/>
    <hyperlink ref="O63" r:id="rId61" xr:uid="{00000000-0004-0000-1100-00003C000000}"/>
    <hyperlink ref="O64" r:id="rId62" xr:uid="{00000000-0004-0000-1100-00003D000000}"/>
    <hyperlink ref="O65" r:id="rId63" xr:uid="{00000000-0004-0000-1100-00003E000000}"/>
    <hyperlink ref="O66" r:id="rId64" xr:uid="{00000000-0004-0000-1100-00003F000000}"/>
    <hyperlink ref="O67" r:id="rId65" xr:uid="{00000000-0004-0000-1100-000040000000}"/>
    <hyperlink ref="O68" r:id="rId66" xr:uid="{00000000-0004-0000-1100-000041000000}"/>
    <hyperlink ref="O69" r:id="rId67" xr:uid="{00000000-0004-0000-1100-000042000000}"/>
    <hyperlink ref="O70" r:id="rId68" xr:uid="{00000000-0004-0000-1100-000043000000}"/>
    <hyperlink ref="O71" r:id="rId69" xr:uid="{00000000-0004-0000-1100-000044000000}"/>
    <hyperlink ref="O72" r:id="rId70" xr:uid="{00000000-0004-0000-1100-000045000000}"/>
    <hyperlink ref="O73" r:id="rId71" xr:uid="{00000000-0004-0000-1100-000046000000}"/>
    <hyperlink ref="O74" r:id="rId72" xr:uid="{00000000-0004-0000-1100-000047000000}"/>
    <hyperlink ref="O75" r:id="rId73" xr:uid="{00000000-0004-0000-1100-000048000000}"/>
    <hyperlink ref="O76" r:id="rId74" xr:uid="{00000000-0004-0000-1100-000049000000}"/>
    <hyperlink ref="O77" r:id="rId75" xr:uid="{00000000-0004-0000-1100-00004A000000}"/>
    <hyperlink ref="O78" r:id="rId76" xr:uid="{00000000-0004-0000-1100-00004B000000}"/>
    <hyperlink ref="O79" r:id="rId77" xr:uid="{00000000-0004-0000-1100-00004C000000}"/>
    <hyperlink ref="O80" r:id="rId78" xr:uid="{00000000-0004-0000-1100-00004D000000}"/>
    <hyperlink ref="O81" r:id="rId79" xr:uid="{00000000-0004-0000-1100-00004E000000}"/>
    <hyperlink ref="O82" r:id="rId80" xr:uid="{00000000-0004-0000-1100-00004F000000}"/>
    <hyperlink ref="O83" r:id="rId81" xr:uid="{00000000-0004-0000-1100-000050000000}"/>
    <hyperlink ref="O84" r:id="rId82" xr:uid="{00000000-0004-0000-1100-000051000000}"/>
    <hyperlink ref="O85" r:id="rId83" xr:uid="{00000000-0004-0000-1100-000052000000}"/>
    <hyperlink ref="O86" r:id="rId84" xr:uid="{00000000-0004-0000-1100-000053000000}"/>
    <hyperlink ref="O87" r:id="rId85" xr:uid="{00000000-0004-0000-1100-000054000000}"/>
    <hyperlink ref="O88" r:id="rId86" xr:uid="{00000000-0004-0000-1100-000055000000}"/>
    <hyperlink ref="O89" r:id="rId87" xr:uid="{00000000-0004-0000-1100-000056000000}"/>
    <hyperlink ref="O90" r:id="rId88" xr:uid="{00000000-0004-0000-1100-000057000000}"/>
    <hyperlink ref="O91" r:id="rId89" xr:uid="{00000000-0004-0000-1100-000058000000}"/>
    <hyperlink ref="O92" r:id="rId90" xr:uid="{00000000-0004-0000-1100-000059000000}"/>
    <hyperlink ref="O93" r:id="rId91" xr:uid="{00000000-0004-0000-1100-00005A000000}"/>
    <hyperlink ref="O94" r:id="rId92" xr:uid="{00000000-0004-0000-1100-00005B000000}"/>
    <hyperlink ref="O95" r:id="rId93" xr:uid="{00000000-0004-0000-1100-00005C000000}"/>
    <hyperlink ref="O96" r:id="rId94" xr:uid="{00000000-0004-0000-1100-00005D000000}"/>
    <hyperlink ref="O97" r:id="rId95" xr:uid="{00000000-0004-0000-1100-00005E000000}"/>
    <hyperlink ref="O98" r:id="rId96" xr:uid="{00000000-0004-0000-1100-00005F000000}"/>
    <hyperlink ref="O99" r:id="rId97" xr:uid="{00000000-0004-0000-1100-000060000000}"/>
    <hyperlink ref="O100" r:id="rId98" xr:uid="{00000000-0004-0000-1100-000061000000}"/>
    <hyperlink ref="O101" r:id="rId99" xr:uid="{00000000-0004-0000-1100-000062000000}"/>
    <hyperlink ref="O102" r:id="rId100" xr:uid="{00000000-0004-0000-1100-000063000000}"/>
    <hyperlink ref="O103" r:id="rId101" xr:uid="{00000000-0004-0000-1100-000064000000}"/>
    <hyperlink ref="O104" r:id="rId102" xr:uid="{00000000-0004-0000-1100-000065000000}"/>
    <hyperlink ref="O105" r:id="rId103" xr:uid="{00000000-0004-0000-1100-000066000000}"/>
    <hyperlink ref="O106" r:id="rId104" xr:uid="{00000000-0004-0000-1100-000067000000}"/>
    <hyperlink ref="O107" r:id="rId105" xr:uid="{00000000-0004-0000-1100-00006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Definitions</vt:lpstr>
      <vt:lpstr>trait_overlap</vt:lpstr>
      <vt:lpstr>trait_overlap_zoosum</vt:lpstr>
      <vt:lpstr>trait_info</vt:lpstr>
      <vt:lpstr>trait_info_zoosum</vt:lpstr>
      <vt:lpstr>Gonçalvez-Souza_2023</vt:lpstr>
      <vt:lpstr>Herberstein_2022</vt:lpstr>
      <vt:lpstr>Crane_2022</vt:lpstr>
      <vt:lpstr>Gonçalvez_2018</vt:lpstr>
      <vt:lpstr>Wilkinson_2002</vt:lpstr>
      <vt:lpstr>Tanalgo_2022</vt:lpstr>
      <vt:lpstr>Geiselman_2020</vt:lpstr>
      <vt:lpstr>Myhrvold_2015</vt:lpstr>
      <vt:lpstr>Soria_2021</vt:lpstr>
      <vt:lpstr>Froidevaux_2023</vt:lpstr>
      <vt:lpstr>Castillo-Figueroa_2021</vt:lpstr>
      <vt:lpstr>Cosentino_2023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Roberto Antonio Ruiz Ramírez</cp:lastModifiedBy>
  <dcterms:created xsi:type="dcterms:W3CDTF">2025-01-23T17:08:39Z</dcterms:created>
  <dcterms:modified xsi:type="dcterms:W3CDTF">2025-01-27T22:44:03Z</dcterms:modified>
</cp:coreProperties>
</file>