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96421bb18cd31c4/"/>
    </mc:Choice>
  </mc:AlternateContent>
  <xr:revisionPtr revIDLastSave="755" documentId="8_{1F74F122-3540-41EF-A962-E42C5BE905BF}" xr6:coauthVersionLast="47" xr6:coauthVersionMax="47" xr10:uidLastSave="{713F3A4F-47D5-4178-814A-E8E6CF53736B}"/>
  <bookViews>
    <workbookView xWindow="-120" yWindow="-120" windowWidth="24240" windowHeight="13140" tabRatio="728" activeTab="6" xr2:uid="{34ACD8DF-D81A-479C-9D08-16F4B56175FB}"/>
  </bookViews>
  <sheets>
    <sheet name="Balance sheet" sheetId="2" r:id="rId1"/>
    <sheet name="Income Statement" sheetId="1" r:id="rId2"/>
    <sheet name="Assumptions" sheetId="11" r:id="rId3"/>
    <sheet name="Discount rate" sheetId="9" r:id="rId4"/>
    <sheet name="Revenue forecast - 90%" sheetId="5" r:id="rId5"/>
    <sheet name="Terminal Value" sheetId="12" r:id="rId6"/>
    <sheet name="DCF Model" sheetId="10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1" i="10" l="1"/>
  <c r="E11" i="10"/>
  <c r="F11" i="10"/>
  <c r="G11" i="10"/>
  <c r="H11" i="10"/>
  <c r="H13" i="10" s="1"/>
  <c r="C11" i="10"/>
  <c r="B15" i="10"/>
  <c r="B19" i="10" s="1"/>
  <c r="B21" i="10" s="1"/>
  <c r="G4" i="10"/>
  <c r="G5" i="10" s="1"/>
  <c r="AC10" i="1"/>
  <c r="AD10" i="1"/>
  <c r="AE10" i="1"/>
  <c r="AF10" i="1"/>
  <c r="AC28" i="1"/>
  <c r="AD28" i="1"/>
  <c r="AE28" i="1"/>
  <c r="AF28" i="1"/>
  <c r="AC27" i="1"/>
  <c r="AD27" i="1"/>
  <c r="AE27" i="1"/>
  <c r="AF27" i="1"/>
  <c r="AC12" i="1"/>
  <c r="AC18" i="1" s="1"/>
  <c r="AD12" i="1"/>
  <c r="AD18" i="1" s="1"/>
  <c r="AE12" i="1"/>
  <c r="AE18" i="1" s="1"/>
  <c r="AF12" i="1"/>
  <c r="AF18" i="1" s="1"/>
  <c r="P9" i="1"/>
  <c r="Q9" i="1" s="1"/>
  <c r="R9" i="1" s="1"/>
  <c r="S9" i="1" s="1"/>
  <c r="T9" i="1" s="1"/>
  <c r="U9" i="1" s="1"/>
  <c r="V9" i="1" s="1"/>
  <c r="W9" i="1" s="1"/>
  <c r="X9" i="1" s="1"/>
  <c r="Y9" i="1" s="1"/>
  <c r="Z9" i="1" s="1"/>
  <c r="AA9" i="1" s="1"/>
  <c r="AB9" i="1" s="1"/>
  <c r="AC9" i="1" s="1"/>
  <c r="AD9" i="1" s="1"/>
  <c r="AE9" i="1" s="1"/>
  <c r="AF9" i="1" s="1"/>
  <c r="O9" i="1"/>
  <c r="N9" i="1"/>
  <c r="N8" i="1"/>
  <c r="O8" i="1" s="1"/>
  <c r="P8" i="1" s="1"/>
  <c r="Q8" i="1" s="1"/>
  <c r="R8" i="1" s="1"/>
  <c r="S8" i="1" s="1"/>
  <c r="T8" i="1" s="1"/>
  <c r="U8" i="1" s="1"/>
  <c r="V8" i="1" s="1"/>
  <c r="W8" i="1" s="1"/>
  <c r="X8" i="1" s="1"/>
  <c r="Y8" i="1" s="1"/>
  <c r="Z8" i="1" s="1"/>
  <c r="AA8" i="1" s="1"/>
  <c r="AB8" i="1" s="1"/>
  <c r="AC8" i="1" s="1"/>
  <c r="AD8" i="1" s="1"/>
  <c r="AE8" i="1" s="1"/>
  <c r="AF8" i="1" s="1"/>
  <c r="P7" i="1"/>
  <c r="Q7" i="1" s="1"/>
  <c r="R7" i="1" s="1"/>
  <c r="S7" i="1" s="1"/>
  <c r="T7" i="1" s="1"/>
  <c r="U7" i="1" s="1"/>
  <c r="V7" i="1" s="1"/>
  <c r="W7" i="1" s="1"/>
  <c r="X7" i="1" s="1"/>
  <c r="Y7" i="1" s="1"/>
  <c r="Z7" i="1" s="1"/>
  <c r="AA7" i="1" s="1"/>
  <c r="AB7" i="1" s="1"/>
  <c r="AC7" i="1" s="1"/>
  <c r="AD7" i="1" s="1"/>
  <c r="AE7" i="1" s="1"/>
  <c r="AF7" i="1" s="1"/>
  <c r="O7" i="1"/>
  <c r="N7" i="1"/>
  <c r="O4" i="1"/>
  <c r="O27" i="1" s="1"/>
  <c r="P4" i="1"/>
  <c r="Q4" i="1"/>
  <c r="R4" i="1"/>
  <c r="S4" i="1"/>
  <c r="S27" i="1" s="1"/>
  <c r="T4" i="1"/>
  <c r="U4" i="1"/>
  <c r="V4" i="1"/>
  <c r="W4" i="1"/>
  <c r="X4" i="1"/>
  <c r="Y4" i="1"/>
  <c r="Z4" i="1"/>
  <c r="AA4" i="1"/>
  <c r="AA27" i="1" s="1"/>
  <c r="AB4" i="1"/>
  <c r="AC4" i="1"/>
  <c r="AD4" i="1"/>
  <c r="AE4" i="1"/>
  <c r="AF4" i="1"/>
  <c r="N4" i="1"/>
  <c r="N27" i="1" s="1"/>
  <c r="AF2" i="1"/>
  <c r="AE2" i="1"/>
  <c r="AD2" i="1"/>
  <c r="AC2" i="1"/>
  <c r="H17" i="10"/>
  <c r="E12" i="12"/>
  <c r="E10" i="12"/>
  <c r="P27" i="1"/>
  <c r="Q27" i="1"/>
  <c r="T27" i="1"/>
  <c r="U27" i="1"/>
  <c r="W27" i="1"/>
  <c r="X27" i="1"/>
  <c r="Y27" i="1"/>
  <c r="AB27" i="1"/>
  <c r="B8" i="9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E28" i="1"/>
  <c r="F28" i="1"/>
  <c r="G28" i="1"/>
  <c r="H28" i="1"/>
  <c r="I28" i="1"/>
  <c r="J28" i="1"/>
  <c r="K28" i="1"/>
  <c r="L28" i="1"/>
  <c r="D28" i="1"/>
  <c r="E27" i="1"/>
  <c r="F27" i="1"/>
  <c r="G27" i="1"/>
  <c r="H27" i="1"/>
  <c r="I27" i="1"/>
  <c r="J27" i="1"/>
  <c r="K27" i="1"/>
  <c r="L27" i="1"/>
  <c r="D27" i="1"/>
  <c r="G23" i="1"/>
  <c r="G20" i="1"/>
  <c r="G16" i="1"/>
  <c r="G15" i="1"/>
  <c r="G14" i="1"/>
  <c r="G9" i="1"/>
  <c r="G8" i="1"/>
  <c r="G7" i="1"/>
  <c r="G3" i="1"/>
  <c r="G4" i="1" s="1"/>
  <c r="G2" i="1"/>
  <c r="K23" i="1"/>
  <c r="K20" i="1"/>
  <c r="K17" i="1"/>
  <c r="K15" i="1"/>
  <c r="K14" i="1"/>
  <c r="K9" i="1"/>
  <c r="K8" i="1"/>
  <c r="K7" i="1"/>
  <c r="K3" i="1"/>
  <c r="K2" i="1"/>
  <c r="D38" i="2"/>
  <c r="E38" i="2"/>
  <c r="F38" i="2"/>
  <c r="G38" i="2"/>
  <c r="H38" i="2"/>
  <c r="I38" i="2"/>
  <c r="D24" i="2"/>
  <c r="D31" i="2" s="1"/>
  <c r="E24" i="2"/>
  <c r="E31" i="2" s="1"/>
  <c r="E39" i="2" s="1"/>
  <c r="F24" i="2"/>
  <c r="F31" i="2" s="1"/>
  <c r="G24" i="2"/>
  <c r="G31" i="2" s="1"/>
  <c r="H24" i="2"/>
  <c r="H31" i="2" s="1"/>
  <c r="I24" i="2"/>
  <c r="I31" i="2" s="1"/>
  <c r="I39" i="2" s="1"/>
  <c r="D9" i="2"/>
  <c r="D15" i="2" s="1"/>
  <c r="E9" i="2"/>
  <c r="E15" i="2" s="1"/>
  <c r="F9" i="2"/>
  <c r="F15" i="2" s="1"/>
  <c r="G9" i="2"/>
  <c r="G15" i="2" s="1"/>
  <c r="H9" i="2"/>
  <c r="H15" i="2" s="1"/>
  <c r="I9" i="2"/>
  <c r="I15" i="2" s="1"/>
  <c r="L12" i="1"/>
  <c r="L18" i="1" s="1"/>
  <c r="L21" i="1" s="1"/>
  <c r="L24" i="1" s="1"/>
  <c r="E10" i="1"/>
  <c r="F10" i="1"/>
  <c r="H10" i="1"/>
  <c r="I10" i="1"/>
  <c r="J10" i="1"/>
  <c r="L10" i="1"/>
  <c r="D10" i="1"/>
  <c r="E4" i="1"/>
  <c r="F4" i="1"/>
  <c r="H4" i="1"/>
  <c r="H12" i="1" s="1"/>
  <c r="H18" i="1" s="1"/>
  <c r="H21" i="1" s="1"/>
  <c r="H24" i="1" s="1"/>
  <c r="I4" i="1"/>
  <c r="J4" i="1"/>
  <c r="L4" i="1"/>
  <c r="D4" i="1"/>
  <c r="C26" i="5"/>
  <c r="C27" i="5"/>
  <c r="C29" i="5"/>
  <c r="C28" i="5"/>
  <c r="C11" i="5"/>
  <c r="C15" i="5"/>
  <c r="C19" i="5"/>
  <c r="C23" i="5"/>
  <c r="C12" i="5"/>
  <c r="C16" i="5"/>
  <c r="C20" i="5"/>
  <c r="C24" i="5"/>
  <c r="C13" i="5"/>
  <c r="C17" i="5"/>
  <c r="C21" i="5"/>
  <c r="C25" i="5"/>
  <c r="C14" i="5"/>
  <c r="C18" i="5"/>
  <c r="C22" i="5"/>
  <c r="E26" i="5"/>
  <c r="D26" i="5"/>
  <c r="E27" i="5"/>
  <c r="D27" i="5"/>
  <c r="E28" i="5"/>
  <c r="D28" i="5"/>
  <c r="D29" i="5"/>
  <c r="E29" i="5"/>
  <c r="H19" i="10" l="1"/>
  <c r="H21" i="10" s="1"/>
  <c r="G39" i="2"/>
  <c r="F39" i="2"/>
  <c r="H39" i="2"/>
  <c r="G6" i="10"/>
  <c r="AE21" i="1"/>
  <c r="AE24" i="1" s="1"/>
  <c r="AE20" i="1"/>
  <c r="AD20" i="1"/>
  <c r="AD21" i="1" s="1"/>
  <c r="AD24" i="1" s="1"/>
  <c r="AF21" i="1"/>
  <c r="AF24" i="1" s="1"/>
  <c r="AF20" i="1"/>
  <c r="AC20" i="1"/>
  <c r="AC21" i="1" s="1"/>
  <c r="AC24" i="1" s="1"/>
  <c r="N10" i="1"/>
  <c r="O10" i="1"/>
  <c r="O12" i="1" s="1"/>
  <c r="O18" i="1" s="1"/>
  <c r="O20" i="1" s="1"/>
  <c r="O21" i="1" s="1"/>
  <c r="O24" i="1" s="1"/>
  <c r="Z27" i="1"/>
  <c r="V27" i="1"/>
  <c r="R27" i="1"/>
  <c r="N28" i="1"/>
  <c r="N12" i="1"/>
  <c r="D12" i="1"/>
  <c r="D18" i="1" s="1"/>
  <c r="D21" i="1" s="1"/>
  <c r="D24" i="1" s="1"/>
  <c r="G10" i="1"/>
  <c r="G12" i="1" s="1"/>
  <c r="G18" i="1" s="1"/>
  <c r="G21" i="1" s="1"/>
  <c r="G24" i="1" s="1"/>
  <c r="K10" i="1"/>
  <c r="K4" i="1"/>
  <c r="K12" i="1" s="1"/>
  <c r="K18" i="1" s="1"/>
  <c r="K21" i="1" s="1"/>
  <c r="K24" i="1" s="1"/>
  <c r="E12" i="1"/>
  <c r="E18" i="1" s="1"/>
  <c r="E21" i="1" s="1"/>
  <c r="E24" i="1" s="1"/>
  <c r="I12" i="1"/>
  <c r="I18" i="1" s="1"/>
  <c r="I21" i="1" s="1"/>
  <c r="I24" i="1" s="1"/>
  <c r="D39" i="2"/>
  <c r="F12" i="1"/>
  <c r="F18" i="1" s="1"/>
  <c r="F21" i="1" s="1"/>
  <c r="F24" i="1" s="1"/>
  <c r="J12" i="1"/>
  <c r="J18" i="1" s="1"/>
  <c r="J21" i="1" s="1"/>
  <c r="J24" i="1" s="1"/>
  <c r="E22" i="5"/>
  <c r="E14" i="5"/>
  <c r="E21" i="5"/>
  <c r="E13" i="5"/>
  <c r="D20" i="5"/>
  <c r="D12" i="5"/>
  <c r="E19" i="5"/>
  <c r="E11" i="5"/>
  <c r="D22" i="5"/>
  <c r="D14" i="5"/>
  <c r="D21" i="5"/>
  <c r="D13" i="5"/>
  <c r="E20" i="5"/>
  <c r="E12" i="5"/>
  <c r="D19" i="5"/>
  <c r="D11" i="5"/>
  <c r="E18" i="5"/>
  <c r="E25" i="5"/>
  <c r="E17" i="5"/>
  <c r="D24" i="5"/>
  <c r="D16" i="5"/>
  <c r="E23" i="5"/>
  <c r="E15" i="5"/>
  <c r="D18" i="5"/>
  <c r="D25" i="5"/>
  <c r="D17" i="5"/>
  <c r="E24" i="5"/>
  <c r="E16" i="5"/>
  <c r="D23" i="5"/>
  <c r="D15" i="5"/>
  <c r="G13" i="10" l="1"/>
  <c r="G19" i="10" s="1"/>
  <c r="G21" i="10" s="1"/>
  <c r="O28" i="1"/>
  <c r="P10" i="1"/>
  <c r="N18" i="1"/>
  <c r="P28" i="1" l="1"/>
  <c r="P12" i="1"/>
  <c r="Q10" i="1"/>
  <c r="N20" i="1"/>
  <c r="N21" i="1" s="1"/>
  <c r="N24" i="1" s="1"/>
  <c r="Q28" i="1" l="1"/>
  <c r="Q12" i="1"/>
  <c r="R10" i="1"/>
  <c r="P18" i="1"/>
  <c r="P20" i="1" s="1"/>
  <c r="P21" i="1" s="1"/>
  <c r="P24" i="1" s="1"/>
  <c r="C4" i="10"/>
  <c r="C5" i="10" l="1"/>
  <c r="C6" i="10" s="1"/>
  <c r="C13" i="10" s="1"/>
  <c r="Q18" i="1"/>
  <c r="Q20" i="1" s="1"/>
  <c r="Q21" i="1" s="1"/>
  <c r="Q24" i="1" s="1"/>
  <c r="R28" i="1"/>
  <c r="R12" i="1"/>
  <c r="R18" i="1" s="1"/>
  <c r="R20" i="1" s="1"/>
  <c r="R21" i="1" s="1"/>
  <c r="R24" i="1" s="1"/>
  <c r="S10" i="1"/>
  <c r="C19" i="10" l="1"/>
  <c r="C21" i="10" s="1"/>
  <c r="S12" i="1"/>
  <c r="S18" i="1" s="1"/>
  <c r="S28" i="1"/>
  <c r="T10" i="1"/>
  <c r="T12" i="1" l="1"/>
  <c r="T28" i="1"/>
  <c r="U10" i="1"/>
  <c r="S20" i="1"/>
  <c r="S21" i="1" s="1"/>
  <c r="S24" i="1" s="1"/>
  <c r="V10" i="1" l="1"/>
  <c r="U12" i="1"/>
  <c r="U28" i="1"/>
  <c r="T18" i="1"/>
  <c r="T20" i="1" s="1"/>
  <c r="T21" i="1" s="1"/>
  <c r="T24" i="1" s="1"/>
  <c r="D4" i="10"/>
  <c r="D5" i="10" l="1"/>
  <c r="D6" i="10" s="1"/>
  <c r="D13" i="10" s="1"/>
  <c r="U18" i="1"/>
  <c r="U20" i="1" s="1"/>
  <c r="U21" i="1" s="1"/>
  <c r="U24" i="1" s="1"/>
  <c r="V28" i="1"/>
  <c r="V12" i="1"/>
  <c r="V18" i="1" s="1"/>
  <c r="W10" i="1"/>
  <c r="D19" i="10" l="1"/>
  <c r="D21" i="10" s="1"/>
  <c r="W12" i="1"/>
  <c r="W18" i="1" s="1"/>
  <c r="W20" i="1" s="1"/>
  <c r="W21" i="1" s="1"/>
  <c r="W24" i="1" s="1"/>
  <c r="W28" i="1"/>
  <c r="V20" i="1"/>
  <c r="V21" i="1" s="1"/>
  <c r="V24" i="1" s="1"/>
  <c r="X10" i="1"/>
  <c r="X28" i="1" l="1"/>
  <c r="X12" i="1"/>
  <c r="Y10" i="1"/>
  <c r="Y28" i="1" l="1"/>
  <c r="Y12" i="1"/>
  <c r="Z10" i="1"/>
  <c r="X18" i="1"/>
  <c r="X20" i="1" s="1"/>
  <c r="X21" i="1" s="1"/>
  <c r="X24" i="1" s="1"/>
  <c r="E4" i="10"/>
  <c r="E5" i="10" l="1"/>
  <c r="E6" i="10" s="1"/>
  <c r="E13" i="10" s="1"/>
  <c r="Z12" i="1"/>
  <c r="Z18" i="1" s="1"/>
  <c r="Z20" i="1" s="1"/>
  <c r="Z21" i="1" s="1"/>
  <c r="Z24" i="1" s="1"/>
  <c r="Z28" i="1"/>
  <c r="AB10" i="1"/>
  <c r="AA10" i="1"/>
  <c r="Y18" i="1"/>
  <c r="Y20" i="1" s="1"/>
  <c r="Y21" i="1" s="1"/>
  <c r="Y24" i="1" s="1"/>
  <c r="E19" i="10" l="1"/>
  <c r="E21" i="10" s="1"/>
  <c r="AA28" i="1"/>
  <c r="AA12" i="1"/>
  <c r="AB12" i="1"/>
  <c r="AB18" i="1" s="1"/>
  <c r="AB20" i="1" s="1"/>
  <c r="AB21" i="1" s="1"/>
  <c r="AB24" i="1" s="1"/>
  <c r="AB28" i="1"/>
  <c r="AA18" i="1" l="1"/>
  <c r="F4" i="10"/>
  <c r="F5" i="10" l="1"/>
  <c r="F6" i="10"/>
  <c r="F13" i="10" s="1"/>
  <c r="AA20" i="1"/>
  <c r="AA21" i="1" s="1"/>
  <c r="AA24" i="1" s="1"/>
  <c r="F19" i="10" l="1"/>
  <c r="F21" i="10" s="1"/>
  <c r="B23" i="10" s="1"/>
</calcChain>
</file>

<file path=xl/sharedStrings.xml><?xml version="1.0" encoding="utf-8"?>
<sst xmlns="http://schemas.openxmlformats.org/spreadsheetml/2006/main" count="105" uniqueCount="99">
  <si>
    <t>Q4 20</t>
  </si>
  <si>
    <t>Q1 21</t>
  </si>
  <si>
    <t>Q2 21</t>
  </si>
  <si>
    <t>Q3 21</t>
  </si>
  <si>
    <t>Q4 21</t>
  </si>
  <si>
    <t>Q1 22</t>
  </si>
  <si>
    <t>Revenue</t>
  </si>
  <si>
    <t>COGS</t>
  </si>
  <si>
    <t>Gross Profit</t>
  </si>
  <si>
    <t>Operating expenses:</t>
  </si>
  <si>
    <t>Sales and marketing</t>
  </si>
  <si>
    <t>Research and development</t>
  </si>
  <si>
    <t>General and admin</t>
  </si>
  <si>
    <t>Profit (loss) from operations</t>
  </si>
  <si>
    <t>Interest income</t>
  </si>
  <si>
    <t>Interest expense</t>
  </si>
  <si>
    <t>Other income (expense), net</t>
  </si>
  <si>
    <t>Profit (loss) before income tax</t>
  </si>
  <si>
    <t>Income tax</t>
  </si>
  <si>
    <t>Net income (loss)</t>
  </si>
  <si>
    <t>Fx income (loss)</t>
  </si>
  <si>
    <t>Comprehensive income (loss)</t>
  </si>
  <si>
    <t>Assets</t>
  </si>
  <si>
    <t>Cash</t>
  </si>
  <si>
    <t>Restricted cash</t>
  </si>
  <si>
    <t>Accounts receivable</t>
  </si>
  <si>
    <t>Marketable securities</t>
  </si>
  <si>
    <t>Prepaid expenses</t>
  </si>
  <si>
    <t>PPE</t>
  </si>
  <si>
    <t>Capital leases</t>
  </si>
  <si>
    <t>Other assets</t>
  </si>
  <si>
    <t>Liabilities and Equity</t>
  </si>
  <si>
    <t>Accounts payable</t>
  </si>
  <si>
    <t>Accrued liabilities</t>
  </si>
  <si>
    <t>Deferred revenue, current</t>
  </si>
  <si>
    <t>Customer deposits, current</t>
  </si>
  <si>
    <t>Operating lease liabilities, current</t>
  </si>
  <si>
    <t>Deferred revenue, noncurrent</t>
  </si>
  <si>
    <t>Customer deposits, noncurrent</t>
  </si>
  <si>
    <t>Operating lease liabilities, noncurrent</t>
  </si>
  <si>
    <t>Other non-current liabilities</t>
  </si>
  <si>
    <t>Common stock</t>
  </si>
  <si>
    <t>Additional paid-in capital</t>
  </si>
  <si>
    <t>Accumulated other comprehensive loss</t>
  </si>
  <si>
    <t>Accumulated deficit</t>
  </si>
  <si>
    <t>Total stockholders equity</t>
  </si>
  <si>
    <t>Total liabilities and stockholders equity</t>
  </si>
  <si>
    <t>Current assets:</t>
  </si>
  <si>
    <t>Current liabilities:</t>
  </si>
  <si>
    <t>Stockholders equity:</t>
  </si>
  <si>
    <t>Changes in fair value of warrants</t>
  </si>
  <si>
    <t>Total liabilities</t>
  </si>
  <si>
    <t>Debt, non-current</t>
  </si>
  <si>
    <t>Total operating expense</t>
  </si>
  <si>
    <t>Timeline</t>
  </si>
  <si>
    <t>Values</t>
  </si>
  <si>
    <t>Forecast</t>
  </si>
  <si>
    <t>Lower Confidence Bound</t>
  </si>
  <si>
    <t>Upper Confidence Bound</t>
  </si>
  <si>
    <t>Gross margin % of revenue</t>
  </si>
  <si>
    <t>Operating expense % of revenue</t>
  </si>
  <si>
    <t>Implied market premium</t>
  </si>
  <si>
    <t>• Average market risk premium in the U.S. 2011-2022 | Statista</t>
  </si>
  <si>
    <t>Risk free rate</t>
  </si>
  <si>
    <t>Based on US ten year bond at July 31, 2022</t>
  </si>
  <si>
    <t>Beta</t>
  </si>
  <si>
    <t>PLTR | Palantir Technologies Inc. Stock Overview (U.S.: NYSE) | Barron's (barrons.com)</t>
  </si>
  <si>
    <t>CAPM = rf + b(rm - rf)</t>
  </si>
  <si>
    <t>Using Capital Asset Pricing Model (CAPM) to determine appropriate discount rate to Palantir</t>
  </si>
  <si>
    <t>US corporate tax rate</t>
  </si>
  <si>
    <t>To estimate the terminal value will use price / sales</t>
  </si>
  <si>
    <t>Palantir's current Price / Sales is 12.16 which quite reasonable.</t>
  </si>
  <si>
    <t xml:space="preserve">Google for example as a software company fully built out has a P/S of 5.52. </t>
  </si>
  <si>
    <t>2025 revenue estimate</t>
  </si>
  <si>
    <t>Revenue multiple assumed</t>
  </si>
  <si>
    <t>Terminal value</t>
  </si>
  <si>
    <t>Terminal</t>
  </si>
  <si>
    <t>Operating income</t>
  </si>
  <si>
    <t>Lease commitments</t>
  </si>
  <si>
    <t>Debt payments</t>
  </si>
  <si>
    <t>Per 10K (for terminal used thereafter balance)</t>
  </si>
  <si>
    <t>Gross margin</t>
  </si>
  <si>
    <t>Quarterly compounded expense growth rates</t>
  </si>
  <si>
    <t>Year 0</t>
  </si>
  <si>
    <t>Net cash (cash less LTD)</t>
  </si>
  <si>
    <t>After tax</t>
  </si>
  <si>
    <t>Less cash flows to debt investors:</t>
  </si>
  <si>
    <t>Cash flows to equity investors</t>
  </si>
  <si>
    <t>Undiscounted cash flows</t>
  </si>
  <si>
    <t>Discounted</t>
  </si>
  <si>
    <t>Net present value</t>
  </si>
  <si>
    <t>That may not seem like it is coming down much, but I'm also assuming interest rates will go down a bit by 2026 putting upward pressure on valuation multiples</t>
  </si>
  <si>
    <t xml:space="preserve">As Palantir in 2026 will be still growing quite quickly as it is still early days I feel a P/S of 10 will be appropriate. </t>
  </si>
  <si>
    <t>This is a relation valuation technique which I have to use as there is too much uncertainty to project Palantir's cash flows further than 2026 in my opinion</t>
  </si>
  <si>
    <t>Current enterprize value</t>
  </si>
  <si>
    <t>As of July 31, 2022</t>
  </si>
  <si>
    <t>Conclusion:</t>
  </si>
  <si>
    <t>Based on the current market enterprise valuation of Palantir at $18.48bn we can see Palantir is trading well below its intrinsic value.</t>
  </si>
  <si>
    <t>It meets my personal required rate of return of 15% based on this significant cushion.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</si>
</sst>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9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double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24">
    <xf numFmtId="0" fontId="0" fillId="0" borderId="0" xfId="0"/>
    <xf numFmtId="169" fontId="0" fillId="0" borderId="0" xfId="1" applyNumberFormat="1" applyFont="1"/>
    <xf numFmtId="169" fontId="0" fillId="0" borderId="1" xfId="1" applyNumberFormat="1" applyFont="1" applyBorder="1"/>
    <xf numFmtId="169" fontId="0" fillId="0" borderId="0" xfId="1" applyNumberFormat="1" applyFont="1" applyBorder="1"/>
    <xf numFmtId="169" fontId="0" fillId="0" borderId="2" xfId="1" applyNumberFormat="1" applyFont="1" applyBorder="1"/>
    <xf numFmtId="0" fontId="0" fillId="0" borderId="0" xfId="0" applyAlignment="1">
      <alignment horizontal="left" indent="1"/>
    </xf>
    <xf numFmtId="0" fontId="0" fillId="0" borderId="0" xfId="0" applyAlignment="1">
      <alignment horizontal="left"/>
    </xf>
    <xf numFmtId="0" fontId="2" fillId="0" borderId="0" xfId="0" applyFont="1"/>
    <xf numFmtId="15" fontId="2" fillId="0" borderId="0" xfId="0" applyNumberFormat="1" applyFont="1"/>
    <xf numFmtId="15" fontId="0" fillId="0" borderId="0" xfId="0" applyNumberFormat="1"/>
    <xf numFmtId="169" fontId="0" fillId="0" borderId="0" xfId="0" applyNumberFormat="1"/>
    <xf numFmtId="9" fontId="0" fillId="0" borderId="0" xfId="2" applyFont="1"/>
    <xf numFmtId="15" fontId="0" fillId="0" borderId="0" xfId="0" applyNumberFormat="1"/>
    <xf numFmtId="169" fontId="0" fillId="0" borderId="0" xfId="0" applyNumberFormat="1"/>
    <xf numFmtId="43" fontId="0" fillId="0" borderId="0" xfId="0" applyNumberFormat="1"/>
    <xf numFmtId="169" fontId="0" fillId="0" borderId="1" xfId="0" applyNumberFormat="1" applyBorder="1"/>
    <xf numFmtId="10" fontId="0" fillId="0" borderId="0" xfId="0" applyNumberFormat="1"/>
    <xf numFmtId="0" fontId="3" fillId="0" borderId="0" xfId="3"/>
    <xf numFmtId="10" fontId="2" fillId="0" borderId="0" xfId="2" applyNumberFormat="1" applyFont="1"/>
    <xf numFmtId="9" fontId="0" fillId="0" borderId="0" xfId="0" applyNumberFormat="1"/>
    <xf numFmtId="169" fontId="0" fillId="0" borderId="3" xfId="1" applyNumberFormat="1" applyFont="1" applyBorder="1"/>
    <xf numFmtId="169" fontId="2" fillId="0" borderId="2" xfId="0" applyNumberFormat="1" applyFont="1" applyBorder="1"/>
    <xf numFmtId="3" fontId="2" fillId="0" borderId="0" xfId="0" applyNumberFormat="1" applyFont="1"/>
    <xf numFmtId="0" fontId="4" fillId="0" borderId="0" xfId="0" applyFont="1"/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6"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numFmt numFmtId="169" formatCode="_(* #,##0_);_(* \(#,##0\);_(* &quot;-&quot;??_);_(@_)"/>
    </dxf>
    <dxf>
      <numFmt numFmtId="169" formatCode="_(* #,##0_);_(* \(#,##0\);_(* &quot;-&quot;??_);_(@_)"/>
    </dxf>
    <dxf>
      <numFmt numFmtId="169" formatCode="_(* #,##0_);_(* \(#,##0\);_(* &quot;-&quot;??_);_(@_)"/>
    </dxf>
    <dxf>
      <numFmt numFmtId="20" formatCode="d\-mmm\-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'Revenue forecast - 90%'!$B$1</c:f>
              <c:strCache>
                <c:ptCount val="1"/>
                <c:pt idx="0">
                  <c:v>Values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'Revenue forecast - 90%'!$B$2:$B$29</c:f>
              <c:numCache>
                <c:formatCode>_(* #,##0_);_(* \(#,##0\);_(* "-"??_);_(@_)</c:formatCode>
                <c:ptCount val="28"/>
                <c:pt idx="0">
                  <c:v>229327</c:v>
                </c:pt>
                <c:pt idx="1">
                  <c:v>251889</c:v>
                </c:pt>
                <c:pt idx="2">
                  <c:v>289366</c:v>
                </c:pt>
                <c:pt idx="3">
                  <c:v>322091</c:v>
                </c:pt>
                <c:pt idx="4">
                  <c:v>341234</c:v>
                </c:pt>
                <c:pt idx="5">
                  <c:v>375642</c:v>
                </c:pt>
                <c:pt idx="6">
                  <c:v>392146</c:v>
                </c:pt>
                <c:pt idx="7">
                  <c:v>432867</c:v>
                </c:pt>
                <c:pt idx="8">
                  <c:v>446357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C4-428F-8328-06595FD0737B}"/>
            </c:ext>
          </c:extLst>
        </c:ser>
        <c:ser>
          <c:idx val="1"/>
          <c:order val="1"/>
          <c:tx>
            <c:strRef>
              <c:f>'Revenue forecast - 90%'!$C$1</c:f>
              <c:strCache>
                <c:ptCount val="1"/>
                <c:pt idx="0">
                  <c:v>Forecast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'Revenue forecast - 90%'!$A$2:$A$29</c:f>
              <c:numCache>
                <c:formatCode>d\-mmm\-yy</c:formatCode>
                <c:ptCount val="28"/>
                <c:pt idx="0">
                  <c:v>43921</c:v>
                </c:pt>
                <c:pt idx="1">
                  <c:v>44012</c:v>
                </c:pt>
                <c:pt idx="2">
                  <c:v>44104</c:v>
                </c:pt>
                <c:pt idx="3">
                  <c:v>44196</c:v>
                </c:pt>
                <c:pt idx="4">
                  <c:v>44286</c:v>
                </c:pt>
                <c:pt idx="5">
                  <c:v>44377</c:v>
                </c:pt>
                <c:pt idx="6">
                  <c:v>44469</c:v>
                </c:pt>
                <c:pt idx="7">
                  <c:v>44561</c:v>
                </c:pt>
                <c:pt idx="8">
                  <c:v>44651</c:v>
                </c:pt>
                <c:pt idx="9">
                  <c:v>44743</c:v>
                </c:pt>
                <c:pt idx="10">
                  <c:v>44835</c:v>
                </c:pt>
                <c:pt idx="11">
                  <c:v>44926</c:v>
                </c:pt>
                <c:pt idx="12">
                  <c:v>45016</c:v>
                </c:pt>
                <c:pt idx="13">
                  <c:v>45108</c:v>
                </c:pt>
                <c:pt idx="14">
                  <c:v>45200</c:v>
                </c:pt>
                <c:pt idx="15">
                  <c:v>45291</c:v>
                </c:pt>
                <c:pt idx="16">
                  <c:v>45382</c:v>
                </c:pt>
                <c:pt idx="17">
                  <c:v>45474</c:v>
                </c:pt>
                <c:pt idx="18">
                  <c:v>45566</c:v>
                </c:pt>
                <c:pt idx="19">
                  <c:v>45657</c:v>
                </c:pt>
                <c:pt idx="20">
                  <c:v>45747</c:v>
                </c:pt>
                <c:pt idx="21">
                  <c:v>45839</c:v>
                </c:pt>
                <c:pt idx="22">
                  <c:v>45931</c:v>
                </c:pt>
                <c:pt idx="23">
                  <c:v>46022</c:v>
                </c:pt>
                <c:pt idx="24">
                  <c:v>46112</c:v>
                </c:pt>
                <c:pt idx="25">
                  <c:v>46204</c:v>
                </c:pt>
                <c:pt idx="26">
                  <c:v>46296</c:v>
                </c:pt>
                <c:pt idx="27">
                  <c:v>46387</c:v>
                </c:pt>
              </c:numCache>
            </c:numRef>
          </c:cat>
          <c:val>
            <c:numRef>
              <c:f>'Revenue forecast - 90%'!$C$2:$C$29</c:f>
              <c:numCache>
                <c:formatCode>General</c:formatCode>
                <c:ptCount val="28"/>
                <c:pt idx="8" formatCode="_(* #,##0_);_(* \(#,##0\);_(* &quot;-&quot;??_);_(@_)">
                  <c:v>446357</c:v>
                </c:pt>
                <c:pt idx="9" formatCode="_(* #,##0_);_(* \(#,##0\);_(* &quot;-&quot;??_);_(@_)">
                  <c:v>486902.25689648592</c:v>
                </c:pt>
                <c:pt idx="10" formatCode="_(* #,##0_);_(* \(#,##0\);_(* &quot;-&quot;??_);_(@_)">
                  <c:v>504167.25656928169</c:v>
                </c:pt>
                <c:pt idx="11" formatCode="_(* #,##0_);_(* \(#,##0\);_(* &quot;-&quot;??_);_(@_)">
                  <c:v>542583.63131977047</c:v>
                </c:pt>
                <c:pt idx="12" formatCode="_(* #,##0_);_(* \(#,##0\);_(* &quot;-&quot;??_);_(@_)">
                  <c:v>559848.63099256635</c:v>
                </c:pt>
                <c:pt idx="13" formatCode="_(* #,##0_);_(* \(#,##0\);_(* &quot;-&quot;??_);_(@_)">
                  <c:v>598265.00574305514</c:v>
                </c:pt>
                <c:pt idx="14" formatCode="_(* #,##0_);_(* \(#,##0\);_(* &quot;-&quot;??_);_(@_)">
                  <c:v>615530.00541585102</c:v>
                </c:pt>
                <c:pt idx="15" formatCode="_(* #,##0_);_(* \(#,##0\);_(* &quot;-&quot;??_);_(@_)">
                  <c:v>653946.38016633969</c:v>
                </c:pt>
                <c:pt idx="16" formatCode="_(* #,##0_);_(* \(#,##0\);_(* &quot;-&quot;??_);_(@_)">
                  <c:v>671211.37983913557</c:v>
                </c:pt>
                <c:pt idx="17" formatCode="_(* #,##0_);_(* \(#,##0\);_(* &quot;-&quot;??_);_(@_)">
                  <c:v>709627.75458962424</c:v>
                </c:pt>
                <c:pt idx="18" formatCode="_(* #,##0_);_(* \(#,##0\);_(* &quot;-&quot;??_);_(@_)">
                  <c:v>726892.75426242023</c:v>
                </c:pt>
                <c:pt idx="19" formatCode="_(* #,##0_);_(* \(#,##0\);_(* &quot;-&quot;??_);_(@_)">
                  <c:v>765309.1290129089</c:v>
                </c:pt>
                <c:pt idx="20" formatCode="_(* #,##0_);_(* \(#,##0\);_(* &quot;-&quot;??_);_(@_)">
                  <c:v>782574.1286857049</c:v>
                </c:pt>
                <c:pt idx="21" formatCode="_(* #,##0_);_(* \(#,##0\);_(* &quot;-&quot;??_);_(@_)">
                  <c:v>820990.50343619357</c:v>
                </c:pt>
                <c:pt idx="22" formatCode="_(* #,##0_);_(* \(#,##0\);_(* &quot;-&quot;??_);_(@_)">
                  <c:v>838255.50310898945</c:v>
                </c:pt>
                <c:pt idx="23" formatCode="_(* #,##0_);_(* \(#,##0\);_(* &quot;-&quot;??_);_(@_)">
                  <c:v>876671.87785947812</c:v>
                </c:pt>
                <c:pt idx="24" formatCode="_(* #,##0_);_(* \(#,##0\);_(* &quot;-&quot;??_);_(@_)">
                  <c:v>893936.877532274</c:v>
                </c:pt>
                <c:pt idx="25" formatCode="_(* #,##0_);_(* \(#,##0\);_(* &quot;-&quot;??_);_(@_)">
                  <c:v>932353.25228276278</c:v>
                </c:pt>
                <c:pt idx="26" formatCode="_(* #,##0_);_(* \(#,##0\);_(* &quot;-&quot;??_);_(@_)">
                  <c:v>949618.25195555866</c:v>
                </c:pt>
                <c:pt idx="27" formatCode="_(* #,##0_);_(* \(#,##0\);_(* &quot;-&quot;??_);_(@_)">
                  <c:v>988034.62670604733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C4-428F-8328-06595FD0737B}"/>
            </c:ext>
          </c:extLst>
        </c:ser>
        <c:ser>
          <c:idx val="2"/>
          <c:order val="2"/>
          <c:tx>
            <c:strRef>
              <c:f>'Revenue forecast - 90%'!$D$1</c:f>
              <c:strCache>
                <c:ptCount val="1"/>
                <c:pt idx="0">
                  <c:v>Lower Confidence Bound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'Revenue forecast - 90%'!$A$2:$A$29</c:f>
              <c:numCache>
                <c:formatCode>d\-mmm\-yy</c:formatCode>
                <c:ptCount val="28"/>
                <c:pt idx="0">
                  <c:v>43921</c:v>
                </c:pt>
                <c:pt idx="1">
                  <c:v>44012</c:v>
                </c:pt>
                <c:pt idx="2">
                  <c:v>44104</c:v>
                </c:pt>
                <c:pt idx="3">
                  <c:v>44196</c:v>
                </c:pt>
                <c:pt idx="4">
                  <c:v>44286</c:v>
                </c:pt>
                <c:pt idx="5">
                  <c:v>44377</c:v>
                </c:pt>
                <c:pt idx="6">
                  <c:v>44469</c:v>
                </c:pt>
                <c:pt idx="7">
                  <c:v>44561</c:v>
                </c:pt>
                <c:pt idx="8">
                  <c:v>44651</c:v>
                </c:pt>
                <c:pt idx="9">
                  <c:v>44743</c:v>
                </c:pt>
                <c:pt idx="10">
                  <c:v>44835</c:v>
                </c:pt>
                <c:pt idx="11">
                  <c:v>44926</c:v>
                </c:pt>
                <c:pt idx="12">
                  <c:v>45016</c:v>
                </c:pt>
                <c:pt idx="13">
                  <c:v>45108</c:v>
                </c:pt>
                <c:pt idx="14">
                  <c:v>45200</c:v>
                </c:pt>
                <c:pt idx="15">
                  <c:v>45291</c:v>
                </c:pt>
                <c:pt idx="16">
                  <c:v>45382</c:v>
                </c:pt>
                <c:pt idx="17">
                  <c:v>45474</c:v>
                </c:pt>
                <c:pt idx="18">
                  <c:v>45566</c:v>
                </c:pt>
                <c:pt idx="19">
                  <c:v>45657</c:v>
                </c:pt>
                <c:pt idx="20">
                  <c:v>45747</c:v>
                </c:pt>
                <c:pt idx="21">
                  <c:v>45839</c:v>
                </c:pt>
                <c:pt idx="22">
                  <c:v>45931</c:v>
                </c:pt>
                <c:pt idx="23">
                  <c:v>46022</c:v>
                </c:pt>
                <c:pt idx="24">
                  <c:v>46112</c:v>
                </c:pt>
                <c:pt idx="25">
                  <c:v>46204</c:v>
                </c:pt>
                <c:pt idx="26">
                  <c:v>46296</c:v>
                </c:pt>
                <c:pt idx="27">
                  <c:v>46387</c:v>
                </c:pt>
              </c:numCache>
            </c:numRef>
          </c:cat>
          <c:val>
            <c:numRef>
              <c:f>'Revenue forecast - 90%'!$D$2:$D$29</c:f>
              <c:numCache>
                <c:formatCode>General</c:formatCode>
                <c:ptCount val="28"/>
                <c:pt idx="8" formatCode="_(* #,##0_);_(* \(#,##0\);_(* &quot;-&quot;??_);_(@_)">
                  <c:v>446357</c:v>
                </c:pt>
                <c:pt idx="9" formatCode="_(* #,##0_);_(* \(#,##0\);_(* &quot;-&quot;??_);_(@_)">
                  <c:v>477985.22039386409</c:v>
                </c:pt>
                <c:pt idx="10" formatCode="_(* #,##0_);_(* \(#,##0\);_(* &quot;-&quot;??_);_(@_)">
                  <c:v>495250.17994008586</c:v>
                </c:pt>
                <c:pt idx="11" formatCode="_(* #,##0_);_(* \(#,##0\);_(* &quot;-&quot;??_);_(@_)">
                  <c:v>532598.04335586878</c:v>
                </c:pt>
                <c:pt idx="12" formatCode="_(* #,##0_);_(* \(#,##0\);_(* &quot;-&quot;??_);_(@_)">
                  <c:v>549862.94349378499</c:v>
                </c:pt>
                <c:pt idx="13" formatCode="_(* #,##0_);_(* \(#,##0\);_(* &quot;-&quot;??_);_(@_)">
                  <c:v>587307.25581216312</c:v>
                </c:pt>
                <c:pt idx="14" formatCode="_(* #,##0_);_(* \(#,##0\);_(* &quot;-&quot;??_);_(@_)">
                  <c:v>604572.07770521962</c:v>
                </c:pt>
                <c:pt idx="15" formatCode="_(* #,##0_);_(* \(#,##0\);_(* &quot;-&quot;??_);_(@_)">
                  <c:v>642089.07179153687</c:v>
                </c:pt>
                <c:pt idx="16" formatCode="_(* #,##0_);_(* \(#,##0\);_(* &quot;-&quot;??_);_(@_)">
                  <c:v>659353.79987980542</c:v>
                </c:pt>
                <c:pt idx="17" formatCode="_(* #,##0_);_(* \(#,##0\);_(* &quot;-&quot;??_);_(@_)">
                  <c:v>696928.00363761454</c:v>
                </c:pt>
                <c:pt idx="18" formatCode="_(* #,##0_);_(* \(#,##0\);_(* &quot;-&quot;??_);_(@_)">
                  <c:v>714192.62452365737</c:v>
                </c:pt>
                <c:pt idx="19" formatCode="_(* #,##0_);_(* \(#,##0\);_(* &quot;-&quot;??_);_(@_)">
                  <c:v>751813.30399891629</c:v>
                </c:pt>
                <c:pt idx="20" formatCode="_(* #,##0_);_(* \(#,##0\);_(* &quot;-&quot;??_);_(@_)">
                  <c:v>769077.80583106901</c:v>
                </c:pt>
                <c:pt idx="21" formatCode="_(* #,##0_);_(* \(#,##0\);_(* &quot;-&quot;??_);_(@_)">
                  <c:v>806737.15681838046</c:v>
                </c:pt>
                <c:pt idx="22" formatCode="_(* #,##0_);_(* \(#,##0\);_(* &quot;-&quot;??_);_(@_)">
                  <c:v>824001.52891390887</c:v>
                </c:pt>
                <c:pt idx="23" formatCode="_(* #,##0_);_(* \(#,##0\);_(* &quot;-&quot;??_);_(@_)">
                  <c:v>861693.66910618066</c:v>
                </c:pt>
                <c:pt idx="24" formatCode="_(* #,##0_);_(* \(#,##0\);_(* &quot;-&quot;??_);_(@_)">
                  <c:v>878957.90170378645</c:v>
                </c:pt>
                <c:pt idx="25" formatCode="_(* #,##0_);_(* \(#,##0\);_(* &quot;-&quot;??_);_(@_)">
                  <c:v>916678.26877481467</c:v>
                </c:pt>
                <c:pt idx="26" formatCode="_(* #,##0_);_(* \(#,##0\);_(* &quot;-&quot;??_);_(@_)">
                  <c:v>933942.35286292655</c:v>
                </c:pt>
                <c:pt idx="27" formatCode="_(* #,##0_);_(* \(#,##0\);_(* &quot;-&quot;??_);_(@_)">
                  <c:v>971687.32498449611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C4-428F-8328-06595FD0737B}"/>
            </c:ext>
          </c:extLst>
        </c:ser>
        <c:ser>
          <c:idx val="3"/>
          <c:order val="3"/>
          <c:tx>
            <c:strRef>
              <c:f>'Revenue forecast - 90%'!$E$1</c:f>
              <c:strCache>
                <c:ptCount val="1"/>
                <c:pt idx="0">
                  <c:v>Upper Confidence Bound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'Revenue forecast - 90%'!$A$2:$A$29</c:f>
              <c:numCache>
                <c:formatCode>d\-mmm\-yy</c:formatCode>
                <c:ptCount val="28"/>
                <c:pt idx="0">
                  <c:v>43921</c:v>
                </c:pt>
                <c:pt idx="1">
                  <c:v>44012</c:v>
                </c:pt>
                <c:pt idx="2">
                  <c:v>44104</c:v>
                </c:pt>
                <c:pt idx="3">
                  <c:v>44196</c:v>
                </c:pt>
                <c:pt idx="4">
                  <c:v>44286</c:v>
                </c:pt>
                <c:pt idx="5">
                  <c:v>44377</c:v>
                </c:pt>
                <c:pt idx="6">
                  <c:v>44469</c:v>
                </c:pt>
                <c:pt idx="7">
                  <c:v>44561</c:v>
                </c:pt>
                <c:pt idx="8">
                  <c:v>44651</c:v>
                </c:pt>
                <c:pt idx="9">
                  <c:v>44743</c:v>
                </c:pt>
                <c:pt idx="10">
                  <c:v>44835</c:v>
                </c:pt>
                <c:pt idx="11">
                  <c:v>44926</c:v>
                </c:pt>
                <c:pt idx="12">
                  <c:v>45016</c:v>
                </c:pt>
                <c:pt idx="13">
                  <c:v>45108</c:v>
                </c:pt>
                <c:pt idx="14">
                  <c:v>45200</c:v>
                </c:pt>
                <c:pt idx="15">
                  <c:v>45291</c:v>
                </c:pt>
                <c:pt idx="16">
                  <c:v>45382</c:v>
                </c:pt>
                <c:pt idx="17">
                  <c:v>45474</c:v>
                </c:pt>
                <c:pt idx="18">
                  <c:v>45566</c:v>
                </c:pt>
                <c:pt idx="19">
                  <c:v>45657</c:v>
                </c:pt>
                <c:pt idx="20">
                  <c:v>45747</c:v>
                </c:pt>
                <c:pt idx="21">
                  <c:v>45839</c:v>
                </c:pt>
                <c:pt idx="22">
                  <c:v>45931</c:v>
                </c:pt>
                <c:pt idx="23">
                  <c:v>46022</c:v>
                </c:pt>
                <c:pt idx="24">
                  <c:v>46112</c:v>
                </c:pt>
                <c:pt idx="25">
                  <c:v>46204</c:v>
                </c:pt>
                <c:pt idx="26">
                  <c:v>46296</c:v>
                </c:pt>
                <c:pt idx="27">
                  <c:v>46387</c:v>
                </c:pt>
              </c:numCache>
            </c:numRef>
          </c:cat>
          <c:val>
            <c:numRef>
              <c:f>'Revenue forecast - 90%'!$E$2:$E$29</c:f>
              <c:numCache>
                <c:formatCode>General</c:formatCode>
                <c:ptCount val="28"/>
                <c:pt idx="8" formatCode="_(* #,##0_);_(* \(#,##0\);_(* &quot;-&quot;??_);_(@_)">
                  <c:v>446357</c:v>
                </c:pt>
                <c:pt idx="9" formatCode="_(* #,##0_);_(* \(#,##0\);_(* &quot;-&quot;??_);_(@_)">
                  <c:v>495819.29339910776</c:v>
                </c:pt>
                <c:pt idx="10" formatCode="_(* #,##0_);_(* \(#,##0\);_(* &quot;-&quot;??_);_(@_)">
                  <c:v>513084.33319847751</c:v>
                </c:pt>
                <c:pt idx="11" formatCode="_(* #,##0_);_(* \(#,##0\);_(* &quot;-&quot;??_);_(@_)">
                  <c:v>552569.21928367217</c:v>
                </c:pt>
                <c:pt idx="12" formatCode="_(* #,##0_);_(* \(#,##0\);_(* &quot;-&quot;??_);_(@_)">
                  <c:v>569834.31849134772</c:v>
                </c:pt>
                <c:pt idx="13" formatCode="_(* #,##0_);_(* \(#,##0\);_(* &quot;-&quot;??_);_(@_)">
                  <c:v>609222.75567394716</c:v>
                </c:pt>
                <c:pt idx="14" formatCode="_(* #,##0_);_(* \(#,##0\);_(* &quot;-&quot;??_);_(@_)">
                  <c:v>626487.93312648241</c:v>
                </c:pt>
                <c:pt idx="15" formatCode="_(* #,##0_);_(* \(#,##0\);_(* &quot;-&quot;??_);_(@_)">
                  <c:v>665803.6885411425</c:v>
                </c:pt>
                <c:pt idx="16" formatCode="_(* #,##0_);_(* \(#,##0\);_(* &quot;-&quot;??_);_(@_)">
                  <c:v>683068.95979846572</c:v>
                </c:pt>
                <c:pt idx="17" formatCode="_(* #,##0_);_(* \(#,##0\);_(* &quot;-&quot;??_);_(@_)">
                  <c:v>722327.50554163393</c:v>
                </c:pt>
                <c:pt idx="18" formatCode="_(* #,##0_);_(* \(#,##0\);_(* &quot;-&quot;??_);_(@_)">
                  <c:v>739592.88400118309</c:v>
                </c:pt>
                <c:pt idx="19" formatCode="_(* #,##0_);_(* \(#,##0\);_(* &quot;-&quot;??_);_(@_)">
                  <c:v>778804.95402690151</c:v>
                </c:pt>
                <c:pt idx="20" formatCode="_(* #,##0_);_(* \(#,##0\);_(* &quot;-&quot;??_);_(@_)">
                  <c:v>796070.45154034079</c:v>
                </c:pt>
                <c:pt idx="21" formatCode="_(* #,##0_);_(* \(#,##0\);_(* &quot;-&quot;??_);_(@_)">
                  <c:v>835243.85005400667</c:v>
                </c:pt>
                <c:pt idx="22" formatCode="_(* #,##0_);_(* \(#,##0\);_(* &quot;-&quot;??_);_(@_)">
                  <c:v>852509.47730407002</c:v>
                </c:pt>
                <c:pt idx="23" formatCode="_(* #,##0_);_(* \(#,##0\);_(* &quot;-&quot;??_);_(@_)">
                  <c:v>891650.08661277557</c:v>
                </c:pt>
                <c:pt idx="24" formatCode="_(* #,##0_);_(* \(#,##0\);_(* &quot;-&quot;??_);_(@_)">
                  <c:v>908915.85336076154</c:v>
                </c:pt>
                <c:pt idx="25" formatCode="_(* #,##0_);_(* \(#,##0\);_(* &quot;-&quot;??_);_(@_)">
                  <c:v>948028.2357907109</c:v>
                </c:pt>
                <c:pt idx="26" formatCode="_(* #,##0_);_(* \(#,##0\);_(* &quot;-&quot;??_);_(@_)">
                  <c:v>965294.15104819078</c:v>
                </c:pt>
                <c:pt idx="27" formatCode="_(* #,##0_);_(* \(#,##0\);_(* &quot;-&quot;??_);_(@_)">
                  <c:v>1004381.9284275986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EC4-428F-8328-06595FD07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9036120"/>
        <c:axId val="549038088"/>
      </c:lineChart>
      <c:catAx>
        <c:axId val="549036120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038088"/>
        <c:crosses val="autoZero"/>
        <c:auto val="1"/>
        <c:lblAlgn val="ctr"/>
        <c:lblOffset val="100"/>
        <c:noMultiLvlLbl val="0"/>
      </c:catAx>
      <c:valAx>
        <c:axId val="549038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036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133350</xdr:colOff>
      <xdr:row>1</xdr:row>
      <xdr:rowOff>14287</xdr:rowOff>
    </xdr:from>
    <xdr:to>
      <xdr:col>17</xdr:col>
      <xdr:colOff>152400</xdr:colOff>
      <xdr:row>24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93E794-DDCD-832E-DA9B-C7C3826326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919FE63-56A3-4854-9F11-C7084D9E9EDA}" name="Table1" displayName="Table1" ref="A1:E29" totalsRowShown="0">
  <autoFilter ref="A1:E29" xr:uid="{5919FE63-56A3-4854-9F11-C7084D9E9EDA}"/>
  <tableColumns count="5">
    <tableColumn id="1" xr3:uid="{7E319907-8F7E-4A57-A7DC-46D12952CF4C}" name="Timeline" dataDxfId="5"/>
    <tableColumn id="2" xr3:uid="{845247C0-F5BA-441B-88A0-12A8910A8A61}" name="Values"/>
    <tableColumn id="3" xr3:uid="{A7D75C84-F52B-44C2-BFBA-C42A8A891DEC}" name="Forecast" dataDxfId="4">
      <calculatedColumnFormula>_xlfn.FORECAST.ETS(A2,$B$2:$B$10,$A$2:$A$10,1,1)</calculatedColumnFormula>
    </tableColumn>
    <tableColumn id="4" xr3:uid="{769D1879-22DE-4728-8C74-2C85B90FE150}" name="Lower Confidence Bound" dataDxfId="3">
      <calculatedColumnFormula>C2-_xlfn.FORECAST.ETS.CONFINT(A2,$B$2:$B$10,$A$2:$A$10,0.9,1,1)</calculatedColumnFormula>
    </tableColumn>
    <tableColumn id="5" xr3:uid="{A3781214-ADCD-42FB-8FA3-5A76424BDEAD}" name="Upper Confidence Bound" dataDxfId="2">
      <calculatedColumnFormula>C2+_xlfn.FORECAST.ETS.CONFINT(A2,$B$2:$B$10,$A$2:$A$10,0.9,1,1)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barrons.com/market-data/stocks/pltr" TargetMode="External"/><Relationship Id="rId1" Type="http://schemas.openxmlformats.org/officeDocument/2006/relationships/hyperlink" Target="https://www.statista.com/statistics/664840/average-market-risk-premium-usa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8AA7D-5AEE-4003-8716-CB1C0943A3D2}">
  <dimension ref="A1:I63"/>
  <sheetViews>
    <sheetView workbookViewId="0">
      <selection activeCell="K12" sqref="K12"/>
    </sheetView>
  </sheetViews>
  <sheetFormatPr defaultRowHeight="15" x14ac:dyDescent="0.25"/>
  <cols>
    <col min="1" max="1" width="40.5703125" customWidth="1"/>
    <col min="4" max="4" width="11.28515625" bestFit="1" customWidth="1"/>
    <col min="5" max="5" width="14" bestFit="1" customWidth="1"/>
    <col min="6" max="8" width="11.28515625" bestFit="1" customWidth="1"/>
    <col min="9" max="9" width="14" bestFit="1" customWidth="1"/>
  </cols>
  <sheetData>
    <row r="1" spans="1:9" x14ac:dyDescent="0.25">
      <c r="D1" s="7" t="s">
        <v>0</v>
      </c>
      <c r="E1" s="7" t="s">
        <v>1</v>
      </c>
      <c r="F1" s="7" t="s">
        <v>2</v>
      </c>
      <c r="G1" s="7" t="s">
        <v>3</v>
      </c>
      <c r="H1" s="7" t="s">
        <v>4</v>
      </c>
      <c r="I1" s="7" t="s">
        <v>5</v>
      </c>
    </row>
    <row r="2" spans="1:9" x14ac:dyDescent="0.25">
      <c r="A2" s="7" t="s">
        <v>22</v>
      </c>
    </row>
    <row r="3" spans="1:9" x14ac:dyDescent="0.25">
      <c r="A3" t="s">
        <v>47</v>
      </c>
    </row>
    <row r="4" spans="1:9" x14ac:dyDescent="0.25">
      <c r="A4" s="5" t="s">
        <v>23</v>
      </c>
      <c r="D4" s="1">
        <v>2011323</v>
      </c>
      <c r="E4" s="1">
        <v>2290674</v>
      </c>
      <c r="F4" s="1">
        <v>2341156</v>
      </c>
      <c r="G4" s="1">
        <v>2335068</v>
      </c>
      <c r="H4" s="1">
        <v>2290674</v>
      </c>
      <c r="I4" s="1">
        <v>2269411</v>
      </c>
    </row>
    <row r="5" spans="1:9" x14ac:dyDescent="0.25">
      <c r="A5" s="5" t="s">
        <v>24</v>
      </c>
      <c r="D5" s="1">
        <v>37285</v>
      </c>
      <c r="E5" s="1">
        <v>36628</v>
      </c>
      <c r="F5" s="1">
        <v>36750</v>
      </c>
      <c r="G5" s="1">
        <v>41316</v>
      </c>
      <c r="H5" s="1">
        <v>36628</v>
      </c>
      <c r="I5" s="1">
        <v>33804</v>
      </c>
    </row>
    <row r="6" spans="1:9" x14ac:dyDescent="0.25">
      <c r="A6" s="5" t="s">
        <v>25</v>
      </c>
      <c r="D6" s="1">
        <v>156932</v>
      </c>
      <c r="E6" s="1">
        <v>190923</v>
      </c>
      <c r="F6" s="1">
        <v>242998</v>
      </c>
      <c r="G6" s="1">
        <v>174405</v>
      </c>
      <c r="H6" s="1">
        <v>190923</v>
      </c>
      <c r="I6" s="1">
        <v>256554</v>
      </c>
    </row>
    <row r="7" spans="1:9" x14ac:dyDescent="0.25">
      <c r="A7" s="5" t="s">
        <v>26</v>
      </c>
      <c r="D7" s="1">
        <v>0</v>
      </c>
      <c r="E7" s="1">
        <v>234153</v>
      </c>
      <c r="F7" s="1">
        <v>0</v>
      </c>
      <c r="G7" s="1">
        <v>148077</v>
      </c>
      <c r="H7" s="1">
        <v>234153</v>
      </c>
      <c r="I7" s="1">
        <v>252563</v>
      </c>
    </row>
    <row r="8" spans="1:9" x14ac:dyDescent="0.25">
      <c r="A8" s="5" t="s">
        <v>27</v>
      </c>
      <c r="D8" s="1">
        <v>51889</v>
      </c>
      <c r="E8" s="1">
        <v>110872</v>
      </c>
      <c r="F8" s="1">
        <v>41648</v>
      </c>
      <c r="G8" s="1">
        <v>112624</v>
      </c>
      <c r="H8" s="1">
        <v>110872</v>
      </c>
      <c r="I8" s="1">
        <v>115042</v>
      </c>
    </row>
    <row r="9" spans="1:9" x14ac:dyDescent="0.25">
      <c r="D9" s="2">
        <f t="shared" ref="D9:I9" si="0">SUM(D4:D8)</f>
        <v>2257429</v>
      </c>
      <c r="E9" s="2">
        <f t="shared" si="0"/>
        <v>2863250</v>
      </c>
      <c r="F9" s="2">
        <f t="shared" si="0"/>
        <v>2662552</v>
      </c>
      <c r="G9" s="2">
        <f t="shared" si="0"/>
        <v>2811490</v>
      </c>
      <c r="H9" s="2">
        <f t="shared" si="0"/>
        <v>2863250</v>
      </c>
      <c r="I9" s="2">
        <f t="shared" si="0"/>
        <v>2927374</v>
      </c>
    </row>
    <row r="10" spans="1:9" x14ac:dyDescent="0.25">
      <c r="D10" s="1"/>
      <c r="E10" s="1"/>
      <c r="F10" s="1"/>
      <c r="G10" s="1"/>
      <c r="H10" s="1"/>
      <c r="I10" s="1"/>
    </row>
    <row r="11" spans="1:9" x14ac:dyDescent="0.25">
      <c r="A11" t="s">
        <v>28</v>
      </c>
      <c r="D11" s="1">
        <v>29541</v>
      </c>
      <c r="E11" s="1">
        <v>31304</v>
      </c>
      <c r="F11" s="1">
        <v>24824</v>
      </c>
      <c r="G11" s="1">
        <v>28778</v>
      </c>
      <c r="H11" s="1">
        <v>31304</v>
      </c>
      <c r="I11" s="1">
        <v>41866</v>
      </c>
    </row>
    <row r="12" spans="1:9" x14ac:dyDescent="0.25">
      <c r="A12" t="s">
        <v>24</v>
      </c>
      <c r="D12" s="1">
        <v>79538</v>
      </c>
      <c r="E12" s="1">
        <v>39612</v>
      </c>
      <c r="F12" s="1">
        <v>61914</v>
      </c>
      <c r="G12" s="1">
        <v>46791</v>
      </c>
      <c r="H12" s="1">
        <v>39612</v>
      </c>
      <c r="I12" s="1">
        <v>29222</v>
      </c>
    </row>
    <row r="13" spans="1:9" x14ac:dyDescent="0.25">
      <c r="A13" t="s">
        <v>29</v>
      </c>
      <c r="D13" s="1">
        <v>217075</v>
      </c>
      <c r="E13" s="1">
        <v>216898</v>
      </c>
      <c r="F13" s="1">
        <v>209243</v>
      </c>
      <c r="G13" s="1">
        <v>220846</v>
      </c>
      <c r="H13" s="1">
        <v>216898</v>
      </c>
      <c r="I13" s="1">
        <v>224888</v>
      </c>
    </row>
    <row r="14" spans="1:9" x14ac:dyDescent="0.25">
      <c r="A14" t="s">
        <v>30</v>
      </c>
      <c r="D14" s="1">
        <v>106921</v>
      </c>
      <c r="E14" s="1">
        <v>96386</v>
      </c>
      <c r="F14" s="1">
        <v>117135</v>
      </c>
      <c r="G14" s="1">
        <v>116422</v>
      </c>
      <c r="H14" s="1">
        <v>96386</v>
      </c>
      <c r="I14" s="1">
        <v>95829</v>
      </c>
    </row>
    <row r="15" spans="1:9" ht="15.75" thickBot="1" x14ac:dyDescent="0.3">
      <c r="D15" s="4">
        <f t="shared" ref="D15:I15" si="1">SUM(D9:D14)</f>
        <v>2690504</v>
      </c>
      <c r="E15" s="4">
        <f t="shared" si="1"/>
        <v>3247450</v>
      </c>
      <c r="F15" s="4">
        <f t="shared" si="1"/>
        <v>3075668</v>
      </c>
      <c r="G15" s="4">
        <f t="shared" si="1"/>
        <v>3224327</v>
      </c>
      <c r="H15" s="4">
        <f t="shared" si="1"/>
        <v>3247450</v>
      </c>
      <c r="I15" s="4">
        <f t="shared" si="1"/>
        <v>3319179</v>
      </c>
    </row>
    <row r="16" spans="1:9" ht="15.75" thickTop="1" x14ac:dyDescent="0.25">
      <c r="D16" s="1"/>
      <c r="E16" s="1"/>
      <c r="F16" s="1"/>
      <c r="G16" s="1"/>
      <c r="H16" s="1"/>
      <c r="I16" s="1"/>
    </row>
    <row r="17" spans="1:9" x14ac:dyDescent="0.25">
      <c r="A17" s="7" t="s">
        <v>31</v>
      </c>
      <c r="D17" s="1"/>
      <c r="E17" s="1"/>
      <c r="F17" s="1"/>
      <c r="G17" s="1"/>
      <c r="H17" s="1"/>
      <c r="I17" s="1"/>
    </row>
    <row r="18" spans="1:9" x14ac:dyDescent="0.25">
      <c r="A18" t="s">
        <v>48</v>
      </c>
      <c r="D18" s="1"/>
      <c r="E18" s="1"/>
      <c r="F18" s="1"/>
      <c r="G18" s="1"/>
      <c r="H18" s="1"/>
      <c r="I18" s="1"/>
    </row>
    <row r="19" spans="1:9" x14ac:dyDescent="0.25">
      <c r="A19" s="5" t="s">
        <v>32</v>
      </c>
      <c r="D19" s="1">
        <v>16358</v>
      </c>
      <c r="E19" s="1">
        <v>74907</v>
      </c>
      <c r="F19" s="1">
        <v>30914</v>
      </c>
      <c r="G19" s="1">
        <v>17654</v>
      </c>
      <c r="H19" s="1">
        <v>74907</v>
      </c>
      <c r="I19" s="1">
        <v>27454</v>
      </c>
    </row>
    <row r="20" spans="1:9" x14ac:dyDescent="0.25">
      <c r="A20" s="5" t="s">
        <v>33</v>
      </c>
      <c r="D20" s="1">
        <v>158546</v>
      </c>
      <c r="E20" s="1">
        <v>155806</v>
      </c>
      <c r="F20" s="1">
        <v>166252</v>
      </c>
      <c r="G20" s="1">
        <v>179467</v>
      </c>
      <c r="H20" s="1">
        <v>155806</v>
      </c>
      <c r="I20" s="1">
        <v>150176</v>
      </c>
    </row>
    <row r="21" spans="1:9" x14ac:dyDescent="0.25">
      <c r="A21" s="5" t="s">
        <v>34</v>
      </c>
      <c r="D21" s="1">
        <v>189520</v>
      </c>
      <c r="E21" s="1">
        <v>227816</v>
      </c>
      <c r="F21" s="1">
        <v>194511</v>
      </c>
      <c r="G21" s="1">
        <v>208100</v>
      </c>
      <c r="H21" s="1">
        <v>227816</v>
      </c>
      <c r="I21" s="1">
        <v>218521</v>
      </c>
    </row>
    <row r="22" spans="1:9" x14ac:dyDescent="0.25">
      <c r="A22" s="5" t="s">
        <v>35</v>
      </c>
      <c r="D22" s="1">
        <v>210320</v>
      </c>
      <c r="E22" s="1">
        <v>161605</v>
      </c>
      <c r="F22" s="1">
        <v>257747</v>
      </c>
      <c r="G22" s="1">
        <v>232707</v>
      </c>
      <c r="H22" s="1">
        <v>161605</v>
      </c>
      <c r="I22" s="1">
        <v>232908</v>
      </c>
    </row>
    <row r="23" spans="1:9" x14ac:dyDescent="0.25">
      <c r="A23" s="5" t="s">
        <v>36</v>
      </c>
      <c r="D23" s="1">
        <v>29079</v>
      </c>
      <c r="E23" s="1">
        <v>39927</v>
      </c>
      <c r="F23" s="1">
        <v>33162</v>
      </c>
      <c r="G23" s="1">
        <v>43581</v>
      </c>
      <c r="H23" s="1">
        <v>39927</v>
      </c>
      <c r="I23" s="1">
        <v>40045</v>
      </c>
    </row>
    <row r="24" spans="1:9" x14ac:dyDescent="0.25">
      <c r="D24" s="2">
        <f t="shared" ref="D24:I24" si="2">SUM(D19:D23)</f>
        <v>603823</v>
      </c>
      <c r="E24" s="2">
        <f t="shared" si="2"/>
        <v>660061</v>
      </c>
      <c r="F24" s="2">
        <f t="shared" si="2"/>
        <v>682586</v>
      </c>
      <c r="G24" s="2">
        <f t="shared" si="2"/>
        <v>681509</v>
      </c>
      <c r="H24" s="2">
        <f t="shared" si="2"/>
        <v>660061</v>
      </c>
      <c r="I24" s="2">
        <f t="shared" si="2"/>
        <v>669104</v>
      </c>
    </row>
    <row r="25" spans="1:9" x14ac:dyDescent="0.25">
      <c r="D25" s="1"/>
      <c r="E25" s="1"/>
      <c r="F25" s="1"/>
      <c r="G25" s="1"/>
      <c r="H25" s="1"/>
      <c r="I25" s="1"/>
    </row>
    <row r="26" spans="1:9" x14ac:dyDescent="0.25">
      <c r="A26" t="s">
        <v>37</v>
      </c>
      <c r="D26" s="1">
        <v>50525</v>
      </c>
      <c r="E26" s="1">
        <v>40217</v>
      </c>
      <c r="F26" s="1">
        <v>40518</v>
      </c>
      <c r="G26" s="1">
        <v>26723</v>
      </c>
      <c r="H26" s="1">
        <v>40217</v>
      </c>
      <c r="I26" s="1">
        <v>33244</v>
      </c>
    </row>
    <row r="27" spans="1:9" x14ac:dyDescent="0.25">
      <c r="A27" t="s">
        <v>38</v>
      </c>
      <c r="D27" s="1">
        <v>81513</v>
      </c>
      <c r="E27" s="1">
        <v>33699</v>
      </c>
      <c r="F27" s="1">
        <v>62732</v>
      </c>
      <c r="G27" s="1">
        <v>42734</v>
      </c>
      <c r="H27" s="1">
        <v>33699</v>
      </c>
      <c r="I27" s="1">
        <v>22276</v>
      </c>
    </row>
    <row r="28" spans="1:9" x14ac:dyDescent="0.25">
      <c r="A28" t="s">
        <v>52</v>
      </c>
      <c r="D28" s="1">
        <v>197977</v>
      </c>
      <c r="E28" s="1"/>
      <c r="F28" s="1"/>
      <c r="G28" s="1"/>
      <c r="H28" s="1">
        <v>0</v>
      </c>
      <c r="I28" s="1"/>
    </row>
    <row r="29" spans="1:9" x14ac:dyDescent="0.25">
      <c r="A29" t="s">
        <v>39</v>
      </c>
      <c r="D29" s="1">
        <v>229800</v>
      </c>
      <c r="E29" s="1">
        <v>220146</v>
      </c>
      <c r="F29" s="1">
        <v>216630</v>
      </c>
      <c r="G29" s="1">
        <v>219646</v>
      </c>
      <c r="H29" s="1">
        <v>220146</v>
      </c>
      <c r="I29" s="1">
        <v>227617</v>
      </c>
    </row>
    <row r="30" spans="1:9" x14ac:dyDescent="0.25">
      <c r="A30" t="s">
        <v>40</v>
      </c>
      <c r="D30" s="1">
        <v>4316</v>
      </c>
      <c r="E30" s="1">
        <v>2297</v>
      </c>
      <c r="F30" s="1">
        <v>4239</v>
      </c>
      <c r="G30" s="1">
        <v>5659</v>
      </c>
      <c r="H30" s="1">
        <v>2297</v>
      </c>
      <c r="I30" s="1">
        <v>2192</v>
      </c>
    </row>
    <row r="31" spans="1:9" x14ac:dyDescent="0.25">
      <c r="A31" t="s">
        <v>51</v>
      </c>
      <c r="D31" s="2">
        <f t="shared" ref="D31:I31" si="3">SUM(D24:D30)</f>
        <v>1167954</v>
      </c>
      <c r="E31" s="2">
        <f t="shared" si="3"/>
        <v>956420</v>
      </c>
      <c r="F31" s="2">
        <f t="shared" si="3"/>
        <v>1006705</v>
      </c>
      <c r="G31" s="2">
        <f t="shared" si="3"/>
        <v>976271</v>
      </c>
      <c r="H31" s="2">
        <f t="shared" si="3"/>
        <v>956420</v>
      </c>
      <c r="I31" s="2">
        <f t="shared" si="3"/>
        <v>954433</v>
      </c>
    </row>
    <row r="32" spans="1:9" x14ac:dyDescent="0.25">
      <c r="D32" s="1"/>
      <c r="E32" s="1"/>
      <c r="F32" s="1"/>
      <c r="G32" s="1"/>
      <c r="H32" s="1"/>
      <c r="I32" s="1"/>
    </row>
    <row r="33" spans="1:9" x14ac:dyDescent="0.25">
      <c r="A33" s="7" t="s">
        <v>49</v>
      </c>
      <c r="D33" s="1"/>
      <c r="E33" s="1"/>
      <c r="F33" s="1"/>
      <c r="G33" s="1"/>
      <c r="H33" s="1"/>
      <c r="I33" s="1"/>
    </row>
    <row r="34" spans="1:9" x14ac:dyDescent="0.25">
      <c r="A34" s="5" t="s">
        <v>41</v>
      </c>
      <c r="D34" s="1">
        <v>1792</v>
      </c>
      <c r="E34" s="1">
        <v>2027</v>
      </c>
      <c r="F34" s="1">
        <v>1937</v>
      </c>
      <c r="G34" s="1">
        <v>1991</v>
      </c>
      <c r="H34" s="1">
        <v>2027</v>
      </c>
      <c r="I34" s="1">
        <v>2046</v>
      </c>
    </row>
    <row r="35" spans="1:9" x14ac:dyDescent="0.25">
      <c r="A35" s="5" t="s">
        <v>42</v>
      </c>
      <c r="D35" s="1">
        <v>6488857</v>
      </c>
      <c r="E35" s="1">
        <v>7777085</v>
      </c>
      <c r="F35" s="1">
        <v>7294369</v>
      </c>
      <c r="G35" s="1">
        <v>7577305</v>
      </c>
      <c r="H35" s="1">
        <v>7777085</v>
      </c>
      <c r="I35" s="1">
        <v>7953856</v>
      </c>
    </row>
    <row r="36" spans="1:9" x14ac:dyDescent="0.25">
      <c r="A36" s="5" t="s">
        <v>43</v>
      </c>
      <c r="D36" s="1">
        <v>-2745</v>
      </c>
      <c r="E36" s="1">
        <v>-2349</v>
      </c>
      <c r="F36" s="1">
        <v>65</v>
      </c>
      <c r="G36" s="1">
        <v>-1695</v>
      </c>
      <c r="H36" s="1">
        <v>-2349</v>
      </c>
      <c r="I36" s="1">
        <v>-4044</v>
      </c>
    </row>
    <row r="37" spans="1:9" x14ac:dyDescent="0.25">
      <c r="A37" s="5" t="s">
        <v>44</v>
      </c>
      <c r="D37" s="1">
        <v>-4965354</v>
      </c>
      <c r="E37" s="1">
        <v>-5485733</v>
      </c>
      <c r="F37" s="1">
        <v>-5227408</v>
      </c>
      <c r="G37" s="1">
        <v>-5329545</v>
      </c>
      <c r="H37" s="1">
        <v>-5485733</v>
      </c>
      <c r="I37" s="1">
        <v>-5587112</v>
      </c>
    </row>
    <row r="38" spans="1:9" x14ac:dyDescent="0.25">
      <c r="A38" t="s">
        <v>45</v>
      </c>
      <c r="D38" s="2">
        <f t="shared" ref="D38:I38" si="4">SUM(D34:D37)</f>
        <v>1522550</v>
      </c>
      <c r="E38" s="2">
        <f t="shared" si="4"/>
        <v>2291030</v>
      </c>
      <c r="F38" s="2">
        <f t="shared" si="4"/>
        <v>2068963</v>
      </c>
      <c r="G38" s="2">
        <f t="shared" si="4"/>
        <v>2248056</v>
      </c>
      <c r="H38" s="2">
        <f t="shared" si="4"/>
        <v>2291030</v>
      </c>
      <c r="I38" s="2">
        <f t="shared" si="4"/>
        <v>2364746</v>
      </c>
    </row>
    <row r="39" spans="1:9" ht="15.75" thickBot="1" x14ac:dyDescent="0.3">
      <c r="A39" t="s">
        <v>46</v>
      </c>
      <c r="D39" s="4">
        <f t="shared" ref="D39:I39" si="5">D31+D38</f>
        <v>2690504</v>
      </c>
      <c r="E39" s="4">
        <f t="shared" si="5"/>
        <v>3247450</v>
      </c>
      <c r="F39" s="4">
        <f t="shared" si="5"/>
        <v>3075668</v>
      </c>
      <c r="G39" s="4">
        <f t="shared" si="5"/>
        <v>3224327</v>
      </c>
      <c r="H39" s="4">
        <f t="shared" si="5"/>
        <v>3247450</v>
      </c>
      <c r="I39" s="4">
        <f t="shared" si="5"/>
        <v>3319179</v>
      </c>
    </row>
    <row r="40" spans="1:9" ht="15.75" thickTop="1" x14ac:dyDescent="0.25">
      <c r="D40" s="1"/>
      <c r="E40" s="1"/>
      <c r="F40" s="1"/>
      <c r="G40" s="1"/>
      <c r="H40" s="1"/>
      <c r="I40" s="1"/>
    </row>
    <row r="41" spans="1:9" x14ac:dyDescent="0.25">
      <c r="D41" s="1"/>
      <c r="E41" s="1"/>
      <c r="F41" s="1"/>
      <c r="G41" s="1"/>
      <c r="H41" s="1"/>
      <c r="I41" s="1"/>
    </row>
    <row r="42" spans="1:9" x14ac:dyDescent="0.25">
      <c r="D42" s="1"/>
      <c r="E42" s="1"/>
      <c r="F42" s="1"/>
      <c r="G42" s="1"/>
      <c r="H42" s="1"/>
      <c r="I42" s="1"/>
    </row>
    <row r="43" spans="1:9" x14ac:dyDescent="0.25">
      <c r="D43" s="1"/>
      <c r="E43" s="1"/>
      <c r="F43" s="1"/>
      <c r="G43" s="1"/>
      <c r="H43" s="1"/>
      <c r="I43" s="1"/>
    </row>
    <row r="44" spans="1:9" x14ac:dyDescent="0.25">
      <c r="D44" s="1"/>
      <c r="E44" s="1"/>
      <c r="F44" s="1"/>
      <c r="G44" s="1"/>
      <c r="H44" s="1"/>
      <c r="I44" s="1"/>
    </row>
    <row r="45" spans="1:9" x14ac:dyDescent="0.25">
      <c r="D45" s="1"/>
      <c r="E45" s="1"/>
      <c r="F45" s="1"/>
      <c r="G45" s="1"/>
      <c r="H45" s="1"/>
      <c r="I45" s="1"/>
    </row>
    <row r="46" spans="1:9" x14ac:dyDescent="0.25">
      <c r="D46" s="1"/>
      <c r="E46" s="1"/>
      <c r="F46" s="1"/>
      <c r="G46" s="1"/>
      <c r="H46" s="1"/>
      <c r="I46" s="1"/>
    </row>
    <row r="47" spans="1:9" x14ac:dyDescent="0.25">
      <c r="D47" s="1"/>
      <c r="E47" s="1"/>
      <c r="F47" s="1"/>
      <c r="G47" s="1"/>
      <c r="H47" s="1"/>
      <c r="I47" s="1"/>
    </row>
    <row r="48" spans="1:9" x14ac:dyDescent="0.25">
      <c r="D48" s="1"/>
      <c r="E48" s="1"/>
      <c r="F48" s="1"/>
      <c r="G48" s="1"/>
      <c r="H48" s="1"/>
      <c r="I48" s="1"/>
    </row>
    <row r="49" spans="4:9" x14ac:dyDescent="0.25">
      <c r="D49" s="1"/>
      <c r="E49" s="1"/>
      <c r="F49" s="1"/>
      <c r="G49" s="1"/>
      <c r="H49" s="1"/>
      <c r="I49" s="1"/>
    </row>
    <row r="50" spans="4:9" x14ac:dyDescent="0.25">
      <c r="D50" s="1"/>
      <c r="E50" s="1"/>
      <c r="F50" s="1"/>
      <c r="G50" s="1"/>
      <c r="H50" s="1"/>
      <c r="I50" s="1"/>
    </row>
    <row r="51" spans="4:9" x14ac:dyDescent="0.25">
      <c r="D51" s="1"/>
      <c r="E51" s="1"/>
      <c r="F51" s="1"/>
      <c r="G51" s="1"/>
      <c r="H51" s="1"/>
      <c r="I51" s="1"/>
    </row>
    <row r="52" spans="4:9" x14ac:dyDescent="0.25">
      <c r="D52" s="1"/>
      <c r="E52" s="1"/>
      <c r="F52" s="1"/>
      <c r="G52" s="1"/>
      <c r="H52" s="1"/>
      <c r="I52" s="1"/>
    </row>
    <row r="53" spans="4:9" x14ac:dyDescent="0.25">
      <c r="D53" s="1"/>
      <c r="E53" s="1"/>
      <c r="F53" s="1"/>
      <c r="G53" s="1"/>
      <c r="H53" s="1"/>
      <c r="I53" s="1"/>
    </row>
    <row r="54" spans="4:9" x14ac:dyDescent="0.25">
      <c r="D54" s="1"/>
      <c r="E54" s="1"/>
      <c r="F54" s="1"/>
      <c r="G54" s="1"/>
      <c r="H54" s="1"/>
      <c r="I54" s="1"/>
    </row>
    <row r="55" spans="4:9" x14ac:dyDescent="0.25">
      <c r="D55" s="1"/>
      <c r="E55" s="1"/>
      <c r="F55" s="1"/>
      <c r="G55" s="1"/>
      <c r="H55" s="1"/>
      <c r="I55" s="1"/>
    </row>
    <row r="56" spans="4:9" x14ac:dyDescent="0.25">
      <c r="D56" s="1"/>
      <c r="E56" s="1"/>
      <c r="F56" s="1"/>
      <c r="G56" s="1"/>
      <c r="H56" s="1"/>
      <c r="I56" s="1"/>
    </row>
    <row r="57" spans="4:9" x14ac:dyDescent="0.25">
      <c r="D57" s="1"/>
      <c r="E57" s="1"/>
      <c r="F57" s="1"/>
      <c r="G57" s="1"/>
      <c r="H57" s="1"/>
      <c r="I57" s="1"/>
    </row>
    <row r="58" spans="4:9" x14ac:dyDescent="0.25">
      <c r="D58" s="1"/>
      <c r="E58" s="1"/>
      <c r="F58" s="1"/>
      <c r="G58" s="1"/>
      <c r="H58" s="1"/>
      <c r="I58" s="1"/>
    </row>
    <row r="59" spans="4:9" x14ac:dyDescent="0.25">
      <c r="D59" s="1"/>
      <c r="E59" s="1"/>
      <c r="F59" s="1"/>
      <c r="G59" s="1"/>
      <c r="H59" s="1"/>
      <c r="I59" s="1"/>
    </row>
    <row r="60" spans="4:9" x14ac:dyDescent="0.25">
      <c r="D60" s="1"/>
      <c r="E60" s="1"/>
      <c r="F60" s="1"/>
      <c r="G60" s="1"/>
      <c r="H60" s="1"/>
      <c r="I60" s="1"/>
    </row>
    <row r="61" spans="4:9" x14ac:dyDescent="0.25">
      <c r="D61" s="1"/>
      <c r="E61" s="1"/>
      <c r="F61" s="1"/>
      <c r="G61" s="1"/>
      <c r="H61" s="1"/>
      <c r="I61" s="1"/>
    </row>
    <row r="62" spans="4:9" x14ac:dyDescent="0.25">
      <c r="D62" s="1"/>
      <c r="E62" s="1"/>
      <c r="F62" s="1"/>
      <c r="G62" s="1"/>
      <c r="H62" s="1"/>
      <c r="I62" s="1"/>
    </row>
    <row r="63" spans="4:9" x14ac:dyDescent="0.25">
      <c r="D63" s="1"/>
      <c r="E63" s="1"/>
      <c r="F63" s="1"/>
      <c r="G63" s="1"/>
      <c r="H63" s="1"/>
      <c r="I63" s="1"/>
    </row>
  </sheetData>
  <conditionalFormatting sqref="A1:XFD1048576">
    <cfRule type="expression" dxfId="1" priority="1">
      <formula>MOD(ROW(),2)=0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AFC89-7F62-47DD-B3DE-9DCDF72A6779}">
  <dimension ref="A1:AF28"/>
  <sheetViews>
    <sheetView workbookViewId="0">
      <selection activeCell="AH11" sqref="AH11"/>
    </sheetView>
  </sheetViews>
  <sheetFormatPr defaultRowHeight="15" x14ac:dyDescent="0.25"/>
  <cols>
    <col min="1" max="1" width="34" customWidth="1"/>
    <col min="4" max="4" width="10" bestFit="1" customWidth="1"/>
    <col min="5" max="5" width="11.85546875" customWidth="1"/>
    <col min="6" max="6" width="11.5703125" customWidth="1"/>
    <col min="7" max="7" width="11.85546875" customWidth="1"/>
    <col min="8" max="8" width="12.28515625" bestFit="1" customWidth="1"/>
    <col min="9" max="9" width="11.28515625" customWidth="1"/>
    <col min="10" max="10" width="11" customWidth="1"/>
    <col min="11" max="11" width="12.28515625" customWidth="1"/>
    <col min="12" max="12" width="12.28515625" bestFit="1" customWidth="1"/>
    <col min="14" max="17" width="11.5703125" bestFit="1" customWidth="1"/>
    <col min="18" max="19" width="11.5703125" customWidth="1"/>
    <col min="20" max="32" width="11.5703125" bestFit="1" customWidth="1"/>
  </cols>
  <sheetData>
    <row r="1" spans="1:32" x14ac:dyDescent="0.25">
      <c r="D1" s="8">
        <v>43921</v>
      </c>
      <c r="E1" s="8">
        <v>44012</v>
      </c>
      <c r="F1" s="8">
        <v>44104</v>
      </c>
      <c r="G1" s="8">
        <v>44196</v>
      </c>
      <c r="H1" s="8">
        <v>44286</v>
      </c>
      <c r="I1" s="8">
        <v>44377</v>
      </c>
      <c r="J1" s="8">
        <v>44469</v>
      </c>
      <c r="K1" s="8">
        <v>44561</v>
      </c>
      <c r="L1" s="8">
        <v>44651</v>
      </c>
      <c r="N1" s="12">
        <v>44742</v>
      </c>
      <c r="O1" s="12">
        <v>44834</v>
      </c>
      <c r="P1" s="12">
        <v>44926</v>
      </c>
      <c r="Q1" s="12">
        <v>45016</v>
      </c>
      <c r="R1" s="12">
        <v>45107</v>
      </c>
      <c r="S1" s="12">
        <v>45199</v>
      </c>
      <c r="T1" s="12">
        <v>45291</v>
      </c>
      <c r="U1" s="12">
        <v>45382</v>
      </c>
      <c r="V1" s="12">
        <v>45473</v>
      </c>
      <c r="W1" s="12">
        <v>45565</v>
      </c>
      <c r="X1" s="12">
        <v>45657</v>
      </c>
      <c r="Y1" s="12">
        <v>45747</v>
      </c>
      <c r="Z1" s="12">
        <v>45838</v>
      </c>
      <c r="AA1" s="12">
        <v>45930</v>
      </c>
      <c r="AB1" s="12">
        <v>46022</v>
      </c>
      <c r="AC1" s="12">
        <v>46112</v>
      </c>
      <c r="AD1" s="12">
        <v>46203</v>
      </c>
      <c r="AE1" s="12">
        <v>46295</v>
      </c>
      <c r="AF1" s="12">
        <v>46387</v>
      </c>
    </row>
    <row r="2" spans="1:32" x14ac:dyDescent="0.25">
      <c r="A2" t="s">
        <v>6</v>
      </c>
      <c r="D2" s="1">
        <v>229327</v>
      </c>
      <c r="E2" s="1">
        <v>251889</v>
      </c>
      <c r="F2" s="1">
        <v>289366</v>
      </c>
      <c r="G2" s="1">
        <f>1092673-F2-E2-D2</f>
        <v>322091</v>
      </c>
      <c r="H2" s="1">
        <v>341234</v>
      </c>
      <c r="I2" s="1">
        <v>375642</v>
      </c>
      <c r="J2" s="1">
        <v>392146</v>
      </c>
      <c r="K2" s="1">
        <f>1541889-J2-I2-H2</f>
        <v>432867</v>
      </c>
      <c r="L2" s="1">
        <v>446357</v>
      </c>
      <c r="N2" s="1">
        <f>'Revenue forecast - 90%'!C11</f>
        <v>486902.25689648592</v>
      </c>
      <c r="O2" s="1">
        <f>'Revenue forecast - 90%'!C12</f>
        <v>504167.25656928169</v>
      </c>
      <c r="P2" s="1">
        <f>'Revenue forecast - 90%'!C13</f>
        <v>542583.63131977047</v>
      </c>
      <c r="Q2" s="1">
        <f>'Revenue forecast - 90%'!C14</f>
        <v>559848.63099256635</v>
      </c>
      <c r="R2" s="1">
        <f>'Revenue forecast - 90%'!C15</f>
        <v>598265.00574305514</v>
      </c>
      <c r="S2" s="1">
        <f>'Revenue forecast - 90%'!C16</f>
        <v>615530.00541585102</v>
      </c>
      <c r="T2" s="1">
        <f>'Revenue forecast - 90%'!C17</f>
        <v>653946.38016633969</v>
      </c>
      <c r="U2" s="1">
        <f>'Revenue forecast - 90%'!C18</f>
        <v>671211.37983913557</v>
      </c>
      <c r="V2" s="1">
        <f>'Revenue forecast - 90%'!C19</f>
        <v>709627.75458962424</v>
      </c>
      <c r="W2" s="1">
        <f>'Revenue forecast - 90%'!C20</f>
        <v>726892.75426242023</v>
      </c>
      <c r="X2" s="1">
        <f>'Revenue forecast - 90%'!C21</f>
        <v>765309.1290129089</v>
      </c>
      <c r="Y2" s="1">
        <f>'Revenue forecast - 90%'!C22</f>
        <v>782574.1286857049</v>
      </c>
      <c r="Z2" s="1">
        <f>'Revenue forecast - 90%'!C23</f>
        <v>820990.50343619357</v>
      </c>
      <c r="AA2" s="1">
        <f>'Revenue forecast - 90%'!C24</f>
        <v>838255.50310898945</v>
      </c>
      <c r="AB2" s="1">
        <f>'Revenue forecast - 90%'!C25</f>
        <v>876671.87785947812</v>
      </c>
      <c r="AC2" s="1">
        <f>'Revenue forecast - 90%'!C26</f>
        <v>893936.877532274</v>
      </c>
      <c r="AD2" s="1">
        <f>'Revenue forecast - 90%'!C27</f>
        <v>932353.25228276278</v>
      </c>
      <c r="AE2" s="1">
        <f>'Revenue forecast - 90%'!C28</f>
        <v>949618.25195555866</v>
      </c>
      <c r="AF2" s="1">
        <f>'Revenue forecast - 90%'!C29</f>
        <v>988034.62670604733</v>
      </c>
    </row>
    <row r="3" spans="1:32" x14ac:dyDescent="0.25">
      <c r="A3" t="s">
        <v>7</v>
      </c>
      <c r="D3" s="1">
        <v>64294</v>
      </c>
      <c r="E3" s="1">
        <v>68410</v>
      </c>
      <c r="F3" s="1">
        <v>149340</v>
      </c>
      <c r="G3" s="1">
        <f>352547-F3-E3-D3</f>
        <v>70503</v>
      </c>
      <c r="H3" s="1">
        <v>74111</v>
      </c>
      <c r="I3" s="1">
        <v>90926</v>
      </c>
      <c r="J3" s="1">
        <v>86804</v>
      </c>
      <c r="K3" s="1">
        <f>339404-J3-I3-H3</f>
        <v>87563</v>
      </c>
      <c r="L3" s="1">
        <v>94403</v>
      </c>
    </row>
    <row r="4" spans="1:32" x14ac:dyDescent="0.25">
      <c r="A4" t="s">
        <v>8</v>
      </c>
      <c r="D4" s="2">
        <f>D2-D3</f>
        <v>165033</v>
      </c>
      <c r="E4" s="2">
        <f t="shared" ref="E4:M4" si="0">E2-E3</f>
        <v>183479</v>
      </c>
      <c r="F4" s="2">
        <f t="shared" si="0"/>
        <v>140026</v>
      </c>
      <c r="G4" s="2">
        <f t="shared" si="0"/>
        <v>251588</v>
      </c>
      <c r="H4" s="2">
        <f t="shared" si="0"/>
        <v>267123</v>
      </c>
      <c r="I4" s="2">
        <f t="shared" si="0"/>
        <v>284716</v>
      </c>
      <c r="J4" s="2">
        <f t="shared" si="0"/>
        <v>305342</v>
      </c>
      <c r="K4" s="2">
        <f t="shared" si="0"/>
        <v>345304</v>
      </c>
      <c r="L4" s="2">
        <f t="shared" si="0"/>
        <v>351954</v>
      </c>
      <c r="N4" s="2">
        <f>N2*Assumptions!$B$4</f>
        <v>384652.78294822387</v>
      </c>
      <c r="O4" s="2">
        <f>O2*Assumptions!$B$4</f>
        <v>398292.13268973253</v>
      </c>
      <c r="P4" s="2">
        <f>P2*Assumptions!$B$4</f>
        <v>428641.06874261872</v>
      </c>
      <c r="Q4" s="2">
        <f>Q2*Assumptions!$B$4</f>
        <v>442280.41848412744</v>
      </c>
      <c r="R4" s="2">
        <f>R2*Assumptions!$B$4</f>
        <v>472629.35453701357</v>
      </c>
      <c r="S4" s="2">
        <f>S2*Assumptions!$B$4</f>
        <v>486268.70427852235</v>
      </c>
      <c r="T4" s="2">
        <f>T2*Assumptions!$B$4</f>
        <v>516617.64033140836</v>
      </c>
      <c r="U4" s="2">
        <f>U2*Assumptions!$B$4</f>
        <v>530256.99007291708</v>
      </c>
      <c r="V4" s="2">
        <f>V2*Assumptions!$B$4</f>
        <v>560605.92612580315</v>
      </c>
      <c r="W4" s="2">
        <f>W2*Assumptions!$B$4</f>
        <v>574245.27586731198</v>
      </c>
      <c r="X4" s="2">
        <f>X2*Assumptions!$B$4</f>
        <v>604594.21192019805</v>
      </c>
      <c r="Y4" s="2">
        <f>Y2*Assumptions!$B$4</f>
        <v>618233.56166170689</v>
      </c>
      <c r="Z4" s="2">
        <f>Z2*Assumptions!$B$4</f>
        <v>648582.49771459296</v>
      </c>
      <c r="AA4" s="2">
        <f>AA2*Assumptions!$B$4</f>
        <v>662221.84745610168</v>
      </c>
      <c r="AB4" s="2">
        <f>AB2*Assumptions!$B$4</f>
        <v>692570.78350898775</v>
      </c>
      <c r="AC4" s="2">
        <f>AC2*Assumptions!$B$4</f>
        <v>706210.13325049647</v>
      </c>
      <c r="AD4" s="2">
        <f>AD2*Assumptions!$B$4</f>
        <v>736559.06930338265</v>
      </c>
      <c r="AE4" s="2">
        <f>AE2*Assumptions!$B$4</f>
        <v>750198.41904489137</v>
      </c>
      <c r="AF4" s="2">
        <f>AF2*Assumptions!$B$4</f>
        <v>780547.35509777744</v>
      </c>
    </row>
    <row r="5" spans="1:32" x14ac:dyDescent="0.25">
      <c r="D5" s="1"/>
      <c r="E5" s="1"/>
      <c r="F5" s="1"/>
      <c r="G5" s="1"/>
      <c r="H5" s="1"/>
      <c r="I5" s="1"/>
      <c r="J5" s="1"/>
      <c r="K5" s="1"/>
      <c r="L5" s="1"/>
    </row>
    <row r="6" spans="1:32" x14ac:dyDescent="0.25">
      <c r="A6" t="s">
        <v>9</v>
      </c>
      <c r="D6" s="1"/>
      <c r="E6" s="1"/>
      <c r="F6" s="1"/>
      <c r="G6" s="1"/>
      <c r="H6" s="1"/>
      <c r="I6" s="1"/>
      <c r="J6" s="1"/>
      <c r="K6" s="1"/>
      <c r="L6" s="1"/>
    </row>
    <row r="7" spans="1:32" x14ac:dyDescent="0.25">
      <c r="A7" s="5" t="s">
        <v>10</v>
      </c>
      <c r="D7" s="1">
        <v>98653</v>
      </c>
      <c r="E7" s="1">
        <v>102518</v>
      </c>
      <c r="F7" s="1">
        <v>334911</v>
      </c>
      <c r="G7" s="1">
        <f>683701-F7-E7-D7</f>
        <v>147619</v>
      </c>
      <c r="H7" s="1">
        <v>136097</v>
      </c>
      <c r="I7" s="1">
        <v>162379</v>
      </c>
      <c r="J7" s="1">
        <v>153443</v>
      </c>
      <c r="K7" s="1">
        <f>614512-J7-I7-H7</f>
        <v>162593</v>
      </c>
      <c r="L7" s="1">
        <v>160485</v>
      </c>
      <c r="N7" s="13">
        <f>L7*Assumptions!$B$7</f>
        <v>4814.55</v>
      </c>
      <c r="O7" s="13">
        <f>N7*(1+Assumptions!$B$7)</f>
        <v>4958.9865</v>
      </c>
      <c r="P7" s="13">
        <f>O7*(1+Assumptions!$B$7)</f>
        <v>5107.7560949999997</v>
      </c>
      <c r="Q7" s="13">
        <f>P7*(1+Assumptions!$B$7)</f>
        <v>5260.9887778499997</v>
      </c>
      <c r="R7" s="13">
        <f>Q7*(1+Assumptions!$B$7)</f>
        <v>5418.8184411855</v>
      </c>
      <c r="S7" s="13">
        <f>R7*(1+Assumptions!$B$7)</f>
        <v>5581.3829944210647</v>
      </c>
      <c r="T7" s="13">
        <f>S7*(1+Assumptions!$B$7)</f>
        <v>5748.8244842536969</v>
      </c>
      <c r="U7" s="13">
        <f>T7*(1+Assumptions!$B$7)</f>
        <v>5921.2892187813077</v>
      </c>
      <c r="V7" s="13">
        <f>U7*(1+Assumptions!$B$7)</f>
        <v>6098.9278953447474</v>
      </c>
      <c r="W7" s="13">
        <f>V7*(1+Assumptions!$B$7)</f>
        <v>6281.8957322050901</v>
      </c>
      <c r="X7" s="13">
        <f>W7*(1+Assumptions!$B$7)</f>
        <v>6470.352604171243</v>
      </c>
      <c r="Y7" s="13">
        <f>X7*(1+Assumptions!$B$7)</f>
        <v>6664.4631822963802</v>
      </c>
      <c r="Z7" s="13">
        <f>Y7*(1+Assumptions!$B$7)</f>
        <v>6864.3970777652721</v>
      </c>
      <c r="AA7" s="13">
        <f>Z7*(1+Assumptions!$B$7)</f>
        <v>7070.3289900982309</v>
      </c>
      <c r="AB7" s="13">
        <f>AA7*(1+Assumptions!$B$7)</f>
        <v>7282.4388598011783</v>
      </c>
      <c r="AC7" s="13">
        <f>AB7*(1+Assumptions!$B$7)</f>
        <v>7500.9120255952139</v>
      </c>
      <c r="AD7" s="13">
        <f>AC7*(1+Assumptions!$B$7)</f>
        <v>7725.9393863630703</v>
      </c>
      <c r="AE7" s="13">
        <f>AD7*(1+Assumptions!$B$7)</f>
        <v>7957.7175679539623</v>
      </c>
      <c r="AF7" s="13">
        <f>AE7*(1+Assumptions!$B$7)</f>
        <v>8196.4490949925821</v>
      </c>
    </row>
    <row r="8" spans="1:32" x14ac:dyDescent="0.25">
      <c r="A8" s="5" t="s">
        <v>11</v>
      </c>
      <c r="D8" s="1">
        <v>65800</v>
      </c>
      <c r="E8" s="1">
        <v>86815</v>
      </c>
      <c r="F8" s="1">
        <v>313915</v>
      </c>
      <c r="G8" s="1">
        <f>560660-F8-E8-D8</f>
        <v>94130</v>
      </c>
      <c r="H8" s="1">
        <v>98471</v>
      </c>
      <c r="I8" s="1">
        <v>110524</v>
      </c>
      <c r="J8" s="1">
        <v>94316</v>
      </c>
      <c r="K8" s="1">
        <f>387487-J8-I8-H8</f>
        <v>84176</v>
      </c>
      <c r="L8" s="1">
        <v>88601</v>
      </c>
      <c r="N8" s="13">
        <f>L8*(1+Assumptions!$B$8)</f>
        <v>90373.02</v>
      </c>
      <c r="O8" s="13">
        <f>N8*(1+Assumptions!$B$8)</f>
        <v>92180.4804</v>
      </c>
      <c r="P8" s="13">
        <f>O8*(1+Assumptions!$B$8)</f>
        <v>94024.090007999999</v>
      </c>
      <c r="Q8" s="13">
        <f>P8*(1+Assumptions!$B$8)</f>
        <v>95904.571808160006</v>
      </c>
      <c r="R8" s="13">
        <f>Q8*(1+Assumptions!$B$8)</f>
        <v>97822.663244323208</v>
      </c>
      <c r="S8" s="13">
        <f>R8*(1+Assumptions!$B$8)</f>
        <v>99779.116509209678</v>
      </c>
      <c r="T8" s="13">
        <f>S8*(1+Assumptions!$B$8)</f>
        <v>101774.69883939387</v>
      </c>
      <c r="U8" s="13">
        <f>T8*(1+Assumptions!$B$8)</f>
        <v>103810.19281618175</v>
      </c>
      <c r="V8" s="13">
        <f>U8*(1+Assumptions!$B$8)</f>
        <v>105886.39667250539</v>
      </c>
      <c r="W8" s="13">
        <f>V8*(1+Assumptions!$B$8)</f>
        <v>108004.1246059555</v>
      </c>
      <c r="X8" s="13">
        <f>W8*(1+Assumptions!$B$8)</f>
        <v>110164.20709807461</v>
      </c>
      <c r="Y8" s="13">
        <f>X8*(1+Assumptions!$B$8)</f>
        <v>112367.49124003611</v>
      </c>
      <c r="Z8" s="13">
        <f>Y8*(1+Assumptions!$B$8)</f>
        <v>114614.84106483683</v>
      </c>
      <c r="AA8" s="13">
        <f>Z8*(1+Assumptions!$B$8)</f>
        <v>116907.13788613357</v>
      </c>
      <c r="AB8" s="13">
        <f>AA8*(1+Assumptions!$B$8)</f>
        <v>119245.28064385624</v>
      </c>
      <c r="AC8" s="13">
        <f>AB8*(1+Assumptions!$B$8)</f>
        <v>121630.18625673337</v>
      </c>
      <c r="AD8" s="13">
        <f>AC8*(1+Assumptions!$B$8)</f>
        <v>124062.78998186805</v>
      </c>
      <c r="AE8" s="13">
        <f>AD8*(1+Assumptions!$B$8)</f>
        <v>126544.04578150541</v>
      </c>
      <c r="AF8" s="13">
        <f>AE8*(1+Assumptions!$B$8)</f>
        <v>129074.92669713552</v>
      </c>
    </row>
    <row r="9" spans="1:32" x14ac:dyDescent="0.25">
      <c r="A9" s="5" t="s">
        <v>12</v>
      </c>
      <c r="D9" s="1">
        <v>70765</v>
      </c>
      <c r="E9" s="1">
        <v>93291</v>
      </c>
      <c r="F9" s="1">
        <v>338977</v>
      </c>
      <c r="G9" s="1">
        <f>669444-F9-E9-D9</f>
        <v>166411</v>
      </c>
      <c r="H9" s="1">
        <v>146569</v>
      </c>
      <c r="I9" s="1">
        <v>157961</v>
      </c>
      <c r="J9" s="1">
        <v>149524</v>
      </c>
      <c r="K9" s="1">
        <f>611532-J9-I9-H9</f>
        <v>157478</v>
      </c>
      <c r="L9" s="1">
        <v>142307</v>
      </c>
      <c r="N9" s="13">
        <f>L9*(1+Assumptions!$B$9)</f>
        <v>146576.21</v>
      </c>
      <c r="O9" s="13">
        <f>N9*(1+Assumptions!$B$9)</f>
        <v>150973.4963</v>
      </c>
      <c r="P9" s="13">
        <f>O9*(1+Assumptions!$B$9)</f>
        <v>155502.70118900001</v>
      </c>
      <c r="Q9" s="13">
        <f>P9*(1+Assumptions!$B$9)</f>
        <v>160167.78222467002</v>
      </c>
      <c r="R9" s="13">
        <f>Q9*(1+Assumptions!$B$9)</f>
        <v>164972.81569141013</v>
      </c>
      <c r="S9" s="13">
        <f>R9*(1+Assumptions!$B$9)</f>
        <v>169922.00016215243</v>
      </c>
      <c r="T9" s="13">
        <f>S9*(1+Assumptions!$B$9)</f>
        <v>175019.66016701699</v>
      </c>
      <c r="U9" s="13">
        <f>T9*(1+Assumptions!$B$9)</f>
        <v>180270.24997202749</v>
      </c>
      <c r="V9" s="13">
        <f>U9*(1+Assumptions!$B$9)</f>
        <v>185678.35747118833</v>
      </c>
      <c r="W9" s="13">
        <f>V9*(1+Assumptions!$B$9)</f>
        <v>191248.70819532397</v>
      </c>
      <c r="X9" s="13">
        <f>W9*(1+Assumptions!$B$9)</f>
        <v>196986.16944118368</v>
      </c>
      <c r="Y9" s="13">
        <f>X9*(1+Assumptions!$B$9)</f>
        <v>202895.7545244192</v>
      </c>
      <c r="Z9" s="13">
        <f>Y9*(1+Assumptions!$B$9)</f>
        <v>208982.62716015178</v>
      </c>
      <c r="AA9" s="13">
        <f>Z9*(1+Assumptions!$B$9)</f>
        <v>215252.10597495633</v>
      </c>
      <c r="AB9" s="13">
        <f>AA9*(1+Assumptions!$B$9)</f>
        <v>221709.66915420501</v>
      </c>
      <c r="AC9" s="13">
        <f>AB9*(1+Assumptions!$B$9)</f>
        <v>228360.95922883117</v>
      </c>
      <c r="AD9" s="13">
        <f>AC9*(1+Assumptions!$B$9)</f>
        <v>235211.78800569611</v>
      </c>
      <c r="AE9" s="13">
        <f>AD9*(1+Assumptions!$B$9)</f>
        <v>242268.141645867</v>
      </c>
      <c r="AF9" s="13">
        <f>AE9*(1+Assumptions!$B$9)</f>
        <v>249536.18589524302</v>
      </c>
    </row>
    <row r="10" spans="1:32" x14ac:dyDescent="0.25">
      <c r="A10" s="6" t="s">
        <v>53</v>
      </c>
      <c r="D10" s="2">
        <f>SUM(D7:D9)</f>
        <v>235218</v>
      </c>
      <c r="E10" s="2">
        <f t="shared" ref="E10:L10" si="1">SUM(E7:E9)</f>
        <v>282624</v>
      </c>
      <c r="F10" s="2">
        <f t="shared" si="1"/>
        <v>987803</v>
      </c>
      <c r="G10" s="2">
        <f t="shared" si="1"/>
        <v>408160</v>
      </c>
      <c r="H10" s="2">
        <f t="shared" si="1"/>
        <v>381137</v>
      </c>
      <c r="I10" s="2">
        <f t="shared" si="1"/>
        <v>430864</v>
      </c>
      <c r="J10" s="2">
        <f t="shared" si="1"/>
        <v>397283</v>
      </c>
      <c r="K10" s="2">
        <f t="shared" si="1"/>
        <v>404247</v>
      </c>
      <c r="L10" s="2">
        <f t="shared" si="1"/>
        <v>391393</v>
      </c>
      <c r="N10" s="15">
        <f>SUM(N7:N9)</f>
        <v>241763.78</v>
      </c>
      <c r="O10" s="15">
        <f t="shared" ref="O10:AB10" si="2">SUM(O7:O9)</f>
        <v>248112.9632</v>
      </c>
      <c r="P10" s="15">
        <f t="shared" si="2"/>
        <v>254634.54729200003</v>
      </c>
      <c r="Q10" s="15">
        <f t="shared" si="2"/>
        <v>261333.34281068004</v>
      </c>
      <c r="R10" s="15">
        <f t="shared" si="2"/>
        <v>268214.29737691884</v>
      </c>
      <c r="S10" s="15">
        <f t="shared" si="2"/>
        <v>275282.49966578314</v>
      </c>
      <c r="T10" s="15">
        <f t="shared" si="2"/>
        <v>282543.18349066458</v>
      </c>
      <c r="U10" s="15">
        <f t="shared" si="2"/>
        <v>290001.73200699058</v>
      </c>
      <c r="V10" s="15">
        <f t="shared" si="2"/>
        <v>297663.68203903845</v>
      </c>
      <c r="W10" s="15">
        <f t="shared" si="2"/>
        <v>305534.72853348457</v>
      </c>
      <c r="X10" s="15">
        <f t="shared" si="2"/>
        <v>313620.72914342955</v>
      </c>
      <c r="Y10" s="15">
        <f t="shared" si="2"/>
        <v>321927.70894675166</v>
      </c>
      <c r="Z10" s="15">
        <f t="shared" si="2"/>
        <v>330461.86530275387</v>
      </c>
      <c r="AA10" s="15">
        <f t="shared" si="2"/>
        <v>339229.57285118813</v>
      </c>
      <c r="AB10" s="15">
        <f t="shared" si="2"/>
        <v>348237.38865786244</v>
      </c>
      <c r="AC10" s="15">
        <f t="shared" ref="AC10" si="3">SUM(AC7:AC9)</f>
        <v>357492.05751115974</v>
      </c>
      <c r="AD10" s="15">
        <f t="shared" ref="AD10" si="4">SUM(AD7:AD9)</f>
        <v>367000.51737392723</v>
      </c>
      <c r="AE10" s="15">
        <f t="shared" ref="AE10" si="5">SUM(AE7:AE9)</f>
        <v>376769.90499532636</v>
      </c>
      <c r="AF10" s="15">
        <f t="shared" ref="AF10" si="6">SUM(AF7:AF9)</f>
        <v>386807.56168737111</v>
      </c>
    </row>
    <row r="11" spans="1:32" x14ac:dyDescent="0.25">
      <c r="D11" s="1"/>
      <c r="E11" s="1"/>
      <c r="F11" s="1"/>
      <c r="G11" s="1"/>
      <c r="H11" s="1"/>
      <c r="I11" s="1"/>
      <c r="J11" s="1"/>
      <c r="K11" s="1"/>
      <c r="L11" s="1"/>
    </row>
    <row r="12" spans="1:32" x14ac:dyDescent="0.25">
      <c r="A12" t="s">
        <v>13</v>
      </c>
      <c r="D12" s="2">
        <f>D4-D10</f>
        <v>-70185</v>
      </c>
      <c r="E12" s="2">
        <f t="shared" ref="E12:AF12" si="7">E4-E10</f>
        <v>-99145</v>
      </c>
      <c r="F12" s="2">
        <f t="shared" si="7"/>
        <v>-847777</v>
      </c>
      <c r="G12" s="2">
        <f t="shared" si="7"/>
        <v>-156572</v>
      </c>
      <c r="H12" s="2">
        <f t="shared" si="7"/>
        <v>-114014</v>
      </c>
      <c r="I12" s="2">
        <f t="shared" si="7"/>
        <v>-146148</v>
      </c>
      <c r="J12" s="2">
        <f t="shared" si="7"/>
        <v>-91941</v>
      </c>
      <c r="K12" s="2">
        <f t="shared" si="7"/>
        <v>-58943</v>
      </c>
      <c r="L12" s="2">
        <f t="shared" si="7"/>
        <v>-39439</v>
      </c>
      <c r="N12" s="2">
        <f t="shared" si="7"/>
        <v>142889.00294822388</v>
      </c>
      <c r="O12" s="2">
        <f t="shared" si="7"/>
        <v>150179.16948973254</v>
      </c>
      <c r="P12" s="2">
        <f t="shared" si="7"/>
        <v>174006.52145061869</v>
      </c>
      <c r="Q12" s="2">
        <f t="shared" si="7"/>
        <v>180947.0756734474</v>
      </c>
      <c r="R12" s="2">
        <f t="shared" si="7"/>
        <v>204415.05716009473</v>
      </c>
      <c r="S12" s="2">
        <f t="shared" si="7"/>
        <v>210986.20461273921</v>
      </c>
      <c r="T12" s="2">
        <f t="shared" si="7"/>
        <v>234074.45684074378</v>
      </c>
      <c r="U12" s="2">
        <f t="shared" si="7"/>
        <v>240255.25806592649</v>
      </c>
      <c r="V12" s="2">
        <f t="shared" si="7"/>
        <v>262942.24408676469</v>
      </c>
      <c r="W12" s="2">
        <f t="shared" si="7"/>
        <v>268710.54733382742</v>
      </c>
      <c r="X12" s="2">
        <f t="shared" si="7"/>
        <v>290973.48277676851</v>
      </c>
      <c r="Y12" s="2">
        <f t="shared" si="7"/>
        <v>296305.85271495522</v>
      </c>
      <c r="Z12" s="2">
        <f t="shared" si="7"/>
        <v>318120.63241183909</v>
      </c>
      <c r="AA12" s="2">
        <f t="shared" si="7"/>
        <v>322992.27460491355</v>
      </c>
      <c r="AB12" s="2">
        <f t="shared" si="7"/>
        <v>344333.39485112531</v>
      </c>
      <c r="AC12" s="2">
        <f t="shared" si="7"/>
        <v>348718.07573933672</v>
      </c>
      <c r="AD12" s="2">
        <f t="shared" si="7"/>
        <v>369558.55192945543</v>
      </c>
      <c r="AE12" s="2">
        <f t="shared" si="7"/>
        <v>373428.51404956501</v>
      </c>
      <c r="AF12" s="2">
        <f t="shared" si="7"/>
        <v>393739.79341040633</v>
      </c>
    </row>
    <row r="13" spans="1:32" x14ac:dyDescent="0.25">
      <c r="D13" s="1"/>
      <c r="E13" s="1"/>
      <c r="F13" s="1"/>
      <c r="G13" s="1"/>
      <c r="H13" s="1"/>
      <c r="I13" s="1"/>
      <c r="J13" s="1"/>
      <c r="K13" s="1"/>
      <c r="L13" s="1"/>
    </row>
    <row r="14" spans="1:32" x14ac:dyDescent="0.25">
      <c r="A14" s="5" t="s">
        <v>14</v>
      </c>
      <c r="D14" s="1">
        <v>3267</v>
      </c>
      <c r="E14" s="1">
        <v>551</v>
      </c>
      <c r="F14" s="1">
        <v>494</v>
      </c>
      <c r="G14" s="1">
        <f>4680-F14-E14-D14</f>
        <v>368</v>
      </c>
      <c r="H14" s="1">
        <v>376</v>
      </c>
      <c r="I14" s="1">
        <v>372</v>
      </c>
      <c r="J14" s="1">
        <v>379</v>
      </c>
      <c r="K14" s="1">
        <f>1607-J14-I14-H14</f>
        <v>480</v>
      </c>
      <c r="L14" s="1">
        <v>547</v>
      </c>
      <c r="N14" s="13"/>
    </row>
    <row r="15" spans="1:32" x14ac:dyDescent="0.25">
      <c r="A15" s="5" t="s">
        <v>15</v>
      </c>
      <c r="D15" s="1">
        <v>-4594</v>
      </c>
      <c r="E15" s="1">
        <v>-5646</v>
      </c>
      <c r="F15" s="1">
        <v>-2085</v>
      </c>
      <c r="G15" s="1">
        <f>-14139-F15-E15-D15</f>
        <v>-1814</v>
      </c>
      <c r="H15" s="1">
        <v>-1840</v>
      </c>
      <c r="I15" s="1">
        <v>-590</v>
      </c>
      <c r="J15" s="1">
        <v>-609</v>
      </c>
      <c r="K15" s="1">
        <f>-3640-J15-I15-H15</f>
        <v>-601</v>
      </c>
      <c r="L15" s="1">
        <v>-594</v>
      </c>
      <c r="R15" s="14"/>
    </row>
    <row r="16" spans="1:32" x14ac:dyDescent="0.25">
      <c r="A16" s="5" t="s">
        <v>50</v>
      </c>
      <c r="D16" s="1">
        <v>13695</v>
      </c>
      <c r="E16" s="1">
        <v>-3683</v>
      </c>
      <c r="F16" s="1">
        <v>-9201</v>
      </c>
      <c r="G16" s="1">
        <f>4111-F16-E16-D16</f>
        <v>3300</v>
      </c>
      <c r="H16" s="1"/>
      <c r="I16" s="1">
        <v>0</v>
      </c>
      <c r="J16" s="1"/>
      <c r="K16" s="1"/>
      <c r="L16" s="1"/>
    </row>
    <row r="17" spans="1:32" x14ac:dyDescent="0.25">
      <c r="A17" s="5" t="s">
        <v>16</v>
      </c>
      <c r="D17" s="1">
        <v>6100</v>
      </c>
      <c r="E17" s="1">
        <v>-1589</v>
      </c>
      <c r="F17" s="1">
        <v>-3293</v>
      </c>
      <c r="G17" s="1"/>
      <c r="H17" s="1">
        <v>-4894</v>
      </c>
      <c r="I17" s="1">
        <v>2125</v>
      </c>
      <c r="J17" s="1">
        <v>-8528</v>
      </c>
      <c r="K17" s="1">
        <f>-75415-J17-I17-H17</f>
        <v>-64118</v>
      </c>
      <c r="L17" s="1">
        <v>-59870</v>
      </c>
    </row>
    <row r="18" spans="1:32" x14ac:dyDescent="0.25">
      <c r="A18" t="s">
        <v>17</v>
      </c>
      <c r="D18" s="2">
        <f>SUM(D12:D17)</f>
        <v>-51717</v>
      </c>
      <c r="E18" s="2">
        <f t="shared" ref="E18:N18" si="8">SUM(E12:E17)</f>
        <v>-109512</v>
      </c>
      <c r="F18" s="2">
        <f t="shared" si="8"/>
        <v>-861862</v>
      </c>
      <c r="G18" s="2">
        <f t="shared" si="8"/>
        <v>-154718</v>
      </c>
      <c r="H18" s="2">
        <f t="shared" si="8"/>
        <v>-120372</v>
      </c>
      <c r="I18" s="2">
        <f t="shared" si="8"/>
        <v>-144241</v>
      </c>
      <c r="J18" s="2">
        <f t="shared" si="8"/>
        <v>-100699</v>
      </c>
      <c r="K18" s="2">
        <f t="shared" si="8"/>
        <v>-123182</v>
      </c>
      <c r="L18" s="2">
        <f t="shared" si="8"/>
        <v>-99356</v>
      </c>
      <c r="N18" s="2">
        <f t="shared" si="8"/>
        <v>142889.00294822388</v>
      </c>
      <c r="O18" s="2">
        <f t="shared" ref="O18" si="9">SUM(O12:O17)</f>
        <v>150179.16948973254</v>
      </c>
      <c r="P18" s="2">
        <f t="shared" ref="P18" si="10">SUM(P12:P17)</f>
        <v>174006.52145061869</v>
      </c>
      <c r="Q18" s="2">
        <f t="shared" ref="Q18" si="11">SUM(Q12:Q17)</f>
        <v>180947.0756734474</v>
      </c>
      <c r="R18" s="2">
        <f t="shared" ref="R18" si="12">SUM(R12:R17)</f>
        <v>204415.05716009473</v>
      </c>
      <c r="S18" s="2">
        <f t="shared" ref="S18" si="13">SUM(S12:S17)</f>
        <v>210986.20461273921</v>
      </c>
      <c r="T18" s="2">
        <f t="shared" ref="T18" si="14">SUM(T12:T17)</f>
        <v>234074.45684074378</v>
      </c>
      <c r="U18" s="2">
        <f t="shared" ref="U18" si="15">SUM(U12:U17)</f>
        <v>240255.25806592649</v>
      </c>
      <c r="V18" s="2">
        <f t="shared" ref="V18" si="16">SUM(V12:V17)</f>
        <v>262942.24408676469</v>
      </c>
      <c r="W18" s="2">
        <f t="shared" ref="W18" si="17">SUM(W12:W17)</f>
        <v>268710.54733382742</v>
      </c>
      <c r="X18" s="2">
        <f t="shared" ref="X18" si="18">SUM(X12:X17)</f>
        <v>290973.48277676851</v>
      </c>
      <c r="Y18" s="2">
        <f t="shared" ref="Y18" si="19">SUM(Y12:Y17)</f>
        <v>296305.85271495522</v>
      </c>
      <c r="Z18" s="2">
        <f t="shared" ref="Z18" si="20">SUM(Z12:Z17)</f>
        <v>318120.63241183909</v>
      </c>
      <c r="AA18" s="2">
        <f t="shared" ref="AA18" si="21">SUM(AA12:AA17)</f>
        <v>322992.27460491355</v>
      </c>
      <c r="AB18" s="2">
        <f t="shared" ref="AB18" si="22">SUM(AB12:AB17)</f>
        <v>344333.39485112531</v>
      </c>
      <c r="AC18" s="2">
        <f t="shared" ref="AC18" si="23">SUM(AC12:AC17)</f>
        <v>348718.07573933672</v>
      </c>
      <c r="AD18" s="2">
        <f t="shared" ref="AD18" si="24">SUM(AD12:AD17)</f>
        <v>369558.55192945543</v>
      </c>
      <c r="AE18" s="2">
        <f t="shared" ref="AE18" si="25">SUM(AE12:AE17)</f>
        <v>373428.51404956501</v>
      </c>
      <c r="AF18" s="2">
        <f t="shared" ref="AF18" si="26">SUM(AF12:AF17)</f>
        <v>393739.79341040633</v>
      </c>
    </row>
    <row r="19" spans="1:32" x14ac:dyDescent="0.25">
      <c r="D19" s="1"/>
      <c r="E19" s="1"/>
      <c r="F19" s="1"/>
      <c r="G19" s="1"/>
      <c r="H19" s="1"/>
      <c r="I19" s="1"/>
      <c r="J19" s="1"/>
      <c r="K19" s="1"/>
      <c r="L19" s="1"/>
    </row>
    <row r="20" spans="1:32" x14ac:dyDescent="0.25">
      <c r="A20" t="s">
        <v>18</v>
      </c>
      <c r="D20" s="1">
        <v>2557</v>
      </c>
      <c r="E20" s="1">
        <v>943</v>
      </c>
      <c r="F20" s="1">
        <v>-8543</v>
      </c>
      <c r="G20" s="1">
        <f>-12636-F20-E20-D20</f>
        <v>-7593</v>
      </c>
      <c r="H20" s="1">
        <v>3102</v>
      </c>
      <c r="I20" s="1">
        <v>-5661</v>
      </c>
      <c r="J20" s="1">
        <v>1438</v>
      </c>
      <c r="K20" s="1">
        <f>31885-J20-I20-H20</f>
        <v>33006</v>
      </c>
      <c r="L20" s="1">
        <v>2023</v>
      </c>
      <c r="N20" s="1">
        <f>N18*Assumptions!$B$3</f>
        <v>30006.690619127014</v>
      </c>
      <c r="O20" s="1">
        <f>O18*Assumptions!$B$3</f>
        <v>31537.625592843833</v>
      </c>
      <c r="P20" s="1">
        <f>P18*Assumptions!$B$3</f>
        <v>36541.369504629925</v>
      </c>
      <c r="Q20" s="1">
        <f>Q18*Assumptions!$B$3</f>
        <v>37998.885891423954</v>
      </c>
      <c r="R20" s="1">
        <f>R18*Assumptions!$B$3</f>
        <v>42927.162003619895</v>
      </c>
      <c r="S20" s="1">
        <f>S18*Assumptions!$B$3</f>
        <v>44307.10296867523</v>
      </c>
      <c r="T20" s="1">
        <f>T18*Assumptions!$B$3</f>
        <v>49155.635936556195</v>
      </c>
      <c r="U20" s="1">
        <f>U18*Assumptions!$B$3</f>
        <v>50453.604193844563</v>
      </c>
      <c r="V20" s="1">
        <f>V18*Assumptions!$B$3</f>
        <v>55217.871258220584</v>
      </c>
      <c r="W20" s="1">
        <f>W18*Assumptions!$B$3</f>
        <v>56429.214940103753</v>
      </c>
      <c r="X20" s="1">
        <f>X18*Assumptions!$B$3</f>
        <v>61104.43138312138</v>
      </c>
      <c r="Y20" s="1">
        <f>Y18*Assumptions!$B$3</f>
        <v>62224.229070140595</v>
      </c>
      <c r="Z20" s="1">
        <f>Z18*Assumptions!$B$3</f>
        <v>66805.3328064862</v>
      </c>
      <c r="AA20" s="1">
        <f>AA18*Assumptions!$B$3</f>
        <v>67828.377667031848</v>
      </c>
      <c r="AB20" s="1">
        <f>AB18*Assumptions!$B$3</f>
        <v>72310.012918736305</v>
      </c>
      <c r="AC20" s="1">
        <f>AC18*Assumptions!$B$3</f>
        <v>73230.795905260704</v>
      </c>
      <c r="AD20" s="1">
        <f>AD18*Assumptions!$B$3</f>
        <v>77607.295905185631</v>
      </c>
      <c r="AE20" s="1">
        <f>AE18*Assumptions!$B$3</f>
        <v>78419.987950408657</v>
      </c>
      <c r="AF20" s="1">
        <f>AF18*Assumptions!$B$3</f>
        <v>82685.356616185323</v>
      </c>
    </row>
    <row r="21" spans="1:32" x14ac:dyDescent="0.25">
      <c r="A21" t="s">
        <v>19</v>
      </c>
      <c r="D21" s="2">
        <f>D18-D20</f>
        <v>-54274</v>
      </c>
      <c r="E21" s="2">
        <f t="shared" ref="E21:N21" si="27">E18-E20</f>
        <v>-110455</v>
      </c>
      <c r="F21" s="2">
        <f t="shared" si="27"/>
        <v>-853319</v>
      </c>
      <c r="G21" s="2">
        <f t="shared" si="27"/>
        <v>-147125</v>
      </c>
      <c r="H21" s="2">
        <f t="shared" si="27"/>
        <v>-123474</v>
      </c>
      <c r="I21" s="2">
        <f t="shared" si="27"/>
        <v>-138580</v>
      </c>
      <c r="J21" s="2">
        <f t="shared" si="27"/>
        <v>-102137</v>
      </c>
      <c r="K21" s="2">
        <f t="shared" si="27"/>
        <v>-156188</v>
      </c>
      <c r="L21" s="2">
        <f t="shared" si="27"/>
        <v>-101379</v>
      </c>
      <c r="N21" s="2">
        <f t="shared" si="27"/>
        <v>112882.31232909687</v>
      </c>
      <c r="O21" s="2">
        <f t="shared" ref="O21" si="28">O18-O20</f>
        <v>118641.5438968887</v>
      </c>
      <c r="P21" s="2">
        <f t="shared" ref="P21" si="29">P18-P20</f>
        <v>137465.15194598876</v>
      </c>
      <c r="Q21" s="2">
        <f t="shared" ref="Q21" si="30">Q18-Q20</f>
        <v>142948.18978202343</v>
      </c>
      <c r="R21" s="2">
        <f t="shared" ref="R21" si="31">R18-R20</f>
        <v>161487.89515647484</v>
      </c>
      <c r="S21" s="2">
        <f t="shared" ref="S21" si="32">S18-S20</f>
        <v>166679.10164406398</v>
      </c>
      <c r="T21" s="2">
        <f t="shared" ref="T21" si="33">T18-T20</f>
        <v>184918.82090418757</v>
      </c>
      <c r="U21" s="2">
        <f t="shared" ref="U21" si="34">U18-U20</f>
        <v>189801.65387208192</v>
      </c>
      <c r="V21" s="2">
        <f t="shared" ref="V21" si="35">V18-V20</f>
        <v>207724.37282854412</v>
      </c>
      <c r="W21" s="2">
        <f t="shared" ref="W21" si="36">W18-W20</f>
        <v>212281.33239372366</v>
      </c>
      <c r="X21" s="2">
        <f t="shared" ref="X21" si="37">X18-X20</f>
        <v>229869.05139364713</v>
      </c>
      <c r="Y21" s="2">
        <f t="shared" ref="Y21" si="38">Y18-Y20</f>
        <v>234081.62364481462</v>
      </c>
      <c r="Z21" s="2">
        <f t="shared" ref="Z21" si="39">Z18-Z20</f>
        <v>251315.29960535289</v>
      </c>
      <c r="AA21" s="2">
        <f t="shared" ref="AA21" si="40">AA18-AA20</f>
        <v>255163.89693788171</v>
      </c>
      <c r="AB21" s="2">
        <f t="shared" ref="AB21" si="41">AB18-AB20</f>
        <v>272023.38193238899</v>
      </c>
      <c r="AC21" s="2">
        <f t="shared" ref="AC21" si="42">AC18-AC20</f>
        <v>275487.27983407601</v>
      </c>
      <c r="AD21" s="2">
        <f t="shared" ref="AD21" si="43">AD18-AD20</f>
        <v>291951.25602426979</v>
      </c>
      <c r="AE21" s="2">
        <f t="shared" ref="AE21" si="44">AE18-AE20</f>
        <v>295008.52609915636</v>
      </c>
      <c r="AF21" s="2">
        <f t="shared" ref="AF21" si="45">AF18-AF20</f>
        <v>311054.43679422099</v>
      </c>
    </row>
    <row r="22" spans="1:32" x14ac:dyDescent="0.25">
      <c r="D22" s="1"/>
      <c r="E22" s="1"/>
      <c r="F22" s="1"/>
      <c r="G22" s="1"/>
      <c r="H22" s="1"/>
      <c r="I22" s="1"/>
      <c r="J22" s="1"/>
      <c r="K22" s="1"/>
      <c r="L22" s="1"/>
    </row>
    <row r="23" spans="1:32" x14ac:dyDescent="0.25">
      <c r="A23" s="6" t="s">
        <v>20</v>
      </c>
      <c r="D23" s="1">
        <v>1026</v>
      </c>
      <c r="E23" s="1">
        <v>577</v>
      </c>
      <c r="F23" s="1">
        <v>268</v>
      </c>
      <c r="G23" s="1">
        <f>-2042-F23-E23-D23</f>
        <v>-3913</v>
      </c>
      <c r="H23" s="1">
        <v>3610</v>
      </c>
      <c r="I23" s="1">
        <v>-800</v>
      </c>
      <c r="J23" s="1">
        <v>-1760</v>
      </c>
      <c r="K23" s="1">
        <f>396-J23-I23-H23</f>
        <v>-654</v>
      </c>
      <c r="L23" s="1">
        <v>-1695</v>
      </c>
    </row>
    <row r="24" spans="1:32" ht="15.75" thickBot="1" x14ac:dyDescent="0.3">
      <c r="A24" t="s">
        <v>21</v>
      </c>
      <c r="D24" s="4">
        <f>D21+D23</f>
        <v>-53248</v>
      </c>
      <c r="E24" s="4">
        <f t="shared" ref="E24:N24" si="46">E21+E23</f>
        <v>-109878</v>
      </c>
      <c r="F24" s="4">
        <f t="shared" si="46"/>
        <v>-853051</v>
      </c>
      <c r="G24" s="4">
        <f t="shared" si="46"/>
        <v>-151038</v>
      </c>
      <c r="H24" s="4">
        <f t="shared" si="46"/>
        <v>-119864</v>
      </c>
      <c r="I24" s="4">
        <f t="shared" si="46"/>
        <v>-139380</v>
      </c>
      <c r="J24" s="4">
        <f t="shared" si="46"/>
        <v>-103897</v>
      </c>
      <c r="K24" s="4">
        <f t="shared" si="46"/>
        <v>-156842</v>
      </c>
      <c r="L24" s="4">
        <f t="shared" si="46"/>
        <v>-103074</v>
      </c>
      <c r="N24" s="4">
        <f t="shared" si="46"/>
        <v>112882.31232909687</v>
      </c>
      <c r="O24" s="4">
        <f t="shared" ref="O24" si="47">O21+O23</f>
        <v>118641.5438968887</v>
      </c>
      <c r="P24" s="4">
        <f t="shared" ref="P24" si="48">P21+P23</f>
        <v>137465.15194598876</v>
      </c>
      <c r="Q24" s="4">
        <f t="shared" ref="Q24" si="49">Q21+Q23</f>
        <v>142948.18978202343</v>
      </c>
      <c r="R24" s="4">
        <f t="shared" ref="R24" si="50">R21+R23</f>
        <v>161487.89515647484</v>
      </c>
      <c r="S24" s="4">
        <f t="shared" ref="S24" si="51">S21+S23</f>
        <v>166679.10164406398</v>
      </c>
      <c r="T24" s="4">
        <f t="shared" ref="T24" si="52">T21+T23</f>
        <v>184918.82090418757</v>
      </c>
      <c r="U24" s="4">
        <f t="shared" ref="U24" si="53">U21+U23</f>
        <v>189801.65387208192</v>
      </c>
      <c r="V24" s="4">
        <f t="shared" ref="V24" si="54">V21+V23</f>
        <v>207724.37282854412</v>
      </c>
      <c r="W24" s="4">
        <f t="shared" ref="W24" si="55">W21+W23</f>
        <v>212281.33239372366</v>
      </c>
      <c r="X24" s="4">
        <f t="shared" ref="X24" si="56">X21+X23</f>
        <v>229869.05139364713</v>
      </c>
      <c r="Y24" s="4">
        <f t="shared" ref="Y24" si="57">Y21+Y23</f>
        <v>234081.62364481462</v>
      </c>
      <c r="Z24" s="4">
        <f t="shared" ref="Z24" si="58">Z21+Z23</f>
        <v>251315.29960535289</v>
      </c>
      <c r="AA24" s="4">
        <f t="shared" ref="AA24" si="59">AA21+AA23</f>
        <v>255163.89693788171</v>
      </c>
      <c r="AB24" s="4">
        <f t="shared" ref="AB24" si="60">AB21+AB23</f>
        <v>272023.38193238899</v>
      </c>
      <c r="AC24" s="4">
        <f t="shared" ref="AC24" si="61">AC21+AC23</f>
        <v>275487.27983407601</v>
      </c>
      <c r="AD24" s="4">
        <f t="shared" ref="AD24" si="62">AD21+AD23</f>
        <v>291951.25602426979</v>
      </c>
      <c r="AE24" s="4">
        <f t="shared" ref="AE24" si="63">AE21+AE23</f>
        <v>295008.52609915636</v>
      </c>
      <c r="AF24" s="4">
        <f t="shared" ref="AF24" si="64">AF21+AF23</f>
        <v>311054.43679422099</v>
      </c>
    </row>
    <row r="25" spans="1:32" ht="15.75" thickTop="1" x14ac:dyDescent="0.25">
      <c r="D25" s="1"/>
      <c r="E25" s="1"/>
      <c r="F25" s="1"/>
      <c r="G25" s="1"/>
      <c r="H25" s="1"/>
      <c r="I25" s="1"/>
      <c r="J25" s="1"/>
      <c r="K25" s="1"/>
      <c r="L25" s="1"/>
    </row>
    <row r="27" spans="1:32" x14ac:dyDescent="0.25">
      <c r="A27" t="s">
        <v>59</v>
      </c>
      <c r="D27" s="11">
        <f>D4/D2</f>
        <v>0.71964051332812973</v>
      </c>
      <c r="E27" s="11">
        <f t="shared" ref="E27:AF27" si="65">E4/E2</f>
        <v>0.72841211803611905</v>
      </c>
      <c r="F27" s="11">
        <f t="shared" si="65"/>
        <v>0.48390619492269304</v>
      </c>
      <c r="G27" s="11">
        <f t="shared" si="65"/>
        <v>0.78110844450791861</v>
      </c>
      <c r="H27" s="11">
        <f t="shared" si="65"/>
        <v>0.78281472537906538</v>
      </c>
      <c r="I27" s="11">
        <f t="shared" si="65"/>
        <v>0.75794506471587308</v>
      </c>
      <c r="J27" s="11">
        <f t="shared" si="65"/>
        <v>0.77864366842961552</v>
      </c>
      <c r="K27" s="11">
        <f t="shared" si="65"/>
        <v>0.79771384744043783</v>
      </c>
      <c r="L27" s="11">
        <f t="shared" si="65"/>
        <v>0.78850337286073702</v>
      </c>
      <c r="N27" s="11">
        <f t="shared" si="65"/>
        <v>0.79</v>
      </c>
      <c r="O27" s="11">
        <f t="shared" si="65"/>
        <v>0.79</v>
      </c>
      <c r="P27" s="11">
        <f t="shared" si="65"/>
        <v>0.79</v>
      </c>
      <c r="Q27" s="11">
        <f t="shared" si="65"/>
        <v>0.79</v>
      </c>
      <c r="R27" s="11">
        <f t="shared" si="65"/>
        <v>0.79</v>
      </c>
      <c r="S27" s="11">
        <f t="shared" si="65"/>
        <v>0.79</v>
      </c>
      <c r="T27" s="11">
        <f t="shared" si="65"/>
        <v>0.79</v>
      </c>
      <c r="U27" s="11">
        <f t="shared" si="65"/>
        <v>0.78999999999999992</v>
      </c>
      <c r="V27" s="11">
        <f t="shared" si="65"/>
        <v>0.79</v>
      </c>
      <c r="W27" s="11">
        <f t="shared" si="65"/>
        <v>0.79</v>
      </c>
      <c r="X27" s="11">
        <f t="shared" si="65"/>
        <v>0.79</v>
      </c>
      <c r="Y27" s="11">
        <f t="shared" si="65"/>
        <v>0.79</v>
      </c>
      <c r="Z27" s="11">
        <f t="shared" si="65"/>
        <v>0.79</v>
      </c>
      <c r="AA27" s="11">
        <f t="shared" si="65"/>
        <v>0.79</v>
      </c>
      <c r="AB27" s="11">
        <f t="shared" si="65"/>
        <v>0.79</v>
      </c>
      <c r="AC27" s="11">
        <f t="shared" si="65"/>
        <v>0.79</v>
      </c>
      <c r="AD27" s="11">
        <f t="shared" si="65"/>
        <v>0.79</v>
      </c>
      <c r="AE27" s="11">
        <f t="shared" si="65"/>
        <v>0.79</v>
      </c>
      <c r="AF27" s="11">
        <f t="shared" si="65"/>
        <v>0.79</v>
      </c>
    </row>
    <row r="28" spans="1:32" x14ac:dyDescent="0.25">
      <c r="A28" t="s">
        <v>60</v>
      </c>
      <c r="D28" s="11">
        <f>D10/D4</f>
        <v>1.4252785806475068</v>
      </c>
      <c r="E28" s="11">
        <f t="shared" ref="E28:AF28" si="66">E10/E4</f>
        <v>1.5403615672638287</v>
      </c>
      <c r="F28" s="11">
        <f t="shared" si="66"/>
        <v>7.0544256066730462</v>
      </c>
      <c r="G28" s="11">
        <f t="shared" si="66"/>
        <v>1.6223349285339523</v>
      </c>
      <c r="H28" s="11">
        <f t="shared" si="66"/>
        <v>1.4268221006802111</v>
      </c>
      <c r="I28" s="11">
        <f t="shared" si="66"/>
        <v>1.5133115104173984</v>
      </c>
      <c r="J28" s="11">
        <f t="shared" si="66"/>
        <v>1.3011082654859141</v>
      </c>
      <c r="K28" s="11">
        <f t="shared" si="66"/>
        <v>1.1706988624516368</v>
      </c>
      <c r="L28" s="11">
        <f t="shared" si="66"/>
        <v>1.1120572574825118</v>
      </c>
      <c r="N28" s="11">
        <f t="shared" si="66"/>
        <v>0.62852471298132417</v>
      </c>
      <c r="O28" s="11">
        <f t="shared" si="66"/>
        <v>0.62294216439690187</v>
      </c>
      <c r="P28" s="11">
        <f t="shared" si="66"/>
        <v>0.59405074749124787</v>
      </c>
      <c r="Q28" s="11">
        <f t="shared" si="66"/>
        <v>0.59087703612647902</v>
      </c>
      <c r="R28" s="11">
        <f t="shared" si="66"/>
        <v>0.56749394594768843</v>
      </c>
      <c r="S28" s="11">
        <f t="shared" si="66"/>
        <v>0.56611189912832294</v>
      </c>
      <c r="T28" s="11">
        <f t="shared" si="66"/>
        <v>0.54690967058231721</v>
      </c>
      <c r="U28" s="11">
        <f t="shared" si="66"/>
        <v>0.54690789077030677</v>
      </c>
      <c r="V28" s="11">
        <f t="shared" si="66"/>
        <v>0.5309677764131252</v>
      </c>
      <c r="W28" s="11">
        <f t="shared" si="66"/>
        <v>0.53206311200735579</v>
      </c>
      <c r="X28" s="11">
        <f t="shared" si="66"/>
        <v>0.51872929472375628</v>
      </c>
      <c r="Y28" s="11">
        <f t="shared" si="66"/>
        <v>0.52072182571496861</v>
      </c>
      <c r="Z28" s="11">
        <f t="shared" si="66"/>
        <v>0.50951400395046242</v>
      </c>
      <c r="AA28" s="11">
        <f t="shared" si="66"/>
        <v>0.51225971198975806</v>
      </c>
      <c r="AB28" s="11">
        <f t="shared" si="66"/>
        <v>0.50281848000211404</v>
      </c>
      <c r="AC28" s="11">
        <f t="shared" si="66"/>
        <v>0.50621201917015746</v>
      </c>
      <c r="AD28" s="11">
        <f t="shared" si="66"/>
        <v>0.4982635238216892</v>
      </c>
      <c r="AE28" s="11">
        <f t="shared" si="66"/>
        <v>0.50222700479028959</v>
      </c>
      <c r="AF28" s="11">
        <f t="shared" si="66"/>
        <v>0.49555937786621107</v>
      </c>
    </row>
  </sheetData>
  <conditionalFormatting sqref="AD1:XFD1 A1:AB1 A2:XFD1048576">
    <cfRule type="expression" dxfId="0" priority="1">
      <formula>MOD(ROW(),2)=0</formula>
    </cfRule>
    <cfRule type="expression" priority="2">
      <formula>"MOD(ROW(),2)=0"</formula>
    </cfRule>
  </conditionalFormatting>
  <pageMargins left="0.7" right="0.7" top="0.75" bottom="0.75" header="0.3" footer="0.3"/>
  <pageSetup orientation="portrait" horizontalDpi="4294967292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37CC1-F6E6-40E3-9B0B-F02886E2287D}">
  <dimension ref="A3:B9"/>
  <sheetViews>
    <sheetView workbookViewId="0">
      <selection activeCell="B8" sqref="B8"/>
    </sheetView>
  </sheetViews>
  <sheetFormatPr defaultRowHeight="15" x14ac:dyDescent="0.25"/>
  <cols>
    <col min="1" max="1" width="25" customWidth="1"/>
  </cols>
  <sheetData>
    <row r="3" spans="1:2" x14ac:dyDescent="0.25">
      <c r="A3" t="s">
        <v>69</v>
      </c>
      <c r="B3" s="19">
        <v>0.21</v>
      </c>
    </row>
    <row r="4" spans="1:2" x14ac:dyDescent="0.25">
      <c r="A4" t="s">
        <v>81</v>
      </c>
      <c r="B4" s="19">
        <v>0.79</v>
      </c>
    </row>
    <row r="6" spans="1:2" x14ac:dyDescent="0.25">
      <c r="A6" t="s">
        <v>82</v>
      </c>
    </row>
    <row r="7" spans="1:2" x14ac:dyDescent="0.25">
      <c r="A7" t="s">
        <v>10</v>
      </c>
      <c r="B7" s="19">
        <v>0.03</v>
      </c>
    </row>
    <row r="8" spans="1:2" x14ac:dyDescent="0.25">
      <c r="A8" t="s">
        <v>11</v>
      </c>
      <c r="B8" s="19">
        <v>0.02</v>
      </c>
    </row>
    <row r="9" spans="1:2" x14ac:dyDescent="0.25">
      <c r="A9" t="s">
        <v>12</v>
      </c>
      <c r="B9" s="19">
        <v>0.03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5CDB0-DFA8-41A7-9AEB-4E72DF0F470D}">
  <dimension ref="A1:D8"/>
  <sheetViews>
    <sheetView workbookViewId="0">
      <selection activeCell="E19" sqref="E19"/>
    </sheetView>
  </sheetViews>
  <sheetFormatPr defaultRowHeight="15" x14ac:dyDescent="0.25"/>
  <cols>
    <col min="1" max="1" width="29" customWidth="1"/>
    <col min="2" max="2" width="10.140625" bestFit="1" customWidth="1"/>
  </cols>
  <sheetData>
    <row r="1" spans="1:4" x14ac:dyDescent="0.25">
      <c r="A1" t="s">
        <v>68</v>
      </c>
    </row>
    <row r="3" spans="1:4" x14ac:dyDescent="0.25">
      <c r="A3" t="s">
        <v>63</v>
      </c>
      <c r="B3" s="16">
        <v>2.6499999999999999E-2</v>
      </c>
      <c r="D3" t="s">
        <v>64</v>
      </c>
    </row>
    <row r="4" spans="1:4" x14ac:dyDescent="0.25">
      <c r="A4" t="s">
        <v>61</v>
      </c>
      <c r="B4" s="16">
        <v>5.6000000000000001E-2</v>
      </c>
      <c r="D4" s="17" t="s">
        <v>62</v>
      </c>
    </row>
    <row r="5" spans="1:4" x14ac:dyDescent="0.25">
      <c r="A5" t="s">
        <v>65</v>
      </c>
      <c r="B5">
        <v>1.81</v>
      </c>
      <c r="D5" s="17" t="s">
        <v>66</v>
      </c>
    </row>
    <row r="8" spans="1:4" x14ac:dyDescent="0.25">
      <c r="A8" s="7" t="s">
        <v>67</v>
      </c>
      <c r="B8" s="18">
        <f>B3+(B4*B5)</f>
        <v>0.12786</v>
      </c>
    </row>
  </sheetData>
  <hyperlinks>
    <hyperlink ref="D4" r:id="rId1" location=":~:text=The%20average%20market%20risk%20premium,and%205.7%20percent%20since%202011." display="https://www.statista.com/statistics/664840/average-market-risk-premium-usa/ - :~:text=The%20average%20market%20risk%20premium,and%205.7%20percent%20since%202011." xr:uid="{2F5DE542-84A0-4BA2-BD31-1B6525CA6BD6}"/>
    <hyperlink ref="D5" r:id="rId2" display="https://www.barrons.com/market-data/stocks/pltr" xr:uid="{E08C61F5-1346-44FD-8705-BA647E562B38}"/>
  </hyperlinks>
  <pageMargins left="0.7" right="0.7" top="0.75" bottom="0.75" header="0.3" footer="0.3"/>
  <pageSetup orientation="portrait" horizontalDpi="4294967292" verticalDpi="0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9B949-0EDC-4945-A384-3F2E6C48E389}">
  <dimension ref="A1:E29"/>
  <sheetViews>
    <sheetView topLeftCell="A4" workbookViewId="0">
      <selection activeCell="T18" sqref="T18"/>
    </sheetView>
  </sheetViews>
  <sheetFormatPr defaultRowHeight="15" x14ac:dyDescent="0.25"/>
  <cols>
    <col min="1" max="1" width="11" customWidth="1"/>
    <col min="2" max="2" width="9.28515625" bestFit="1" customWidth="1"/>
    <col min="3" max="3" width="10.5703125" customWidth="1"/>
    <col min="4" max="4" width="25.28515625" customWidth="1"/>
    <col min="5" max="5" width="25.42578125" customWidth="1"/>
  </cols>
  <sheetData>
    <row r="1" spans="1:5" x14ac:dyDescent="0.25">
      <c r="A1" t="s">
        <v>54</v>
      </c>
      <c r="B1" t="s">
        <v>55</v>
      </c>
      <c r="C1" t="s">
        <v>56</v>
      </c>
      <c r="D1" t="s">
        <v>57</v>
      </c>
      <c r="E1" t="s">
        <v>58</v>
      </c>
    </row>
    <row r="2" spans="1:5" x14ac:dyDescent="0.25">
      <c r="A2" s="9">
        <v>43921</v>
      </c>
      <c r="B2" s="10">
        <v>229327</v>
      </c>
    </row>
    <row r="3" spans="1:5" x14ac:dyDescent="0.25">
      <c r="A3" s="9">
        <v>44012</v>
      </c>
      <c r="B3" s="10">
        <v>251889</v>
      </c>
    </row>
    <row r="4" spans="1:5" x14ac:dyDescent="0.25">
      <c r="A4" s="9">
        <v>44104</v>
      </c>
      <c r="B4" s="10">
        <v>289366</v>
      </c>
    </row>
    <row r="5" spans="1:5" x14ac:dyDescent="0.25">
      <c r="A5" s="9">
        <v>44196</v>
      </c>
      <c r="B5" s="10">
        <v>322091</v>
      </c>
    </row>
    <row r="6" spans="1:5" x14ac:dyDescent="0.25">
      <c r="A6" s="9">
        <v>44286</v>
      </c>
      <c r="B6" s="10">
        <v>341234</v>
      </c>
    </row>
    <row r="7" spans="1:5" x14ac:dyDescent="0.25">
      <c r="A7" s="9">
        <v>44377</v>
      </c>
      <c r="B7" s="10">
        <v>375642</v>
      </c>
    </row>
    <row r="8" spans="1:5" x14ac:dyDescent="0.25">
      <c r="A8" s="9">
        <v>44469</v>
      </c>
      <c r="B8" s="10">
        <v>392146</v>
      </c>
    </row>
    <row r="9" spans="1:5" x14ac:dyDescent="0.25">
      <c r="A9" s="9">
        <v>44561</v>
      </c>
      <c r="B9" s="10">
        <v>432867</v>
      </c>
    </row>
    <row r="10" spans="1:5" x14ac:dyDescent="0.25">
      <c r="A10" s="9">
        <v>44651</v>
      </c>
      <c r="B10" s="10">
        <v>446357</v>
      </c>
      <c r="C10" s="10">
        <v>446357</v>
      </c>
      <c r="D10" s="10">
        <v>446357</v>
      </c>
      <c r="E10" s="10">
        <v>446357</v>
      </c>
    </row>
    <row r="11" spans="1:5" x14ac:dyDescent="0.25">
      <c r="A11" s="9">
        <v>44743</v>
      </c>
      <c r="C11" s="10">
        <f>_xlfn.FORECAST.ETS(A11,$B$2:$B$10,$A$2:$A$10,1,1)</f>
        <v>486902.25689648592</v>
      </c>
      <c r="D11" s="10">
        <f>C11-_xlfn.FORECAST.ETS.CONFINT(A11,$B$2:$B$10,$A$2:$A$10,0.9,1,1)</f>
        <v>477985.22039386409</v>
      </c>
      <c r="E11" s="10">
        <f>C11+_xlfn.FORECAST.ETS.CONFINT(A11,$B$2:$B$10,$A$2:$A$10,0.9,1,1)</f>
        <v>495819.29339910776</v>
      </c>
    </row>
    <row r="12" spans="1:5" x14ac:dyDescent="0.25">
      <c r="A12" s="9">
        <v>44835</v>
      </c>
      <c r="C12" s="10">
        <f>_xlfn.FORECAST.ETS(A12,$B$2:$B$10,$A$2:$A$10,1,1)</f>
        <v>504167.25656928169</v>
      </c>
      <c r="D12" s="10">
        <f>C12-_xlfn.FORECAST.ETS.CONFINT(A12,$B$2:$B$10,$A$2:$A$10,0.9,1,1)</f>
        <v>495250.17994008586</v>
      </c>
      <c r="E12" s="10">
        <f>C12+_xlfn.FORECAST.ETS.CONFINT(A12,$B$2:$B$10,$A$2:$A$10,0.9,1,1)</f>
        <v>513084.33319847751</v>
      </c>
    </row>
    <row r="13" spans="1:5" x14ac:dyDescent="0.25">
      <c r="A13" s="9">
        <v>44926</v>
      </c>
      <c r="C13" s="10">
        <f>_xlfn.FORECAST.ETS(A13,$B$2:$B$10,$A$2:$A$10,1,1)</f>
        <v>542583.63131977047</v>
      </c>
      <c r="D13" s="10">
        <f>C13-_xlfn.FORECAST.ETS.CONFINT(A13,$B$2:$B$10,$A$2:$A$10,0.9,1,1)</f>
        <v>532598.04335586878</v>
      </c>
      <c r="E13" s="10">
        <f>C13+_xlfn.FORECAST.ETS.CONFINT(A13,$B$2:$B$10,$A$2:$A$10,0.9,1,1)</f>
        <v>552569.21928367217</v>
      </c>
    </row>
    <row r="14" spans="1:5" x14ac:dyDescent="0.25">
      <c r="A14" s="9">
        <v>45016</v>
      </c>
      <c r="C14" s="10">
        <f>_xlfn.FORECAST.ETS(A14,$B$2:$B$10,$A$2:$A$10,1,1)</f>
        <v>559848.63099256635</v>
      </c>
      <c r="D14" s="10">
        <f>C14-_xlfn.FORECAST.ETS.CONFINT(A14,$B$2:$B$10,$A$2:$A$10,0.9,1,1)</f>
        <v>549862.94349378499</v>
      </c>
      <c r="E14" s="10">
        <f>C14+_xlfn.FORECAST.ETS.CONFINT(A14,$B$2:$B$10,$A$2:$A$10,0.9,1,1)</f>
        <v>569834.31849134772</v>
      </c>
    </row>
    <row r="15" spans="1:5" x14ac:dyDescent="0.25">
      <c r="A15" s="9">
        <v>45108</v>
      </c>
      <c r="C15" s="10">
        <f>_xlfn.FORECAST.ETS(A15,$B$2:$B$10,$A$2:$A$10,1,1)</f>
        <v>598265.00574305514</v>
      </c>
      <c r="D15" s="10">
        <f>C15-_xlfn.FORECAST.ETS.CONFINT(A15,$B$2:$B$10,$A$2:$A$10,0.9,1,1)</f>
        <v>587307.25581216312</v>
      </c>
      <c r="E15" s="10">
        <f>C15+_xlfn.FORECAST.ETS.CONFINT(A15,$B$2:$B$10,$A$2:$A$10,0.9,1,1)</f>
        <v>609222.75567394716</v>
      </c>
    </row>
    <row r="16" spans="1:5" x14ac:dyDescent="0.25">
      <c r="A16" s="9">
        <v>45200</v>
      </c>
      <c r="C16" s="10">
        <f>_xlfn.FORECAST.ETS(A16,$B$2:$B$10,$A$2:$A$10,1,1)</f>
        <v>615530.00541585102</v>
      </c>
      <c r="D16" s="10">
        <f>C16-_xlfn.FORECAST.ETS.CONFINT(A16,$B$2:$B$10,$A$2:$A$10,0.9,1,1)</f>
        <v>604572.07770521962</v>
      </c>
      <c r="E16" s="10">
        <f>C16+_xlfn.FORECAST.ETS.CONFINT(A16,$B$2:$B$10,$A$2:$A$10,0.9,1,1)</f>
        <v>626487.93312648241</v>
      </c>
    </row>
    <row r="17" spans="1:5" x14ac:dyDescent="0.25">
      <c r="A17" s="9">
        <v>45291</v>
      </c>
      <c r="C17" s="10">
        <f>_xlfn.FORECAST.ETS(A17,$B$2:$B$10,$A$2:$A$10,1,1)</f>
        <v>653946.38016633969</v>
      </c>
      <c r="D17" s="10">
        <f>C17-_xlfn.FORECAST.ETS.CONFINT(A17,$B$2:$B$10,$A$2:$A$10,0.9,1,1)</f>
        <v>642089.07179153687</v>
      </c>
      <c r="E17" s="10">
        <f>C17+_xlfn.FORECAST.ETS.CONFINT(A17,$B$2:$B$10,$A$2:$A$10,0.9,1,1)</f>
        <v>665803.6885411425</v>
      </c>
    </row>
    <row r="18" spans="1:5" x14ac:dyDescent="0.25">
      <c r="A18" s="9">
        <v>45382</v>
      </c>
      <c r="C18" s="10">
        <f>_xlfn.FORECAST.ETS(A18,$B$2:$B$10,$A$2:$A$10,1,1)</f>
        <v>671211.37983913557</v>
      </c>
      <c r="D18" s="10">
        <f>C18-_xlfn.FORECAST.ETS.CONFINT(A18,$B$2:$B$10,$A$2:$A$10,0.9,1,1)</f>
        <v>659353.79987980542</v>
      </c>
      <c r="E18" s="10">
        <f>C18+_xlfn.FORECAST.ETS.CONFINT(A18,$B$2:$B$10,$A$2:$A$10,0.9,1,1)</f>
        <v>683068.95979846572</v>
      </c>
    </row>
    <row r="19" spans="1:5" x14ac:dyDescent="0.25">
      <c r="A19" s="9">
        <v>45474</v>
      </c>
      <c r="C19" s="10">
        <f>_xlfn.FORECAST.ETS(A19,$B$2:$B$10,$A$2:$A$10,1,1)</f>
        <v>709627.75458962424</v>
      </c>
      <c r="D19" s="10">
        <f>C19-_xlfn.FORECAST.ETS.CONFINT(A19,$B$2:$B$10,$A$2:$A$10,0.9,1,1)</f>
        <v>696928.00363761454</v>
      </c>
      <c r="E19" s="10">
        <f>C19+_xlfn.FORECAST.ETS.CONFINT(A19,$B$2:$B$10,$A$2:$A$10,0.9,1,1)</f>
        <v>722327.50554163393</v>
      </c>
    </row>
    <row r="20" spans="1:5" x14ac:dyDescent="0.25">
      <c r="A20" s="9">
        <v>45566</v>
      </c>
      <c r="C20" s="10">
        <f>_xlfn.FORECAST.ETS(A20,$B$2:$B$10,$A$2:$A$10,1,1)</f>
        <v>726892.75426242023</v>
      </c>
      <c r="D20" s="10">
        <f>C20-_xlfn.FORECAST.ETS.CONFINT(A20,$B$2:$B$10,$A$2:$A$10,0.9,1,1)</f>
        <v>714192.62452365737</v>
      </c>
      <c r="E20" s="10">
        <f>C20+_xlfn.FORECAST.ETS.CONFINT(A20,$B$2:$B$10,$A$2:$A$10,0.9,1,1)</f>
        <v>739592.88400118309</v>
      </c>
    </row>
    <row r="21" spans="1:5" x14ac:dyDescent="0.25">
      <c r="A21" s="9">
        <v>45657</v>
      </c>
      <c r="C21" s="10">
        <f>_xlfn.FORECAST.ETS(A21,$B$2:$B$10,$A$2:$A$10,1,1)</f>
        <v>765309.1290129089</v>
      </c>
      <c r="D21" s="10">
        <f>C21-_xlfn.FORECAST.ETS.CONFINT(A21,$B$2:$B$10,$A$2:$A$10,0.9,1,1)</f>
        <v>751813.30399891629</v>
      </c>
      <c r="E21" s="10">
        <f>C21+_xlfn.FORECAST.ETS.CONFINT(A21,$B$2:$B$10,$A$2:$A$10,0.9,1,1)</f>
        <v>778804.95402690151</v>
      </c>
    </row>
    <row r="22" spans="1:5" x14ac:dyDescent="0.25">
      <c r="A22" s="9">
        <v>45747</v>
      </c>
      <c r="C22" s="10">
        <f>_xlfn.FORECAST.ETS(A22,$B$2:$B$10,$A$2:$A$10,1,1)</f>
        <v>782574.1286857049</v>
      </c>
      <c r="D22" s="10">
        <f>C22-_xlfn.FORECAST.ETS.CONFINT(A22,$B$2:$B$10,$A$2:$A$10,0.9,1,1)</f>
        <v>769077.80583106901</v>
      </c>
      <c r="E22" s="10">
        <f>C22+_xlfn.FORECAST.ETS.CONFINT(A22,$B$2:$B$10,$A$2:$A$10,0.9,1,1)</f>
        <v>796070.45154034079</v>
      </c>
    </row>
    <row r="23" spans="1:5" x14ac:dyDescent="0.25">
      <c r="A23" s="9">
        <v>45839</v>
      </c>
      <c r="C23" s="10">
        <f>_xlfn.FORECAST.ETS(A23,$B$2:$B$10,$A$2:$A$10,1,1)</f>
        <v>820990.50343619357</v>
      </c>
      <c r="D23" s="10">
        <f>C23-_xlfn.FORECAST.ETS.CONFINT(A23,$B$2:$B$10,$A$2:$A$10,0.9,1,1)</f>
        <v>806737.15681838046</v>
      </c>
      <c r="E23" s="10">
        <f>C23+_xlfn.FORECAST.ETS.CONFINT(A23,$B$2:$B$10,$A$2:$A$10,0.9,1,1)</f>
        <v>835243.85005400667</v>
      </c>
    </row>
    <row r="24" spans="1:5" x14ac:dyDescent="0.25">
      <c r="A24" s="9">
        <v>45931</v>
      </c>
      <c r="C24" s="10">
        <f>_xlfn.FORECAST.ETS(A24,$B$2:$B$10,$A$2:$A$10,1,1)</f>
        <v>838255.50310898945</v>
      </c>
      <c r="D24" s="10">
        <f>C24-_xlfn.FORECAST.ETS.CONFINT(A24,$B$2:$B$10,$A$2:$A$10,0.9,1,1)</f>
        <v>824001.52891390887</v>
      </c>
      <c r="E24" s="10">
        <f>C24+_xlfn.FORECAST.ETS.CONFINT(A24,$B$2:$B$10,$A$2:$A$10,0.9,1,1)</f>
        <v>852509.47730407002</v>
      </c>
    </row>
    <row r="25" spans="1:5" x14ac:dyDescent="0.25">
      <c r="A25" s="9">
        <v>46022</v>
      </c>
      <c r="C25" s="10">
        <f>_xlfn.FORECAST.ETS(A25,$B$2:$B$10,$A$2:$A$10,1,1)</f>
        <v>876671.87785947812</v>
      </c>
      <c r="D25" s="10">
        <f>C25-_xlfn.FORECAST.ETS.CONFINT(A25,$B$2:$B$10,$A$2:$A$10,0.9,1,1)</f>
        <v>861693.66910618066</v>
      </c>
      <c r="E25" s="10">
        <f>C25+_xlfn.FORECAST.ETS.CONFINT(A25,$B$2:$B$10,$A$2:$A$10,0.9,1,1)</f>
        <v>891650.08661277557</v>
      </c>
    </row>
    <row r="26" spans="1:5" x14ac:dyDescent="0.25">
      <c r="A26" s="12">
        <v>46112</v>
      </c>
      <c r="C26" s="10">
        <f t="shared" ref="C26:C29" si="0">_xlfn.FORECAST.ETS(A26,$B$2:$B$10,$A$2:$A$10,1,1)</f>
        <v>893936.877532274</v>
      </c>
      <c r="D26" s="13">
        <f t="shared" ref="D26:D29" si="1">C26-_xlfn.FORECAST.ETS.CONFINT(A26,$B$2:$B$10,$A$2:$A$10,0.9,1,1)</f>
        <v>878957.90170378645</v>
      </c>
      <c r="E26" s="13">
        <f t="shared" ref="E26:E29" si="2">C26+_xlfn.FORECAST.ETS.CONFINT(A26,$B$2:$B$10,$A$2:$A$10,0.9,1,1)</f>
        <v>908915.85336076154</v>
      </c>
    </row>
    <row r="27" spans="1:5" x14ac:dyDescent="0.25">
      <c r="A27" s="12">
        <v>46204</v>
      </c>
      <c r="C27" s="10">
        <f t="shared" si="0"/>
        <v>932353.25228276278</v>
      </c>
      <c r="D27" s="13">
        <f t="shared" si="1"/>
        <v>916678.26877481467</v>
      </c>
      <c r="E27" s="13">
        <f t="shared" si="2"/>
        <v>948028.2357907109</v>
      </c>
    </row>
    <row r="28" spans="1:5" x14ac:dyDescent="0.25">
      <c r="A28" s="12">
        <v>46296</v>
      </c>
      <c r="C28" s="10">
        <f t="shared" si="0"/>
        <v>949618.25195555866</v>
      </c>
      <c r="D28" s="13">
        <f t="shared" si="1"/>
        <v>933942.35286292655</v>
      </c>
      <c r="E28" s="13">
        <f t="shared" si="2"/>
        <v>965294.15104819078</v>
      </c>
    </row>
    <row r="29" spans="1:5" x14ac:dyDescent="0.25">
      <c r="A29" s="12">
        <v>46387</v>
      </c>
      <c r="C29" s="10">
        <f t="shared" si="0"/>
        <v>988034.62670604733</v>
      </c>
      <c r="D29" s="13">
        <f t="shared" si="1"/>
        <v>971687.32498449611</v>
      </c>
      <c r="E29" s="13">
        <f t="shared" si="2"/>
        <v>1004381.9284275986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67160-FB54-4908-A83C-058824D3A514}">
  <dimension ref="A3:E12"/>
  <sheetViews>
    <sheetView workbookViewId="0">
      <selection activeCell="A5" sqref="A5"/>
    </sheetView>
  </sheetViews>
  <sheetFormatPr defaultRowHeight="15" x14ac:dyDescent="0.25"/>
  <cols>
    <col min="5" max="5" width="14.28515625" bestFit="1" customWidth="1"/>
  </cols>
  <sheetData>
    <row r="3" spans="1:5" x14ac:dyDescent="0.25">
      <c r="A3" t="s">
        <v>70</v>
      </c>
    </row>
    <row r="4" spans="1:5" x14ac:dyDescent="0.25">
      <c r="A4" t="s">
        <v>93</v>
      </c>
    </row>
    <row r="5" spans="1:5" x14ac:dyDescent="0.25">
      <c r="A5" t="s">
        <v>71</v>
      </c>
    </row>
    <row r="6" spans="1:5" x14ac:dyDescent="0.25">
      <c r="A6" t="s">
        <v>72</v>
      </c>
    </row>
    <row r="7" spans="1:5" x14ac:dyDescent="0.25">
      <c r="A7" t="s">
        <v>92</v>
      </c>
    </row>
    <row r="8" spans="1:5" x14ac:dyDescent="0.25">
      <c r="A8" t="s">
        <v>91</v>
      </c>
    </row>
    <row r="10" spans="1:5" x14ac:dyDescent="0.25">
      <c r="A10" t="s">
        <v>73</v>
      </c>
      <c r="E10" s="1">
        <f>SUM('Revenue forecast - 90%'!C22:C25)</f>
        <v>3318492.0130903656</v>
      </c>
    </row>
    <row r="11" spans="1:5" x14ac:dyDescent="0.25">
      <c r="A11" t="s">
        <v>74</v>
      </c>
      <c r="E11">
        <v>10</v>
      </c>
    </row>
    <row r="12" spans="1:5" x14ac:dyDescent="0.25">
      <c r="A12" t="s">
        <v>75</v>
      </c>
      <c r="E12" s="15">
        <f>E10*E11</f>
        <v>33184920.130903654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9F8B0-15EA-4A3F-B406-E30CE1A1EE5A}">
  <dimension ref="A3:I31"/>
  <sheetViews>
    <sheetView tabSelected="1" topLeftCell="A5" workbookViewId="0">
      <selection activeCell="A32" sqref="A32"/>
    </sheetView>
  </sheetViews>
  <sheetFormatPr defaultRowHeight="15" x14ac:dyDescent="0.25"/>
  <cols>
    <col min="1" max="1" width="32.7109375" customWidth="1"/>
    <col min="2" max="2" width="11.7109375" customWidth="1"/>
    <col min="3" max="3" width="12.42578125" bestFit="1" customWidth="1"/>
    <col min="4" max="6" width="13.28515625" bestFit="1" customWidth="1"/>
    <col min="7" max="7" width="11.5703125" customWidth="1"/>
    <col min="8" max="8" width="14.42578125" bestFit="1" customWidth="1"/>
  </cols>
  <sheetData>
    <row r="3" spans="1:9" x14ac:dyDescent="0.25">
      <c r="B3" t="s">
        <v>83</v>
      </c>
      <c r="C3">
        <v>2022</v>
      </c>
      <c r="D3">
        <v>2023</v>
      </c>
      <c r="E3">
        <v>2024</v>
      </c>
      <c r="F3">
        <v>2025</v>
      </c>
      <c r="G3">
        <v>2026</v>
      </c>
      <c r="H3" t="s">
        <v>76</v>
      </c>
    </row>
    <row r="4" spans="1:9" x14ac:dyDescent="0.25">
      <c r="A4" t="s">
        <v>77</v>
      </c>
      <c r="C4" s="1">
        <f>SUM('Income Statement'!L12:P12)</f>
        <v>427635.69388857507</v>
      </c>
      <c r="D4" s="1">
        <f>SUM('Income Statement'!Q12:T12)</f>
        <v>830422.79428702511</v>
      </c>
      <c r="E4" s="1">
        <f>SUM('Income Statement'!U12:X12)</f>
        <v>1062881.5322632871</v>
      </c>
      <c r="F4" s="1">
        <f>SUM('Income Statement'!Y12:AB12)</f>
        <v>1281752.1545828332</v>
      </c>
      <c r="G4" s="1">
        <f>SUM('Income Statement'!AC12:AF12)</f>
        <v>1485444.9351287633</v>
      </c>
    </row>
    <row r="5" spans="1:9" x14ac:dyDescent="0.25">
      <c r="A5" t="s">
        <v>18</v>
      </c>
      <c r="C5" s="1">
        <f>-C4*Assumptions!$B$3</f>
        <v>-89803.495716600766</v>
      </c>
      <c r="D5" s="1">
        <f>-D4*Assumptions!$B$3</f>
        <v>-174388.78680027527</v>
      </c>
      <c r="E5" s="1">
        <f>-E4*Assumptions!$B$3</f>
        <v>-223205.12177529029</v>
      </c>
      <c r="F5" s="1">
        <f>-F4*Assumptions!$B$3</f>
        <v>-269167.95246239495</v>
      </c>
      <c r="G5" s="1">
        <f>-G4*Assumptions!$B$3</f>
        <v>-311943.43637704029</v>
      </c>
    </row>
    <row r="6" spans="1:9" x14ac:dyDescent="0.25">
      <c r="A6" t="s">
        <v>85</v>
      </c>
      <c r="C6" s="20">
        <f>SUM(C4:C5)</f>
        <v>337832.19817197428</v>
      </c>
      <c r="D6" s="20">
        <f t="shared" ref="D6:G6" si="0">SUM(D4:D5)</f>
        <v>656034.00748674991</v>
      </c>
      <c r="E6" s="20">
        <f t="shared" si="0"/>
        <v>839676.41048799688</v>
      </c>
      <c r="F6" s="20">
        <f t="shared" si="0"/>
        <v>1012584.2021204382</v>
      </c>
      <c r="G6" s="20">
        <f t="shared" si="0"/>
        <v>1173501.498751723</v>
      </c>
    </row>
    <row r="7" spans="1:9" x14ac:dyDescent="0.25">
      <c r="C7" s="3"/>
      <c r="D7" s="3"/>
      <c r="E7" s="3"/>
      <c r="F7" s="3"/>
      <c r="G7" s="3"/>
    </row>
    <row r="8" spans="1:9" x14ac:dyDescent="0.25">
      <c r="A8" t="s">
        <v>86</v>
      </c>
    </row>
    <row r="9" spans="1:9" x14ac:dyDescent="0.25">
      <c r="A9" t="s">
        <v>78</v>
      </c>
      <c r="C9" s="1">
        <v>-40797</v>
      </c>
      <c r="D9" s="1">
        <v>-35932</v>
      </c>
      <c r="E9" s="1">
        <v>-27622</v>
      </c>
      <c r="F9" s="1">
        <v>-27953</v>
      </c>
      <c r="G9" s="1">
        <v>-23297</v>
      </c>
      <c r="H9" s="1">
        <v>-34712</v>
      </c>
      <c r="I9" t="s">
        <v>80</v>
      </c>
    </row>
    <row r="10" spans="1:9" x14ac:dyDescent="0.25">
      <c r="A10" t="s">
        <v>79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</row>
    <row r="11" spans="1:9" x14ac:dyDescent="0.25">
      <c r="C11" s="2">
        <f>SUM(C9:C10)</f>
        <v>-40797</v>
      </c>
      <c r="D11" s="2">
        <f t="shared" ref="D11:H11" si="1">SUM(D9:D10)</f>
        <v>-35932</v>
      </c>
      <c r="E11" s="2">
        <f t="shared" si="1"/>
        <v>-27622</v>
      </c>
      <c r="F11" s="2">
        <f t="shared" si="1"/>
        <v>-27953</v>
      </c>
      <c r="G11" s="2">
        <f t="shared" si="1"/>
        <v>-23297</v>
      </c>
      <c r="H11" s="2">
        <f t="shared" si="1"/>
        <v>-34712</v>
      </c>
    </row>
    <row r="12" spans="1:9" x14ac:dyDescent="0.25">
      <c r="C12" s="1"/>
      <c r="D12" s="1"/>
      <c r="E12" s="1"/>
      <c r="F12" s="1"/>
      <c r="G12" s="1"/>
      <c r="H12" s="1"/>
    </row>
    <row r="13" spans="1:9" x14ac:dyDescent="0.25">
      <c r="A13" t="s">
        <v>87</v>
      </c>
      <c r="C13" s="1">
        <f>C6+C11</f>
        <v>297035.19817197428</v>
      </c>
      <c r="D13" s="1">
        <f t="shared" ref="D13:H13" si="2">D6+D11</f>
        <v>620102.00748674991</v>
      </c>
      <c r="E13" s="1">
        <f t="shared" si="2"/>
        <v>812054.41048799688</v>
      </c>
      <c r="F13" s="1">
        <f t="shared" si="2"/>
        <v>984631.20212043822</v>
      </c>
      <c r="G13" s="1">
        <f t="shared" si="2"/>
        <v>1150204.498751723</v>
      </c>
      <c r="H13" s="1">
        <f t="shared" si="2"/>
        <v>-34712</v>
      </c>
    </row>
    <row r="14" spans="1:9" x14ac:dyDescent="0.25">
      <c r="C14" s="1"/>
      <c r="D14" s="1"/>
      <c r="E14" s="1"/>
      <c r="F14" s="1"/>
      <c r="G14" s="1"/>
      <c r="H14" s="1"/>
    </row>
    <row r="15" spans="1:9" x14ac:dyDescent="0.25">
      <c r="A15" t="s">
        <v>84</v>
      </c>
      <c r="B15" s="1">
        <f>'Balance sheet'!I4+'Balance sheet'!I5+'Balance sheet'!I7+'Balance sheet'!I12-'Balance sheet'!I28</f>
        <v>2585000</v>
      </c>
    </row>
    <row r="17" spans="1:8" x14ac:dyDescent="0.25">
      <c r="A17" t="s">
        <v>75</v>
      </c>
      <c r="H17" s="1">
        <f>'Terminal Value'!E12</f>
        <v>33184920.130903654</v>
      </c>
    </row>
    <row r="19" spans="1:8" x14ac:dyDescent="0.25">
      <c r="A19" t="s">
        <v>88</v>
      </c>
      <c r="B19" s="2">
        <f>SUM(B4:B18)</f>
        <v>2585000</v>
      </c>
      <c r="C19" s="2">
        <f t="shared" ref="C19:H19" si="3">SUM(C4:C18)</f>
        <v>891105.59451592283</v>
      </c>
      <c r="D19" s="2">
        <f t="shared" si="3"/>
        <v>1860306.0224602497</v>
      </c>
      <c r="E19" s="2">
        <f t="shared" si="3"/>
        <v>2436163.2314639906</v>
      </c>
      <c r="F19" s="2">
        <f t="shared" si="3"/>
        <v>2953893.6063613147</v>
      </c>
      <c r="G19" s="2">
        <f t="shared" si="3"/>
        <v>3450613.4962551687</v>
      </c>
      <c r="H19" s="2">
        <f t="shared" si="3"/>
        <v>33080784.130903654</v>
      </c>
    </row>
    <row r="21" spans="1:8" x14ac:dyDescent="0.25">
      <c r="A21" t="s">
        <v>89</v>
      </c>
      <c r="B21" s="15">
        <f>B19</f>
        <v>2585000</v>
      </c>
      <c r="C21" s="2">
        <f>C19/((1+'Discount rate'!$B$8)^1)</f>
        <v>790085.28941173793</v>
      </c>
      <c r="D21" s="2">
        <f>D19/((1+'Discount rate'!$B$8)^2)</f>
        <v>1462426.3481264189</v>
      </c>
      <c r="E21" s="2">
        <f>E19/((1+'Discount rate'!$B$8)^3)</f>
        <v>1698012.1781162741</v>
      </c>
      <c r="F21" s="2">
        <f>F19/((1+'Discount rate'!$B$8)^4)</f>
        <v>1825467.3547863583</v>
      </c>
      <c r="G21" s="2">
        <f>G19/((1+'Discount rate'!$B$8)^5)</f>
        <v>1890690.0736131184</v>
      </c>
      <c r="H21" s="2">
        <f>H19/((1+'Discount rate'!$B$8)^6)</f>
        <v>16071063.914459901</v>
      </c>
    </row>
    <row r="23" spans="1:8" ht="15.75" thickBot="1" x14ac:dyDescent="0.3">
      <c r="A23" s="7" t="s">
        <v>90</v>
      </c>
      <c r="B23" s="21">
        <f>SUM(B21:H21)</f>
        <v>26322745.158513807</v>
      </c>
    </row>
    <row r="24" spans="1:8" ht="15.75" thickTop="1" x14ac:dyDescent="0.25"/>
    <row r="26" spans="1:8" x14ac:dyDescent="0.25">
      <c r="A26" s="23" t="s">
        <v>96</v>
      </c>
    </row>
    <row r="28" spans="1:8" x14ac:dyDescent="0.25">
      <c r="A28" s="7" t="s">
        <v>94</v>
      </c>
      <c r="B28" s="22">
        <v>18480000</v>
      </c>
      <c r="C28" t="s">
        <v>95</v>
      </c>
    </row>
    <row r="30" spans="1:8" x14ac:dyDescent="0.25">
      <c r="A30" t="s">
        <v>97</v>
      </c>
    </row>
    <row r="31" spans="1:8" x14ac:dyDescent="0.25">
      <c r="A31" t="s">
        <v>98</v>
      </c>
    </row>
  </sheetData>
  <pageMargins left="0.7" right="0.7" top="0.75" bottom="0.75" header="0.3" footer="0.3"/>
  <pageSetup orientation="portrait" horizontalDpi="4294967292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Balance sheet</vt:lpstr>
      <vt:lpstr>Income Statement</vt:lpstr>
      <vt:lpstr>Assumptions</vt:lpstr>
      <vt:lpstr>Discount rate</vt:lpstr>
      <vt:lpstr>Revenue forecast - 90%</vt:lpstr>
      <vt:lpstr>Terminal Value</vt:lpstr>
      <vt:lpstr>DCF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Robert Yarotsky</cp:lastModifiedBy>
  <dcterms:created xsi:type="dcterms:W3CDTF">2022-07-31T05:59:17Z</dcterms:created>
  <dcterms:modified xsi:type="dcterms:W3CDTF">2022-07-31T18:33:24Z</dcterms:modified>
</cp:coreProperties>
</file>