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 Carlos\Desktop\Ciclo-2020-2\JP\"/>
    </mc:Choice>
  </mc:AlternateContent>
  <xr:revisionPtr revIDLastSave="0" documentId="13_ncr:1_{89DEBA6B-8585-4035-8DB0-691D5199B96F}" xr6:coauthVersionLast="47" xr6:coauthVersionMax="47" xr10:uidLastSave="{00000000-0000-0000-0000-000000000000}"/>
  <bookViews>
    <workbookView xWindow="-120" yWindow="-120" windowWidth="20730" windowHeight="11160" activeTab="2" xr2:uid="{2614AF27-992F-427A-8C9B-68431E24E224}"/>
  </bookViews>
  <sheets>
    <sheet name="Hoja1" sheetId="1" r:id="rId1"/>
    <sheet name="Hoja1 (2)" sheetId="2" r:id="rId2"/>
    <sheet name="Hoj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3" i="3" l="1"/>
  <c r="U42" i="3"/>
  <c r="D16" i="3"/>
  <c r="M21" i="2"/>
  <c r="E20" i="2"/>
  <c r="I15" i="1"/>
  <c r="I10" i="1"/>
  <c r="I11" i="1"/>
  <c r="J5" i="1"/>
  <c r="J8" i="1"/>
  <c r="U46" i="3"/>
  <c r="U45" i="3"/>
  <c r="U38" i="3"/>
  <c r="U36" i="3"/>
  <c r="U35" i="3"/>
  <c r="X15" i="3"/>
  <c r="U33" i="3"/>
  <c r="X6" i="3"/>
  <c r="X7" i="3"/>
  <c r="X8" i="3"/>
  <c r="X9" i="3"/>
  <c r="X10" i="3"/>
  <c r="X11" i="3"/>
  <c r="X12" i="3"/>
  <c r="X13" i="3"/>
  <c r="X14" i="3"/>
  <c r="X5" i="3"/>
  <c r="W6" i="3"/>
  <c r="W7" i="3"/>
  <c r="W8" i="3"/>
  <c r="W9" i="3"/>
  <c r="W10" i="3"/>
  <c r="W11" i="3"/>
  <c r="W12" i="3"/>
  <c r="W13" i="3"/>
  <c r="W14" i="3"/>
  <c r="W5" i="3"/>
  <c r="V6" i="3"/>
  <c r="V7" i="3"/>
  <c r="V8" i="3"/>
  <c r="V9" i="3"/>
  <c r="V10" i="3"/>
  <c r="V11" i="3"/>
  <c r="V12" i="3"/>
  <c r="V13" i="3"/>
  <c r="V14" i="3"/>
  <c r="V5" i="3"/>
  <c r="U32" i="3"/>
  <c r="U31" i="3"/>
  <c r="V29" i="3"/>
  <c r="X29" i="3"/>
  <c r="X20" i="3"/>
  <c r="X21" i="3"/>
  <c r="X22" i="3"/>
  <c r="X23" i="3"/>
  <c r="X24" i="3"/>
  <c r="X25" i="3"/>
  <c r="X26" i="3"/>
  <c r="X27" i="3"/>
  <c r="X28" i="3"/>
  <c r="X19" i="3"/>
  <c r="W19" i="3"/>
  <c r="W20" i="3"/>
  <c r="W21" i="3"/>
  <c r="W22" i="3"/>
  <c r="W23" i="3"/>
  <c r="W24" i="3"/>
  <c r="W25" i="3"/>
  <c r="W26" i="3"/>
  <c r="W27" i="3"/>
  <c r="W28" i="3"/>
  <c r="V20" i="3"/>
  <c r="V21" i="3"/>
  <c r="V22" i="3"/>
  <c r="V23" i="3"/>
  <c r="V24" i="3"/>
  <c r="V25" i="3"/>
  <c r="V26" i="3"/>
  <c r="V27" i="3"/>
  <c r="V28" i="3"/>
  <c r="V19" i="3"/>
  <c r="U20" i="3"/>
  <c r="U21" i="3"/>
  <c r="U22" i="3"/>
  <c r="U23" i="3"/>
  <c r="U24" i="3"/>
  <c r="U25" i="3"/>
  <c r="U26" i="3"/>
  <c r="U27" i="3"/>
  <c r="U28" i="3"/>
  <c r="U19" i="3"/>
  <c r="T20" i="3"/>
  <c r="T21" i="3"/>
  <c r="T22" i="3"/>
  <c r="T23" i="3"/>
  <c r="T24" i="3"/>
  <c r="T25" i="3"/>
  <c r="T26" i="3"/>
  <c r="T27" i="3"/>
  <c r="T28" i="3"/>
  <c r="T19" i="3"/>
  <c r="U16" i="3"/>
  <c r="T16" i="3"/>
  <c r="L37" i="3"/>
  <c r="L34" i="3"/>
  <c r="L30" i="3"/>
  <c r="L25" i="3"/>
  <c r="L24" i="3"/>
  <c r="O17" i="3"/>
  <c r="L21" i="3"/>
  <c r="L19" i="3"/>
  <c r="R5" i="3"/>
  <c r="R6" i="3"/>
  <c r="R7" i="3"/>
  <c r="R8" i="3"/>
  <c r="R9" i="3"/>
  <c r="R10" i="3"/>
  <c r="R11" i="3"/>
  <c r="R12" i="3"/>
  <c r="R4" i="3"/>
  <c r="Q5" i="3"/>
  <c r="Q6" i="3"/>
  <c r="Q7" i="3"/>
  <c r="Q8" i="3"/>
  <c r="Q9" i="3"/>
  <c r="Q10" i="3"/>
  <c r="Q11" i="3"/>
  <c r="Q12" i="3"/>
  <c r="Q4" i="3"/>
  <c r="P5" i="3"/>
  <c r="P6" i="3"/>
  <c r="P7" i="3"/>
  <c r="P8" i="3"/>
  <c r="P9" i="3"/>
  <c r="P10" i="3"/>
  <c r="P11" i="3"/>
  <c r="P12" i="3"/>
  <c r="P4" i="3"/>
  <c r="L18" i="3"/>
  <c r="N5" i="3"/>
  <c r="N6" i="3"/>
  <c r="N7" i="3"/>
  <c r="N8" i="3"/>
  <c r="N9" i="3"/>
  <c r="N10" i="3"/>
  <c r="N11" i="3"/>
  <c r="N12" i="3"/>
  <c r="N13" i="3"/>
  <c r="N4" i="3"/>
  <c r="L17" i="3"/>
  <c r="L15" i="3"/>
  <c r="L14" i="3"/>
  <c r="M13" i="3"/>
  <c r="M5" i="3"/>
  <c r="M6" i="3"/>
  <c r="M7" i="3"/>
  <c r="M8" i="3"/>
  <c r="M9" i="3"/>
  <c r="M10" i="3"/>
  <c r="M11" i="3"/>
  <c r="M12" i="3"/>
  <c r="M4" i="3"/>
  <c r="L13" i="3"/>
  <c r="L5" i="3"/>
  <c r="L6" i="3"/>
  <c r="L7" i="3"/>
  <c r="L8" i="3"/>
  <c r="L9" i="3"/>
  <c r="L10" i="3"/>
  <c r="L11" i="3"/>
  <c r="L12" i="3"/>
  <c r="L4" i="3"/>
  <c r="K5" i="3"/>
  <c r="K6" i="3"/>
  <c r="K7" i="3"/>
  <c r="K8" i="3"/>
  <c r="K9" i="3"/>
  <c r="K10" i="3"/>
  <c r="K11" i="3"/>
  <c r="K12" i="3"/>
  <c r="K4" i="3"/>
  <c r="J5" i="3"/>
  <c r="J6" i="3"/>
  <c r="J7" i="3"/>
  <c r="J8" i="3"/>
  <c r="J9" i="3"/>
  <c r="J10" i="3"/>
  <c r="J11" i="3"/>
  <c r="J12" i="3"/>
  <c r="J4" i="3"/>
  <c r="D40" i="3"/>
  <c r="D35" i="3"/>
  <c r="D28" i="3"/>
  <c r="D26" i="3"/>
  <c r="D25" i="3"/>
  <c r="D19" i="3"/>
  <c r="D17" i="3"/>
  <c r="D13" i="3"/>
  <c r="D12" i="3"/>
  <c r="O23" i="2"/>
  <c r="N19" i="2"/>
  <c r="I6" i="2"/>
  <c r="L6" i="2" s="1"/>
  <c r="J6" i="2"/>
  <c r="M6" i="2" s="1"/>
  <c r="I7" i="2"/>
  <c r="L7" i="2" s="1"/>
  <c r="J7" i="2"/>
  <c r="M7" i="2" s="1"/>
  <c r="I8" i="2"/>
  <c r="J8" i="2"/>
  <c r="L8" i="2"/>
  <c r="M8" i="2"/>
  <c r="I9" i="2"/>
  <c r="L9" i="2" s="1"/>
  <c r="J9" i="2"/>
  <c r="M9" i="2" s="1"/>
  <c r="I10" i="2"/>
  <c r="L10" i="2" s="1"/>
  <c r="J10" i="2"/>
  <c r="M10" i="2" s="1"/>
  <c r="I11" i="2"/>
  <c r="J11" i="2"/>
  <c r="L11" i="2" s="1"/>
  <c r="I12" i="2"/>
  <c r="J12" i="2"/>
  <c r="L12" i="2"/>
  <c r="M12" i="2"/>
  <c r="I13" i="2"/>
  <c r="L13" i="2" s="1"/>
  <c r="J13" i="2"/>
  <c r="M13" i="2" s="1"/>
  <c r="I14" i="2"/>
  <c r="L14" i="2" s="1"/>
  <c r="J14" i="2"/>
  <c r="M14" i="2" s="1"/>
  <c r="I15" i="2"/>
  <c r="J15" i="2"/>
  <c r="M15" i="2" s="1"/>
  <c r="L15" i="2"/>
  <c r="I16" i="2"/>
  <c r="J16" i="2"/>
  <c r="L16" i="2"/>
  <c r="M16" i="2"/>
  <c r="I17" i="2"/>
  <c r="L17" i="2" s="1"/>
  <c r="J17" i="2"/>
  <c r="M17" i="2" s="1"/>
  <c r="D20" i="2"/>
  <c r="F20" i="2" s="1"/>
  <c r="D21" i="2"/>
  <c r="E21" i="2" s="1"/>
  <c r="D22" i="2"/>
  <c r="E22" i="2" s="1"/>
  <c r="D23" i="2"/>
  <c r="E23" i="2"/>
  <c r="D24" i="2"/>
  <c r="E24" i="2"/>
  <c r="D25" i="2"/>
  <c r="E25" i="2" s="1"/>
  <c r="D26" i="2"/>
  <c r="E26" i="2" s="1"/>
  <c r="D27" i="2"/>
  <c r="E27" i="2"/>
  <c r="D28" i="2"/>
  <c r="E28" i="2"/>
  <c r="D29" i="2"/>
  <c r="E29" i="2" s="1"/>
  <c r="D30" i="2"/>
  <c r="E30" i="2" s="1"/>
  <c r="D31" i="2"/>
  <c r="E31" i="2"/>
  <c r="I9" i="1"/>
  <c r="K14" i="1"/>
  <c r="I14" i="1"/>
  <c r="K13" i="1"/>
  <c r="I13" i="1"/>
  <c r="I8" i="1"/>
  <c r="K8" i="1"/>
  <c r="I5" i="1"/>
  <c r="K5" i="1"/>
  <c r="K4" i="1"/>
  <c r="J4" i="1"/>
  <c r="I4" i="1"/>
  <c r="J13" i="1" l="1"/>
  <c r="J14" i="1" s="1"/>
  <c r="L19" i="2"/>
  <c r="M11" i="2"/>
  <c r="M19" i="2" s="1"/>
  <c r="N20" i="2" l="1"/>
  <c r="O8" i="2" l="1"/>
  <c r="P8" i="2" s="1"/>
  <c r="O12" i="2"/>
  <c r="P12" i="2" s="1"/>
  <c r="O16" i="2"/>
  <c r="P16" i="2" s="1"/>
  <c r="O7" i="2"/>
  <c r="P7" i="2" s="1"/>
  <c r="O11" i="2"/>
  <c r="P11" i="2" s="1"/>
  <c r="O15" i="2"/>
  <c r="P15" i="2" s="1"/>
  <c r="O6" i="2"/>
  <c r="P6" i="2" s="1"/>
  <c r="Q6" i="2" s="1"/>
  <c r="O10" i="2"/>
  <c r="P10" i="2" s="1"/>
  <c r="O14" i="2"/>
  <c r="P14" i="2" s="1"/>
  <c r="O9" i="2"/>
  <c r="P9" i="2" s="1"/>
  <c r="O13" i="2"/>
  <c r="P13" i="2" s="1"/>
  <c r="O17" i="2"/>
  <c r="P17" i="2" s="1"/>
  <c r="O19" i="2" l="1"/>
  <c r="O20" i="2"/>
</calcChain>
</file>

<file path=xl/sharedStrings.xml><?xml version="1.0" encoding="utf-8"?>
<sst xmlns="http://schemas.openxmlformats.org/spreadsheetml/2006/main" count="98" uniqueCount="78">
  <si>
    <t>y=100</t>
  </si>
  <si>
    <t>pr(x)</t>
  </si>
  <si>
    <t>x=200</t>
  </si>
  <si>
    <t>x=1000</t>
  </si>
  <si>
    <t>x=2000</t>
  </si>
  <si>
    <t>pr(y)</t>
  </si>
  <si>
    <t>Probabilidades condicionales</t>
  </si>
  <si>
    <t>y=30</t>
  </si>
  <si>
    <t>y</t>
  </si>
  <si>
    <t>Esperanzas condicionales</t>
  </si>
  <si>
    <t>Esperanza de y</t>
  </si>
  <si>
    <t>Expectativa condicional</t>
  </si>
  <si>
    <t>Esperanzas condicionales  y^2</t>
  </si>
  <si>
    <t>Esperanza x</t>
  </si>
  <si>
    <t>E(XY)</t>
  </si>
  <si>
    <t>Pregunta 1.3</t>
  </si>
  <si>
    <t>ingreso</t>
  </si>
  <si>
    <t>consumo</t>
  </si>
  <si>
    <t>T-estadistico</t>
  </si>
  <si>
    <t>t-tabla</t>
  </si>
  <si>
    <t>Preguntas capítulo 3</t>
  </si>
  <si>
    <t>Capitulo 3</t>
  </si>
  <si>
    <t>ejercicio 4</t>
  </si>
  <si>
    <t>xy</t>
  </si>
  <si>
    <t>xmedia</t>
  </si>
  <si>
    <t>ymedia</t>
  </si>
  <si>
    <t>n</t>
  </si>
  <si>
    <t>sumax2</t>
  </si>
  <si>
    <t>b2</t>
  </si>
  <si>
    <t>b1</t>
  </si>
  <si>
    <t>R-2</t>
  </si>
  <si>
    <t>Suma e2</t>
  </si>
  <si>
    <t>s2</t>
  </si>
  <si>
    <t>Li_b2</t>
  </si>
  <si>
    <t>t-student</t>
  </si>
  <si>
    <t>LS_b2</t>
  </si>
  <si>
    <t>LI_b1</t>
  </si>
  <si>
    <t>LS_b0</t>
  </si>
  <si>
    <t>chi_1</t>
  </si>
  <si>
    <t>chi_2</t>
  </si>
  <si>
    <t>LI_sig</t>
  </si>
  <si>
    <t>LS_sig</t>
  </si>
  <si>
    <t>|</t>
  </si>
  <si>
    <t>t-estadisticio</t>
  </si>
  <si>
    <t>ejercicio 5</t>
  </si>
  <si>
    <t>x</t>
  </si>
  <si>
    <t>desvi_x</t>
  </si>
  <si>
    <t>desvi_y</t>
  </si>
  <si>
    <t>producto</t>
  </si>
  <si>
    <t>des_x_2</t>
  </si>
  <si>
    <t>SCE</t>
  </si>
  <si>
    <t>SCT</t>
  </si>
  <si>
    <t>des_y_2</t>
  </si>
  <si>
    <t>e_2</t>
  </si>
  <si>
    <t>SCR</t>
  </si>
  <si>
    <t>R_2</t>
  </si>
  <si>
    <t>s_2</t>
  </si>
  <si>
    <t>var(b1)</t>
  </si>
  <si>
    <t>var(b2)</t>
  </si>
  <si>
    <t>prueba hipoesis</t>
  </si>
  <si>
    <t>t</t>
  </si>
  <si>
    <t>LS</t>
  </si>
  <si>
    <t>LI_B2</t>
  </si>
  <si>
    <t>LI_B1</t>
  </si>
  <si>
    <t>y_estimado</t>
  </si>
  <si>
    <t>des_x</t>
  </si>
  <si>
    <t>x_media</t>
  </si>
  <si>
    <t>y_media</t>
  </si>
  <si>
    <t>des_y</t>
  </si>
  <si>
    <t>des_x_y</t>
  </si>
  <si>
    <t>errores</t>
  </si>
  <si>
    <t>R2</t>
  </si>
  <si>
    <t>k</t>
  </si>
  <si>
    <t>LS_B2</t>
  </si>
  <si>
    <t>t_b2</t>
  </si>
  <si>
    <t>t_b1</t>
  </si>
  <si>
    <t>R</t>
  </si>
  <si>
    <t>EJERCICIO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</si>
</sst>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Hoja2!$T$5:$T$14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Hoja2!$U$5:$U$14</c:f>
              <c:numCache>
                <c:formatCode>General</c:formatCode>
                <c:ptCount val="10"/>
                <c:pt idx="0">
                  <c:v>193</c:v>
                </c:pt>
                <c:pt idx="1">
                  <c:v>226</c:v>
                </c:pt>
                <c:pt idx="2">
                  <c:v>240</c:v>
                </c:pt>
                <c:pt idx="3">
                  <c:v>244</c:v>
                </c:pt>
                <c:pt idx="4">
                  <c:v>257</c:v>
                </c:pt>
                <c:pt idx="5">
                  <c:v>260</c:v>
                </c:pt>
                <c:pt idx="6">
                  <c:v>274</c:v>
                </c:pt>
                <c:pt idx="7">
                  <c:v>297</c:v>
                </c:pt>
                <c:pt idx="8">
                  <c:v>350</c:v>
                </c:pt>
                <c:pt idx="9">
                  <c:v>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40-460E-82B8-D10722414F3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Hoja2!$T$5:$T$14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Hoja2!$V$5:$V$14</c:f>
              <c:numCache>
                <c:formatCode>General</c:formatCode>
                <c:ptCount val="10"/>
                <c:pt idx="0">
                  <c:v>186.40000000000003</c:v>
                </c:pt>
                <c:pt idx="1">
                  <c:v>206.33333333333337</c:v>
                </c:pt>
                <c:pt idx="2">
                  <c:v>226.26666666666671</c:v>
                </c:pt>
                <c:pt idx="3">
                  <c:v>246.20000000000005</c:v>
                </c:pt>
                <c:pt idx="4">
                  <c:v>266.13333333333338</c:v>
                </c:pt>
                <c:pt idx="5">
                  <c:v>286.06666666666672</c:v>
                </c:pt>
                <c:pt idx="6">
                  <c:v>306</c:v>
                </c:pt>
                <c:pt idx="7">
                  <c:v>325.93333333333339</c:v>
                </c:pt>
                <c:pt idx="8">
                  <c:v>345.86666666666667</c:v>
                </c:pt>
                <c:pt idx="9">
                  <c:v>365.80000000000007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40-460E-82B8-D10722414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9556144"/>
        <c:axId val="2009568624"/>
      </c:lineChart>
      <c:catAx>
        <c:axId val="200955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09568624"/>
        <c:crosses val="autoZero"/>
        <c:auto val="1"/>
        <c:lblAlgn val="ctr"/>
        <c:lblOffset val="100"/>
        <c:noMultiLvlLbl val="0"/>
      </c:catAx>
      <c:valAx>
        <c:axId val="200956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0955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Hoja2!$T$5:$T$14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Hoja2!$W$5:$W$14</c:f>
              <c:numCache>
                <c:formatCode>General</c:formatCode>
                <c:ptCount val="10"/>
                <c:pt idx="0">
                  <c:v>6.5999999999999659</c:v>
                </c:pt>
                <c:pt idx="1">
                  <c:v>19.666666666666629</c:v>
                </c:pt>
                <c:pt idx="2">
                  <c:v>13.733333333333292</c:v>
                </c:pt>
                <c:pt idx="3">
                  <c:v>-2.2000000000000455</c:v>
                </c:pt>
                <c:pt idx="4">
                  <c:v>-9.1333333333333826</c:v>
                </c:pt>
                <c:pt idx="5">
                  <c:v>-26.06666666666672</c:v>
                </c:pt>
                <c:pt idx="6">
                  <c:v>-32</c:v>
                </c:pt>
                <c:pt idx="7">
                  <c:v>-28.933333333333394</c:v>
                </c:pt>
                <c:pt idx="8">
                  <c:v>4.1333333333333258</c:v>
                </c:pt>
                <c:pt idx="9">
                  <c:v>54.199999999999932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DA-4A7B-8E1F-8C413CC26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576528"/>
        <c:axId val="2009576112"/>
      </c:scatterChart>
      <c:valAx>
        <c:axId val="200957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09576112"/>
        <c:crosses val="autoZero"/>
        <c:crossBetween val="midCat"/>
      </c:valAx>
      <c:valAx>
        <c:axId val="200957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0957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40</xdr:row>
      <xdr:rowOff>176212</xdr:rowOff>
    </xdr:from>
    <xdr:to>
      <xdr:col>12</xdr:col>
      <xdr:colOff>485775</xdr:colOff>
      <xdr:row>53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7352E9C-6D2F-4674-8122-BB1C3704CB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666750</xdr:colOff>
      <xdr:row>19</xdr:row>
      <xdr:rowOff>28575</xdr:rowOff>
    </xdr:from>
    <xdr:to>
      <xdr:col>18</xdr:col>
      <xdr:colOff>666750</xdr:colOff>
      <xdr:row>33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4686D3D-722D-4CD4-B6C6-099E1B7721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5713-48EB-4FBA-A5EE-982D04DEF7BC}">
  <dimension ref="B2:L15"/>
  <sheetViews>
    <sheetView workbookViewId="0">
      <selection activeCell="G18" sqref="G18"/>
    </sheetView>
  </sheetViews>
  <sheetFormatPr baseColWidth="10" defaultRowHeight="15" x14ac:dyDescent="0.25"/>
  <cols>
    <col min="7" max="7" width="27.7109375" customWidth="1"/>
    <col min="8" max="8" width="8.28515625" customWidth="1"/>
    <col min="9" max="9" width="9.5703125" customWidth="1"/>
  </cols>
  <sheetData>
    <row r="2" spans="2:12" x14ac:dyDescent="0.25">
      <c r="B2" s="5" t="s">
        <v>15</v>
      </c>
    </row>
    <row r="3" spans="2:12" x14ac:dyDescent="0.25">
      <c r="C3" t="s">
        <v>2</v>
      </c>
      <c r="D3" t="s">
        <v>3</v>
      </c>
      <c r="E3" t="s">
        <v>4</v>
      </c>
      <c r="F3" t="s">
        <v>5</v>
      </c>
      <c r="H3" t="s">
        <v>8</v>
      </c>
      <c r="I3">
        <v>200</v>
      </c>
      <c r="J3">
        <v>1000</v>
      </c>
      <c r="K3">
        <v>2000</v>
      </c>
    </row>
    <row r="4" spans="2:12" x14ac:dyDescent="0.25">
      <c r="B4" t="s">
        <v>7</v>
      </c>
      <c r="C4">
        <v>0.2</v>
      </c>
      <c r="D4">
        <v>0.18</v>
      </c>
      <c r="E4">
        <v>0.15</v>
      </c>
      <c r="F4">
        <v>0.53</v>
      </c>
      <c r="G4" s="3" t="s">
        <v>6</v>
      </c>
      <c r="H4">
        <v>30</v>
      </c>
      <c r="I4">
        <f>+C4/$C$6</f>
        <v>0.8</v>
      </c>
      <c r="J4">
        <f>+D4/$D$6</f>
        <v>0.36</v>
      </c>
      <c r="K4">
        <f>+E4/$E$6</f>
        <v>0.6</v>
      </c>
    </row>
    <row r="5" spans="2:12" x14ac:dyDescent="0.25">
      <c r="B5" t="s">
        <v>0</v>
      </c>
      <c r="C5">
        <v>0.05</v>
      </c>
      <c r="D5">
        <v>0.32</v>
      </c>
      <c r="E5">
        <v>0.1</v>
      </c>
      <c r="F5">
        <v>0.47</v>
      </c>
      <c r="G5" s="3"/>
      <c r="H5">
        <v>100</v>
      </c>
      <c r="I5">
        <f>+C5/$C$6</f>
        <v>0.2</v>
      </c>
      <c r="J5">
        <f>+D5/$D$6</f>
        <v>0.64</v>
      </c>
      <c r="K5">
        <f>+E5/$E$6</f>
        <v>0.4</v>
      </c>
    </row>
    <row r="6" spans="2:12" x14ac:dyDescent="0.25">
      <c r="B6" t="s">
        <v>1</v>
      </c>
      <c r="C6">
        <v>0.25</v>
      </c>
      <c r="D6">
        <v>0.5</v>
      </c>
      <c r="E6">
        <v>0.25</v>
      </c>
      <c r="F6">
        <v>1</v>
      </c>
    </row>
    <row r="8" spans="2:12" x14ac:dyDescent="0.25">
      <c r="G8" s="1" t="s">
        <v>9</v>
      </c>
      <c r="I8">
        <f>+$H$4*I4+$H$5*I5</f>
        <v>44</v>
      </c>
      <c r="J8">
        <f t="shared" ref="J8:K8" si="0">+$H$4*J4+$H$5*J5</f>
        <v>74.8</v>
      </c>
      <c r="K8">
        <f t="shared" si="0"/>
        <v>58</v>
      </c>
    </row>
    <row r="9" spans="2:12" x14ac:dyDescent="0.25">
      <c r="G9" s="1" t="s">
        <v>13</v>
      </c>
      <c r="I9">
        <f>200*C6+1000*D6+2000*E6</f>
        <v>1050</v>
      </c>
    </row>
    <row r="10" spans="2:12" x14ac:dyDescent="0.25">
      <c r="G10" s="1" t="s">
        <v>10</v>
      </c>
      <c r="I10">
        <f>+F4*H4+H5*F5</f>
        <v>62.9</v>
      </c>
      <c r="L10" t="s">
        <v>45</v>
      </c>
    </row>
    <row r="11" spans="2:12" x14ac:dyDescent="0.25">
      <c r="G11" s="1" t="s">
        <v>11</v>
      </c>
      <c r="I11">
        <f>+I8*C6+J8*D6+K8*E6</f>
        <v>62.9</v>
      </c>
    </row>
    <row r="13" spans="2:12" x14ac:dyDescent="0.25">
      <c r="G13" s="1" t="s">
        <v>12</v>
      </c>
      <c r="I13">
        <f>+$H$4*$H$4*I4+$H$5*$H$5*I5</f>
        <v>2720</v>
      </c>
      <c r="J13">
        <f t="shared" ref="J13:K13" si="1">+$H$4*$H$4*J4+$H$5*$H$5*J5</f>
        <v>6724</v>
      </c>
      <c r="K13">
        <f t="shared" si="1"/>
        <v>4540</v>
      </c>
    </row>
    <row r="14" spans="2:12" x14ac:dyDescent="0.25">
      <c r="I14">
        <f>+I13-I8*I8</f>
        <v>784</v>
      </c>
      <c r="J14">
        <f t="shared" ref="J14:K14" si="2">+J13-J8*J8</f>
        <v>1128.96</v>
      </c>
      <c r="K14">
        <f t="shared" si="2"/>
        <v>1176</v>
      </c>
    </row>
    <row r="15" spans="2:12" x14ac:dyDescent="0.25">
      <c r="G15" s="1" t="s">
        <v>14</v>
      </c>
      <c r="I15">
        <f>+H4*I3*C4+H4*J3*D4+H4*K3*E4+H5*I3*C5+H5*J3*D5+H5*K3*E5-I9*I10</f>
        <v>2555</v>
      </c>
    </row>
  </sheetData>
  <mergeCells count="1">
    <mergeCell ref="G4:G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97A6-B577-4A65-94D7-163FBA488055}">
  <dimension ref="C5:Q31"/>
  <sheetViews>
    <sheetView workbookViewId="0">
      <selection activeCell="O25" sqref="O25"/>
    </sheetView>
  </sheetViews>
  <sheetFormatPr baseColWidth="10" defaultRowHeight="15" x14ac:dyDescent="0.25"/>
  <sheetData>
    <row r="5" spans="3:17" x14ac:dyDescent="0.25">
      <c r="D5" t="s">
        <v>17</v>
      </c>
      <c r="E5" t="s">
        <v>16</v>
      </c>
    </row>
    <row r="6" spans="3:17" x14ac:dyDescent="0.25">
      <c r="C6">
        <v>1</v>
      </c>
      <c r="D6">
        <v>15.6</v>
      </c>
      <c r="E6">
        <v>16.3</v>
      </c>
      <c r="F6">
        <v>8.9333333333333336</v>
      </c>
      <c r="G6">
        <v>9.7833333333333332</v>
      </c>
      <c r="I6">
        <f t="shared" ref="I6:I17" si="0">+D6-F6</f>
        <v>6.6666666666666661</v>
      </c>
      <c r="J6">
        <f t="shared" ref="J6:J17" si="1">+E6-G6</f>
        <v>6.5166666666666675</v>
      </c>
      <c r="L6">
        <f t="shared" ref="L6:L17" si="2">+I6*J6</f>
        <v>43.444444444444443</v>
      </c>
      <c r="M6">
        <f t="shared" ref="M6:M17" si="3">+POWER(J6,2)</f>
        <v>42.466944444444458</v>
      </c>
      <c r="O6">
        <f t="shared" ref="O6:O17" si="4">+D6-$N$20-$N$19*E6</f>
        <v>7.7713172824520171E-2</v>
      </c>
      <c r="P6">
        <f t="shared" ref="P6:P17" si="5">+POWER(O6,2)</f>
        <v>6.0393372304537408E-3</v>
      </c>
      <c r="Q6">
        <f>+SUM(P6:P17)/10</f>
        <v>0.57354686838465596</v>
      </c>
    </row>
    <row r="7" spans="3:17" x14ac:dyDescent="0.25">
      <c r="C7">
        <v>2</v>
      </c>
      <c r="D7">
        <v>6.4</v>
      </c>
      <c r="E7">
        <v>6.8</v>
      </c>
      <c r="F7">
        <v>8.9333333333333336</v>
      </c>
      <c r="G7">
        <v>9.7833333333333332</v>
      </c>
      <c r="I7">
        <f t="shared" si="0"/>
        <v>-2.5333333333333332</v>
      </c>
      <c r="J7">
        <f t="shared" si="1"/>
        <v>-2.9833333333333334</v>
      </c>
      <c r="L7">
        <f t="shared" si="2"/>
        <v>7.5577777777777779</v>
      </c>
      <c r="M7">
        <f t="shared" si="3"/>
        <v>8.9002777777777773</v>
      </c>
      <c r="O7">
        <f t="shared" si="4"/>
        <v>0.48309294645629208</v>
      </c>
      <c r="P7">
        <f t="shared" si="5"/>
        <v>0.23337879491582189</v>
      </c>
    </row>
    <row r="8" spans="3:17" x14ac:dyDescent="0.25">
      <c r="C8">
        <v>3</v>
      </c>
      <c r="D8">
        <v>9.1999999999999993</v>
      </c>
      <c r="E8">
        <v>8.6</v>
      </c>
      <c r="F8">
        <v>8.9333333333333336</v>
      </c>
      <c r="G8">
        <v>9.7833333333333332</v>
      </c>
      <c r="I8">
        <f t="shared" si="0"/>
        <v>0.26666666666666572</v>
      </c>
      <c r="J8">
        <f t="shared" si="1"/>
        <v>-1.1833333333333336</v>
      </c>
      <c r="L8">
        <f t="shared" si="2"/>
        <v>-0.31555555555555448</v>
      </c>
      <c r="M8">
        <f t="shared" si="3"/>
        <v>1.4002777777777784</v>
      </c>
      <c r="O8">
        <f t="shared" si="4"/>
        <v>1.4631262525050079</v>
      </c>
      <c r="P8">
        <f t="shared" si="5"/>
        <v>2.1407384307693484</v>
      </c>
    </row>
    <row r="9" spans="3:17" x14ac:dyDescent="0.25">
      <c r="C9">
        <v>4</v>
      </c>
      <c r="D9">
        <v>14.9</v>
      </c>
      <c r="E9">
        <v>15.3</v>
      </c>
      <c r="F9">
        <v>8.9333333333333336</v>
      </c>
      <c r="G9">
        <v>9.7833333333333332</v>
      </c>
      <c r="I9">
        <f t="shared" si="0"/>
        <v>5.9666666666666668</v>
      </c>
      <c r="J9">
        <f t="shared" si="1"/>
        <v>5.5166666666666675</v>
      </c>
      <c r="L9">
        <f t="shared" si="2"/>
        <v>32.916111111111114</v>
      </c>
      <c r="M9">
        <f t="shared" si="3"/>
        <v>30.433611111111119</v>
      </c>
      <c r="O9">
        <f t="shared" si="4"/>
        <v>0.38880578057523429</v>
      </c>
      <c r="P9">
        <f t="shared" si="5"/>
        <v>0.15116993500871723</v>
      </c>
    </row>
    <row r="10" spans="3:17" x14ac:dyDescent="0.25">
      <c r="C10">
        <v>5</v>
      </c>
      <c r="D10">
        <v>7.2</v>
      </c>
      <c r="E10">
        <v>8.6999999999999993</v>
      </c>
      <c r="F10">
        <v>8.9333333333333336</v>
      </c>
      <c r="G10">
        <v>9.7833333333333332</v>
      </c>
      <c r="I10">
        <f t="shared" si="0"/>
        <v>-1.7333333333333334</v>
      </c>
      <c r="J10">
        <f t="shared" si="1"/>
        <v>-1.0833333333333339</v>
      </c>
      <c r="L10">
        <f t="shared" si="2"/>
        <v>1.8777777777777789</v>
      </c>
      <c r="M10">
        <f t="shared" si="3"/>
        <v>1.1736111111111125</v>
      </c>
      <c r="O10">
        <f t="shared" si="4"/>
        <v>-0.63798300827006038</v>
      </c>
      <c r="P10">
        <f t="shared" si="5"/>
        <v>0.40702231884131596</v>
      </c>
    </row>
    <row r="11" spans="3:17" x14ac:dyDescent="0.25">
      <c r="C11">
        <v>6</v>
      </c>
      <c r="D11">
        <v>7.6</v>
      </c>
      <c r="E11">
        <v>7.8</v>
      </c>
      <c r="F11">
        <v>8.9333333333333336</v>
      </c>
      <c r="G11">
        <v>9.7833333333333332</v>
      </c>
      <c r="I11">
        <f t="shared" si="0"/>
        <v>-1.3333333333333339</v>
      </c>
      <c r="J11">
        <f t="shared" si="1"/>
        <v>-1.9833333333333334</v>
      </c>
      <c r="L11">
        <f t="shared" si="2"/>
        <v>2.6444444444444457</v>
      </c>
      <c r="M11">
        <f t="shared" si="3"/>
        <v>3.9336111111111114</v>
      </c>
      <c r="O11">
        <f t="shared" si="4"/>
        <v>0.67200033870557885</v>
      </c>
      <c r="P11">
        <f t="shared" si="5"/>
        <v>0.45158445522041268</v>
      </c>
    </row>
    <row r="12" spans="3:17" x14ac:dyDescent="0.25">
      <c r="C12">
        <v>7</v>
      </c>
      <c r="D12">
        <v>7.2</v>
      </c>
      <c r="E12">
        <v>8.6999999999999993</v>
      </c>
      <c r="F12">
        <v>8.9333333333333336</v>
      </c>
      <c r="G12">
        <v>9.7833333333333332</v>
      </c>
      <c r="I12">
        <f t="shared" si="0"/>
        <v>-1.7333333333333334</v>
      </c>
      <c r="J12">
        <f t="shared" si="1"/>
        <v>-1.0833333333333339</v>
      </c>
      <c r="L12">
        <f t="shared" si="2"/>
        <v>1.8777777777777789</v>
      </c>
      <c r="M12">
        <f t="shared" si="3"/>
        <v>1.1736111111111125</v>
      </c>
      <c r="O12">
        <f t="shared" si="4"/>
        <v>-0.63798300827006038</v>
      </c>
      <c r="P12">
        <f t="shared" si="5"/>
        <v>0.40702231884131596</v>
      </c>
    </row>
    <row r="13" spans="3:17" x14ac:dyDescent="0.25">
      <c r="C13">
        <v>8</v>
      </c>
      <c r="D13">
        <v>7.2</v>
      </c>
      <c r="E13">
        <v>8.3000000000000007</v>
      </c>
      <c r="F13">
        <v>8.9333333333333336</v>
      </c>
      <c r="G13">
        <v>9.7833333333333332</v>
      </c>
      <c r="I13">
        <f t="shared" si="0"/>
        <v>-1.7333333333333334</v>
      </c>
      <c r="J13">
        <f t="shared" si="1"/>
        <v>-1.4833333333333325</v>
      </c>
      <c r="L13">
        <f t="shared" si="2"/>
        <v>2.5711111111111098</v>
      </c>
      <c r="M13">
        <f t="shared" si="3"/>
        <v>2.2002777777777753</v>
      </c>
      <c r="O13">
        <f t="shared" si="4"/>
        <v>-0.23354596516977644</v>
      </c>
      <c r="P13">
        <f t="shared" si="5"/>
        <v>5.454371784708243E-2</v>
      </c>
    </row>
    <row r="14" spans="3:17" x14ac:dyDescent="0.25">
      <c r="C14">
        <v>9</v>
      </c>
      <c r="D14">
        <v>7.9</v>
      </c>
      <c r="E14">
        <v>9.4</v>
      </c>
      <c r="F14">
        <v>8.9333333333333336</v>
      </c>
      <c r="G14">
        <v>9.7833333333333332</v>
      </c>
      <c r="I14">
        <f t="shared" si="0"/>
        <v>-1.0333333333333332</v>
      </c>
      <c r="J14">
        <f t="shared" si="1"/>
        <v>-0.38333333333333286</v>
      </c>
      <c r="L14">
        <f t="shared" si="2"/>
        <v>0.39611111111111058</v>
      </c>
      <c r="M14">
        <f t="shared" si="3"/>
        <v>0.14694444444444407</v>
      </c>
      <c r="O14">
        <f t="shared" si="4"/>
        <v>-0.64574783369556066</v>
      </c>
      <c r="P14">
        <f t="shared" si="5"/>
        <v>0.41699026472250944</v>
      </c>
    </row>
    <row r="15" spans="3:17" x14ac:dyDescent="0.25">
      <c r="C15">
        <v>10</v>
      </c>
      <c r="D15">
        <v>8.8000000000000007</v>
      </c>
      <c r="E15">
        <v>10.8</v>
      </c>
      <c r="F15">
        <v>8.9333333333333336</v>
      </c>
      <c r="G15">
        <v>9.7833333333333332</v>
      </c>
      <c r="I15">
        <f t="shared" si="0"/>
        <v>-0.13333333333333286</v>
      </c>
      <c r="J15">
        <f t="shared" si="1"/>
        <v>1.0166666666666675</v>
      </c>
      <c r="L15">
        <f t="shared" si="2"/>
        <v>-0.13555555555555518</v>
      </c>
      <c r="M15">
        <f t="shared" si="3"/>
        <v>1.0336111111111128</v>
      </c>
      <c r="O15">
        <f t="shared" si="4"/>
        <v>-1.1612774845465594</v>
      </c>
      <c r="P15">
        <f t="shared" si="5"/>
        <v>1.3485653961147845</v>
      </c>
    </row>
    <row r="16" spans="3:17" x14ac:dyDescent="0.25">
      <c r="C16">
        <v>11</v>
      </c>
      <c r="D16">
        <v>4.0999999999999996</v>
      </c>
      <c r="E16">
        <v>5.0999999999999996</v>
      </c>
      <c r="F16">
        <v>8.9333333333333336</v>
      </c>
      <c r="G16">
        <v>9.7833333333333332</v>
      </c>
      <c r="I16">
        <f t="shared" si="0"/>
        <v>-4.8333333333333339</v>
      </c>
      <c r="J16">
        <f t="shared" si="1"/>
        <v>-4.6833333333333336</v>
      </c>
      <c r="L16">
        <f t="shared" si="2"/>
        <v>22.636111111111116</v>
      </c>
      <c r="M16">
        <f t="shared" si="3"/>
        <v>21.933611111111112</v>
      </c>
      <c r="O16">
        <f t="shared" si="4"/>
        <v>-9.8049620367497425E-2</v>
      </c>
      <c r="P16">
        <f t="shared" si="5"/>
        <v>9.6137280542103656E-3</v>
      </c>
    </row>
    <row r="17" spans="3:16" x14ac:dyDescent="0.25">
      <c r="C17">
        <v>12</v>
      </c>
      <c r="D17">
        <v>11.1</v>
      </c>
      <c r="E17">
        <v>11.6</v>
      </c>
      <c r="F17">
        <v>8.9333333333333336</v>
      </c>
      <c r="G17">
        <v>9.7833333333333332</v>
      </c>
      <c r="I17">
        <f t="shared" si="0"/>
        <v>2.1666666666666661</v>
      </c>
      <c r="J17">
        <f t="shared" si="1"/>
        <v>1.8166666666666664</v>
      </c>
      <c r="L17">
        <f t="shared" si="2"/>
        <v>3.9361111111111096</v>
      </c>
      <c r="M17">
        <f t="shared" si="3"/>
        <v>3.3002777777777768</v>
      </c>
      <c r="O17">
        <f t="shared" si="4"/>
        <v>0.32984842925287161</v>
      </c>
      <c r="P17">
        <f t="shared" si="5"/>
        <v>0.10879998628058665</v>
      </c>
    </row>
    <row r="19" spans="3:16" x14ac:dyDescent="0.25">
      <c r="L19">
        <f>+SUM(L6:L17)</f>
        <v>119.40666666666668</v>
      </c>
      <c r="M19">
        <f>+SUM(M6:M17)</f>
        <v>118.09666666666669</v>
      </c>
      <c r="N19" s="2">
        <f>+L19/M19</f>
        <v>1.0110926077507125</v>
      </c>
      <c r="O19">
        <f>+Q6/M19</f>
        <v>4.8565881203363557E-3</v>
      </c>
    </row>
    <row r="20" spans="3:16" x14ac:dyDescent="0.25">
      <c r="D20">
        <f t="shared" ref="D20:D31" si="6">+D6-F6</f>
        <v>6.6666666666666661</v>
      </c>
      <c r="E20">
        <f>+POWER(D20,2)</f>
        <v>44.444444444444436</v>
      </c>
      <c r="F20">
        <f>+SUM(E20:E31)/12</f>
        <v>10.53888888888889</v>
      </c>
      <c r="N20" s="2">
        <f>+F6-N19*G6</f>
        <v>-0.95852267916113654</v>
      </c>
      <c r="O20">
        <f>+Q6*(1/12+G6^2/M19)</f>
        <v>0.51263715904210405</v>
      </c>
    </row>
    <row r="21" spans="3:16" x14ac:dyDescent="0.25">
      <c r="D21">
        <f t="shared" si="6"/>
        <v>-2.5333333333333332</v>
      </c>
      <c r="E21">
        <f t="shared" ref="E21:E31" si="7">+POWER(D21,2)</f>
        <v>6.4177777777777774</v>
      </c>
      <c r="L21" t="s">
        <v>76</v>
      </c>
      <c r="M21">
        <f>1-SUM(P6:P17)/F20</f>
        <v>0.45578051497502337</v>
      </c>
    </row>
    <row r="22" spans="3:16" x14ac:dyDescent="0.25">
      <c r="D22">
        <f t="shared" si="6"/>
        <v>0.26666666666666572</v>
      </c>
      <c r="E22">
        <f t="shared" si="7"/>
        <v>7.1111111111110611E-2</v>
      </c>
    </row>
    <row r="23" spans="3:16" x14ac:dyDescent="0.25">
      <c r="D23">
        <f t="shared" si="6"/>
        <v>5.9666666666666668</v>
      </c>
      <c r="E23">
        <f t="shared" si="7"/>
        <v>35.601111111111109</v>
      </c>
      <c r="L23" s="4" t="s">
        <v>20</v>
      </c>
      <c r="M23" s="4"/>
      <c r="N23" t="s">
        <v>18</v>
      </c>
      <c r="O23">
        <f>+N19/SQRT(Q6/M19)</f>
        <v>14.508593023763302</v>
      </c>
    </row>
    <row r="24" spans="3:16" x14ac:dyDescent="0.25">
      <c r="D24">
        <f t="shared" si="6"/>
        <v>-1.7333333333333334</v>
      </c>
      <c r="E24">
        <f t="shared" si="7"/>
        <v>3.0044444444444447</v>
      </c>
    </row>
    <row r="25" spans="3:16" x14ac:dyDescent="0.25">
      <c r="D25">
        <f t="shared" si="6"/>
        <v>-1.3333333333333339</v>
      </c>
      <c r="E25">
        <f t="shared" si="7"/>
        <v>1.7777777777777795</v>
      </c>
      <c r="N25" t="s">
        <v>19</v>
      </c>
      <c r="O25">
        <v>2.2200000000000002</v>
      </c>
    </row>
    <row r="26" spans="3:16" x14ac:dyDescent="0.25">
      <c r="D26">
        <f t="shared" si="6"/>
        <v>-1.7333333333333334</v>
      </c>
      <c r="E26">
        <f t="shared" si="7"/>
        <v>3.0044444444444447</v>
      </c>
    </row>
    <row r="27" spans="3:16" x14ac:dyDescent="0.25">
      <c r="D27">
        <f t="shared" si="6"/>
        <v>-1.7333333333333334</v>
      </c>
      <c r="E27">
        <f t="shared" si="7"/>
        <v>3.0044444444444447</v>
      </c>
    </row>
    <row r="28" spans="3:16" x14ac:dyDescent="0.25">
      <c r="D28">
        <f t="shared" si="6"/>
        <v>-1.0333333333333332</v>
      </c>
      <c r="E28">
        <f t="shared" si="7"/>
        <v>1.0677777777777775</v>
      </c>
    </row>
    <row r="29" spans="3:16" x14ac:dyDescent="0.25">
      <c r="D29">
        <f t="shared" si="6"/>
        <v>-0.13333333333333286</v>
      </c>
      <c r="E29">
        <f t="shared" si="7"/>
        <v>1.7777777777777653E-2</v>
      </c>
    </row>
    <row r="30" spans="3:16" x14ac:dyDescent="0.25">
      <c r="D30">
        <f t="shared" si="6"/>
        <v>-4.8333333333333339</v>
      </c>
      <c r="E30">
        <f t="shared" si="7"/>
        <v>23.361111111111118</v>
      </c>
    </row>
    <row r="31" spans="3:16" x14ac:dyDescent="0.25">
      <c r="D31">
        <f t="shared" si="6"/>
        <v>2.1666666666666661</v>
      </c>
      <c r="E31">
        <f t="shared" si="7"/>
        <v>4.694444444444442</v>
      </c>
    </row>
  </sheetData>
  <mergeCells count="1">
    <mergeCell ref="L23:M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C9ED-C6C6-4AD1-802D-09DBCA4A6CC7}">
  <dimension ref="B2:X46"/>
  <sheetViews>
    <sheetView tabSelected="1" topLeftCell="I2" workbookViewId="0">
      <selection activeCell="E4" sqref="E4"/>
    </sheetView>
  </sheetViews>
  <sheetFormatPr baseColWidth="10" defaultRowHeight="15" x14ac:dyDescent="0.25"/>
  <sheetData>
    <row r="2" spans="2:24" x14ac:dyDescent="0.25">
      <c r="B2" s="1" t="s">
        <v>21</v>
      </c>
      <c r="G2" s="1" t="s">
        <v>44</v>
      </c>
      <c r="T2" s="1" t="s">
        <v>77</v>
      </c>
    </row>
    <row r="3" spans="2:24" x14ac:dyDescent="0.25">
      <c r="B3" s="1" t="s">
        <v>22</v>
      </c>
      <c r="G3" t="s">
        <v>45</v>
      </c>
      <c r="H3" t="s">
        <v>8</v>
      </c>
      <c r="J3" t="s">
        <v>46</v>
      </c>
      <c r="K3" t="s">
        <v>47</v>
      </c>
      <c r="L3" t="s">
        <v>48</v>
      </c>
      <c r="M3" t="s">
        <v>49</v>
      </c>
      <c r="N3" t="s">
        <v>52</v>
      </c>
      <c r="R3" t="s">
        <v>53</v>
      </c>
    </row>
    <row r="4" spans="2:24" x14ac:dyDescent="0.25">
      <c r="G4">
        <v>3</v>
      </c>
      <c r="H4">
        <v>2</v>
      </c>
      <c r="J4">
        <f>+G4-AVERAGE($G$4:$G$12)</f>
        <v>-3</v>
      </c>
      <c r="K4">
        <f>+H4-AVERAGE($H$4:$H$12)</f>
        <v>-5</v>
      </c>
      <c r="L4">
        <f>+J4*K4</f>
        <v>15</v>
      </c>
      <c r="M4">
        <f>+J4^2</f>
        <v>9</v>
      </c>
      <c r="N4">
        <f>+K4^2</f>
        <v>25</v>
      </c>
      <c r="P4">
        <f>+$L$15+$L$14*G4</f>
        <v>2.7</v>
      </c>
      <c r="Q4">
        <f>+H4-P4</f>
        <v>-0.70000000000000018</v>
      </c>
      <c r="R4">
        <f>+Q4^2</f>
        <v>0.49000000000000027</v>
      </c>
      <c r="T4" t="s">
        <v>45</v>
      </c>
      <c r="U4" t="s">
        <v>8</v>
      </c>
      <c r="V4" t="s">
        <v>64</v>
      </c>
      <c r="W4" t="s">
        <v>70</v>
      </c>
      <c r="X4" t="s">
        <v>53</v>
      </c>
    </row>
    <row r="5" spans="2:24" x14ac:dyDescent="0.25">
      <c r="C5" t="s">
        <v>23</v>
      </c>
      <c r="D5">
        <v>1973.67</v>
      </c>
      <c r="G5">
        <v>5</v>
      </c>
      <c r="H5">
        <v>4</v>
      </c>
      <c r="J5">
        <f t="shared" ref="J5:J12" si="0">+G5-AVERAGE($G$4:$G$12)</f>
        <v>-1</v>
      </c>
      <c r="K5">
        <f t="shared" ref="K5:K12" si="1">+H5-AVERAGE($H$4:$H$12)</f>
        <v>-3</v>
      </c>
      <c r="L5">
        <f t="shared" ref="L5:L12" si="2">+J5*K5</f>
        <v>3</v>
      </c>
      <c r="M5">
        <f t="shared" ref="M5:M12" si="3">+J5^2</f>
        <v>1</v>
      </c>
      <c r="N5">
        <f t="shared" ref="N5:N13" si="4">+K5^2</f>
        <v>9</v>
      </c>
      <c r="P5">
        <f t="shared" ref="P5:P12" si="5">+$L$15+$L$14*G5</f>
        <v>5.5666666666666673</v>
      </c>
      <c r="Q5">
        <f t="shared" ref="Q5:Q12" si="6">+H5-P5</f>
        <v>-1.5666666666666673</v>
      </c>
      <c r="R5">
        <f t="shared" ref="R5:R12" si="7">+Q5^2</f>
        <v>2.4544444444444466</v>
      </c>
      <c r="T5">
        <v>1</v>
      </c>
      <c r="U5">
        <v>193</v>
      </c>
      <c r="V5">
        <f>+$U$32+$U$31*T5</f>
        <v>186.40000000000003</v>
      </c>
      <c r="W5">
        <f>+U5-V5</f>
        <v>6.5999999999999659</v>
      </c>
      <c r="X5">
        <f>+W5^2</f>
        <v>43.559999999999548</v>
      </c>
    </row>
    <row r="6" spans="2:24" x14ac:dyDescent="0.25">
      <c r="C6" t="s">
        <v>24</v>
      </c>
      <c r="D6">
        <v>9.56</v>
      </c>
      <c r="G6">
        <v>6</v>
      </c>
      <c r="H6">
        <v>6</v>
      </c>
      <c r="J6">
        <f t="shared" si="0"/>
        <v>0</v>
      </c>
      <c r="K6">
        <f t="shared" si="1"/>
        <v>-1</v>
      </c>
      <c r="L6">
        <f t="shared" si="2"/>
        <v>0</v>
      </c>
      <c r="M6">
        <f t="shared" si="3"/>
        <v>0</v>
      </c>
      <c r="N6">
        <f t="shared" si="4"/>
        <v>1</v>
      </c>
      <c r="P6">
        <f t="shared" si="5"/>
        <v>7</v>
      </c>
      <c r="Q6">
        <f t="shared" si="6"/>
        <v>-1</v>
      </c>
      <c r="R6">
        <f t="shared" si="7"/>
        <v>1</v>
      </c>
      <c r="T6">
        <v>2</v>
      </c>
      <c r="U6">
        <v>226</v>
      </c>
      <c r="V6">
        <f t="shared" ref="V6:V14" si="8">+$U$32+$U$31*T6</f>
        <v>206.33333333333337</v>
      </c>
      <c r="W6">
        <f t="shared" ref="W6:W14" si="9">+U6-V6</f>
        <v>19.666666666666629</v>
      </c>
      <c r="X6">
        <f t="shared" ref="X6:X14" si="10">+W6^2</f>
        <v>386.77777777777629</v>
      </c>
    </row>
    <row r="7" spans="2:24" x14ac:dyDescent="0.25">
      <c r="C7" t="s">
        <v>25</v>
      </c>
      <c r="D7">
        <v>8.7650000000000006</v>
      </c>
      <c r="G7">
        <v>4</v>
      </c>
      <c r="H7">
        <v>3</v>
      </c>
      <c r="J7">
        <f t="shared" si="0"/>
        <v>-2</v>
      </c>
      <c r="K7">
        <f t="shared" si="1"/>
        <v>-4</v>
      </c>
      <c r="L7">
        <f t="shared" si="2"/>
        <v>8</v>
      </c>
      <c r="M7">
        <f t="shared" si="3"/>
        <v>4</v>
      </c>
      <c r="N7">
        <f t="shared" si="4"/>
        <v>16</v>
      </c>
      <c r="P7">
        <f t="shared" si="5"/>
        <v>4.1333333333333337</v>
      </c>
      <c r="Q7">
        <f t="shared" si="6"/>
        <v>-1.1333333333333337</v>
      </c>
      <c r="R7">
        <f t="shared" si="7"/>
        <v>1.2844444444444454</v>
      </c>
      <c r="T7">
        <v>3</v>
      </c>
      <c r="U7">
        <v>240</v>
      </c>
      <c r="V7">
        <f t="shared" si="8"/>
        <v>226.26666666666671</v>
      </c>
      <c r="W7">
        <f t="shared" si="9"/>
        <v>13.733333333333292</v>
      </c>
      <c r="X7">
        <f t="shared" si="10"/>
        <v>188.60444444444329</v>
      </c>
    </row>
    <row r="8" spans="2:24" x14ac:dyDescent="0.25">
      <c r="C8" t="s">
        <v>26</v>
      </c>
      <c r="D8">
        <v>20</v>
      </c>
      <c r="G8">
        <v>2</v>
      </c>
      <c r="H8">
        <v>4</v>
      </c>
      <c r="J8">
        <f t="shared" si="0"/>
        <v>-4</v>
      </c>
      <c r="K8">
        <f t="shared" si="1"/>
        <v>-3</v>
      </c>
      <c r="L8">
        <f t="shared" si="2"/>
        <v>12</v>
      </c>
      <c r="M8">
        <f t="shared" si="3"/>
        <v>16</v>
      </c>
      <c r="N8">
        <f t="shared" si="4"/>
        <v>9</v>
      </c>
      <c r="P8">
        <f t="shared" si="5"/>
        <v>1.2666666666666671</v>
      </c>
      <c r="Q8">
        <f t="shared" si="6"/>
        <v>2.7333333333333329</v>
      </c>
      <c r="R8">
        <f t="shared" si="7"/>
        <v>7.4711111111111093</v>
      </c>
      <c r="T8">
        <v>4</v>
      </c>
      <c r="U8">
        <v>244</v>
      </c>
      <c r="V8">
        <f t="shared" si="8"/>
        <v>246.20000000000005</v>
      </c>
      <c r="W8">
        <f t="shared" si="9"/>
        <v>-2.2000000000000455</v>
      </c>
      <c r="X8">
        <f t="shared" si="10"/>
        <v>4.8400000000001997</v>
      </c>
    </row>
    <row r="9" spans="2:24" x14ac:dyDescent="0.25">
      <c r="C9" t="s">
        <v>27</v>
      </c>
      <c r="D9">
        <v>2165.1799999999998</v>
      </c>
      <c r="G9">
        <v>7</v>
      </c>
      <c r="H9">
        <v>8</v>
      </c>
      <c r="J9">
        <f t="shared" si="0"/>
        <v>1</v>
      </c>
      <c r="K9">
        <f t="shared" si="1"/>
        <v>1</v>
      </c>
      <c r="L9">
        <f t="shared" si="2"/>
        <v>1</v>
      </c>
      <c r="M9">
        <f t="shared" si="3"/>
        <v>1</v>
      </c>
      <c r="N9">
        <f t="shared" si="4"/>
        <v>1</v>
      </c>
      <c r="P9">
        <f t="shared" si="5"/>
        <v>8.4333333333333336</v>
      </c>
      <c r="Q9">
        <f t="shared" si="6"/>
        <v>-0.43333333333333357</v>
      </c>
      <c r="R9">
        <f t="shared" si="7"/>
        <v>0.18777777777777799</v>
      </c>
      <c r="T9">
        <v>5</v>
      </c>
      <c r="U9">
        <v>257</v>
      </c>
      <c r="V9">
        <f t="shared" si="8"/>
        <v>266.13333333333338</v>
      </c>
      <c r="W9">
        <f t="shared" si="9"/>
        <v>-9.1333333333333826</v>
      </c>
      <c r="X9">
        <f t="shared" si="10"/>
        <v>83.417777777778682</v>
      </c>
    </row>
    <row r="10" spans="2:24" x14ac:dyDescent="0.25">
      <c r="G10">
        <v>8</v>
      </c>
      <c r="H10">
        <v>10</v>
      </c>
      <c r="J10">
        <f t="shared" si="0"/>
        <v>2</v>
      </c>
      <c r="K10">
        <f t="shared" si="1"/>
        <v>3</v>
      </c>
      <c r="L10">
        <f t="shared" si="2"/>
        <v>6</v>
      </c>
      <c r="M10">
        <f t="shared" si="3"/>
        <v>4</v>
      </c>
      <c r="N10">
        <f t="shared" si="4"/>
        <v>9</v>
      </c>
      <c r="P10">
        <f t="shared" si="5"/>
        <v>9.8666666666666671</v>
      </c>
      <c r="Q10">
        <f t="shared" si="6"/>
        <v>0.13333333333333286</v>
      </c>
      <c r="R10">
        <f t="shared" si="7"/>
        <v>1.7777777777777653E-2</v>
      </c>
      <c r="T10">
        <v>6</v>
      </c>
      <c r="U10">
        <v>260</v>
      </c>
      <c r="V10">
        <f t="shared" si="8"/>
        <v>286.06666666666672</v>
      </c>
      <c r="W10">
        <f t="shared" si="9"/>
        <v>-26.06666666666672</v>
      </c>
      <c r="X10">
        <f t="shared" si="10"/>
        <v>679.47111111111383</v>
      </c>
    </row>
    <row r="11" spans="2:24" x14ac:dyDescent="0.25">
      <c r="G11">
        <v>9</v>
      </c>
      <c r="H11">
        <v>14</v>
      </c>
      <c r="J11">
        <f t="shared" si="0"/>
        <v>3</v>
      </c>
      <c r="K11">
        <f t="shared" si="1"/>
        <v>7</v>
      </c>
      <c r="L11">
        <f t="shared" si="2"/>
        <v>21</v>
      </c>
      <c r="M11">
        <f t="shared" si="3"/>
        <v>9</v>
      </c>
      <c r="N11">
        <f t="shared" si="4"/>
        <v>49</v>
      </c>
      <c r="P11">
        <f t="shared" si="5"/>
        <v>11.3</v>
      </c>
      <c r="Q11">
        <f t="shared" si="6"/>
        <v>2.6999999999999993</v>
      </c>
      <c r="R11">
        <f t="shared" si="7"/>
        <v>7.2899999999999965</v>
      </c>
      <c r="T11">
        <v>7</v>
      </c>
      <c r="U11">
        <v>274</v>
      </c>
      <c r="V11">
        <f t="shared" si="8"/>
        <v>306</v>
      </c>
      <c r="W11">
        <f t="shared" si="9"/>
        <v>-32</v>
      </c>
      <c r="X11">
        <f t="shared" si="10"/>
        <v>1024</v>
      </c>
    </row>
    <row r="12" spans="2:24" x14ac:dyDescent="0.25">
      <c r="C12" t="s">
        <v>28</v>
      </c>
      <c r="D12">
        <f>+(D5-D8*D6*D7)/(D9-D8*D6^2)</f>
        <v>0.88287855609709853</v>
      </c>
      <c r="G12">
        <v>10</v>
      </c>
      <c r="H12">
        <v>12</v>
      </c>
      <c r="J12">
        <f t="shared" si="0"/>
        <v>4</v>
      </c>
      <c r="K12">
        <f t="shared" si="1"/>
        <v>5</v>
      </c>
      <c r="L12">
        <f t="shared" si="2"/>
        <v>20</v>
      </c>
      <c r="M12">
        <f t="shared" si="3"/>
        <v>16</v>
      </c>
      <c r="N12">
        <f t="shared" si="4"/>
        <v>25</v>
      </c>
      <c r="P12">
        <f t="shared" si="5"/>
        <v>12.733333333333334</v>
      </c>
      <c r="Q12">
        <f t="shared" si="6"/>
        <v>-0.73333333333333428</v>
      </c>
      <c r="R12">
        <f t="shared" si="7"/>
        <v>0.53777777777777913</v>
      </c>
      <c r="T12">
        <v>8</v>
      </c>
      <c r="U12">
        <v>297</v>
      </c>
      <c r="V12">
        <f t="shared" si="8"/>
        <v>325.93333333333339</v>
      </c>
      <c r="W12">
        <f t="shared" si="9"/>
        <v>-28.933333333333394</v>
      </c>
      <c r="X12">
        <f t="shared" si="10"/>
        <v>837.13777777778125</v>
      </c>
    </row>
    <row r="13" spans="2:24" x14ac:dyDescent="0.25">
      <c r="C13" t="s">
        <v>29</v>
      </c>
      <c r="D13">
        <f>+D7-D12*D6</f>
        <v>0.32468100371173847</v>
      </c>
      <c r="L13">
        <f>+SUM(L4:L12)</f>
        <v>86</v>
      </c>
      <c r="M13">
        <f>+SUM(M4:M12)</f>
        <v>60</v>
      </c>
      <c r="N13">
        <f t="shared" si="4"/>
        <v>0</v>
      </c>
      <c r="T13">
        <v>9</v>
      </c>
      <c r="U13">
        <v>350</v>
      </c>
      <c r="V13">
        <f t="shared" si="8"/>
        <v>345.86666666666667</v>
      </c>
      <c r="W13">
        <f t="shared" si="9"/>
        <v>4.1333333333333258</v>
      </c>
      <c r="X13">
        <f t="shared" si="10"/>
        <v>17.084444444444383</v>
      </c>
    </row>
    <row r="14" spans="2:24" x14ac:dyDescent="0.25">
      <c r="K14" t="s">
        <v>28</v>
      </c>
      <c r="L14">
        <f>+L13/M13</f>
        <v>1.4333333333333333</v>
      </c>
      <c r="T14">
        <v>10</v>
      </c>
      <c r="U14">
        <v>420</v>
      </c>
      <c r="V14">
        <f t="shared" si="8"/>
        <v>365.80000000000007</v>
      </c>
      <c r="W14">
        <f t="shared" si="9"/>
        <v>54.199999999999932</v>
      </c>
      <c r="X14">
        <f t="shared" si="10"/>
        <v>2937.6399999999926</v>
      </c>
    </row>
    <row r="15" spans="2:24" x14ac:dyDescent="0.25">
      <c r="K15" t="s">
        <v>29</v>
      </c>
      <c r="L15">
        <f>+AVERAGE(H4:H12)-L14*AVERAGE(G4:G12)</f>
        <v>-1.5999999999999996</v>
      </c>
      <c r="T15" t="s">
        <v>66</v>
      </c>
      <c r="U15" t="s">
        <v>67</v>
      </c>
      <c r="X15">
        <f>+SUM(X5:X14)</f>
        <v>6202.5333333333292</v>
      </c>
    </row>
    <row r="16" spans="2:24" x14ac:dyDescent="0.25">
      <c r="C16" t="s">
        <v>30</v>
      </c>
      <c r="D16">
        <f>+D12^2*(D9-D8*D6^2)/(1813.53-D8*D7^2)</f>
        <v>0.94909313316943056</v>
      </c>
      <c r="T16">
        <f>+AVERAGE(T5:T14)</f>
        <v>5.5</v>
      </c>
      <c r="U16">
        <f>+AVERAGE(U5:U14)</f>
        <v>276.10000000000002</v>
      </c>
    </row>
    <row r="17" spans="3:24" x14ac:dyDescent="0.25">
      <c r="C17" t="s">
        <v>31</v>
      </c>
      <c r="D17">
        <f>+(1-D16)*(1813.53-20*D7^2)</f>
        <v>14.102500237171913</v>
      </c>
      <c r="K17" t="s">
        <v>50</v>
      </c>
      <c r="L17">
        <f>+L14^2*M13</f>
        <v>123.26666666666667</v>
      </c>
      <c r="N17" t="s">
        <v>56</v>
      </c>
      <c r="O17">
        <f>+L19/7</f>
        <v>2.961904761904762</v>
      </c>
    </row>
    <row r="18" spans="3:24" x14ac:dyDescent="0.25">
      <c r="K18" t="s">
        <v>51</v>
      </c>
      <c r="L18">
        <f>+SUM(N4:N13)</f>
        <v>144</v>
      </c>
      <c r="T18" t="s">
        <v>65</v>
      </c>
      <c r="U18" t="s">
        <v>68</v>
      </c>
      <c r="V18" t="s">
        <v>49</v>
      </c>
      <c r="W18" t="s">
        <v>52</v>
      </c>
      <c r="X18" t="s">
        <v>69</v>
      </c>
    </row>
    <row r="19" spans="3:24" x14ac:dyDescent="0.25">
      <c r="C19" t="s">
        <v>32</v>
      </c>
      <c r="D19">
        <f>+D17/18</f>
        <v>0.78347223539843958</v>
      </c>
      <c r="K19" t="s">
        <v>54</v>
      </c>
      <c r="L19">
        <f>+SUM(R4:R12)</f>
        <v>20.733333333333334</v>
      </c>
      <c r="T19">
        <f>+T5-$T$16</f>
        <v>-4.5</v>
      </c>
      <c r="U19">
        <f>+U5-$U$16</f>
        <v>-83.100000000000023</v>
      </c>
      <c r="V19">
        <f>+T19^2</f>
        <v>20.25</v>
      </c>
      <c r="W19">
        <f>+U19^2</f>
        <v>6905.6100000000042</v>
      </c>
      <c r="X19">
        <f>+T19*U19</f>
        <v>373.9500000000001</v>
      </c>
    </row>
    <row r="20" spans="3:24" x14ac:dyDescent="0.25">
      <c r="T20">
        <f t="shared" ref="T20:T28" si="11">+T6-$T$16</f>
        <v>-3.5</v>
      </c>
      <c r="U20">
        <f t="shared" ref="U20:U28" si="12">+U6-$U$16</f>
        <v>-50.100000000000023</v>
      </c>
      <c r="V20">
        <f t="shared" ref="V20:W28" si="13">+T20^2</f>
        <v>12.25</v>
      </c>
      <c r="W20">
        <f t="shared" si="13"/>
        <v>2510.0100000000025</v>
      </c>
      <c r="X20">
        <f t="shared" ref="X20:X28" si="14">+T20*U20</f>
        <v>175.35000000000008</v>
      </c>
    </row>
    <row r="21" spans="3:24" x14ac:dyDescent="0.25">
      <c r="C21" t="s">
        <v>33</v>
      </c>
      <c r="K21" t="s">
        <v>55</v>
      </c>
      <c r="L21">
        <f>1-L19/L18</f>
        <v>0.85601851851851851</v>
      </c>
      <c r="T21">
        <f t="shared" si="11"/>
        <v>-2.5</v>
      </c>
      <c r="U21">
        <f t="shared" si="12"/>
        <v>-36.100000000000023</v>
      </c>
      <c r="V21">
        <f t="shared" si="13"/>
        <v>6.25</v>
      </c>
      <c r="W21">
        <f t="shared" si="13"/>
        <v>1303.2100000000016</v>
      </c>
      <c r="X21">
        <f t="shared" si="14"/>
        <v>90.250000000000057</v>
      </c>
    </row>
    <row r="22" spans="3:24" x14ac:dyDescent="0.25">
      <c r="T22">
        <f t="shared" si="11"/>
        <v>-1.5</v>
      </c>
      <c r="U22">
        <f t="shared" si="12"/>
        <v>-32.100000000000023</v>
      </c>
      <c r="V22">
        <f t="shared" si="13"/>
        <v>2.25</v>
      </c>
      <c r="W22">
        <f t="shared" si="13"/>
        <v>1030.4100000000014</v>
      </c>
      <c r="X22">
        <f t="shared" si="14"/>
        <v>48.150000000000034</v>
      </c>
    </row>
    <row r="23" spans="3:24" x14ac:dyDescent="0.25">
      <c r="C23" t="s">
        <v>34</v>
      </c>
      <c r="D23">
        <v>2.1</v>
      </c>
      <c r="T23">
        <f t="shared" si="11"/>
        <v>-0.5</v>
      </c>
      <c r="U23">
        <f t="shared" si="12"/>
        <v>-19.100000000000023</v>
      </c>
      <c r="V23">
        <f t="shared" si="13"/>
        <v>0.25</v>
      </c>
      <c r="W23">
        <f t="shared" si="13"/>
        <v>364.81000000000085</v>
      </c>
      <c r="X23">
        <f t="shared" si="14"/>
        <v>9.5500000000000114</v>
      </c>
    </row>
    <row r="24" spans="3:24" x14ac:dyDescent="0.25">
      <c r="K24" t="s">
        <v>58</v>
      </c>
      <c r="L24">
        <f>+O17/M13</f>
        <v>4.9365079365079369E-2</v>
      </c>
      <c r="T24">
        <f t="shared" si="11"/>
        <v>0.5</v>
      </c>
      <c r="U24">
        <f t="shared" si="12"/>
        <v>-16.100000000000023</v>
      </c>
      <c r="V24">
        <f t="shared" si="13"/>
        <v>0.25</v>
      </c>
      <c r="W24">
        <f t="shared" si="13"/>
        <v>259.21000000000072</v>
      </c>
      <c r="X24">
        <f t="shared" si="14"/>
        <v>-8.0500000000000114</v>
      </c>
    </row>
    <row r="25" spans="3:24" x14ac:dyDescent="0.25">
      <c r="C25" t="s">
        <v>33</v>
      </c>
      <c r="D25">
        <f>+D12-D23*SQRT(D19/(D9-D8*D6^2))</f>
        <v>0.78166987176642655</v>
      </c>
      <c r="K25" t="s">
        <v>57</v>
      </c>
      <c r="L25">
        <f>+O17*(1/9+AVERAGE(G4:G12)^2/M13)</f>
        <v>2.1062433862433863</v>
      </c>
      <c r="T25">
        <f t="shared" si="11"/>
        <v>1.5</v>
      </c>
      <c r="U25">
        <f t="shared" si="12"/>
        <v>-2.1000000000000227</v>
      </c>
      <c r="V25">
        <f t="shared" si="13"/>
        <v>2.25</v>
      </c>
      <c r="W25">
        <f t="shared" si="13"/>
        <v>4.4100000000000952</v>
      </c>
      <c r="X25">
        <f t="shared" si="14"/>
        <v>-3.1500000000000341</v>
      </c>
    </row>
    <row r="26" spans="3:24" x14ac:dyDescent="0.25">
      <c r="C26" t="s">
        <v>35</v>
      </c>
      <c r="D26">
        <f>+D12+D23*SQRT(D19/(D9-20*D6^2))</f>
        <v>0.98408724042777052</v>
      </c>
      <c r="T26">
        <f t="shared" si="11"/>
        <v>2.5</v>
      </c>
      <c r="U26">
        <f t="shared" si="12"/>
        <v>20.899999999999977</v>
      </c>
      <c r="V26">
        <f t="shared" si="13"/>
        <v>6.25</v>
      </c>
      <c r="W26">
        <f t="shared" si="13"/>
        <v>436.80999999999904</v>
      </c>
      <c r="X26">
        <f t="shared" si="14"/>
        <v>52.249999999999943</v>
      </c>
    </row>
    <row r="27" spans="3:24" x14ac:dyDescent="0.25">
      <c r="T27">
        <f t="shared" si="11"/>
        <v>3.5</v>
      </c>
      <c r="U27">
        <f t="shared" si="12"/>
        <v>73.899999999999977</v>
      </c>
      <c r="V27">
        <f t="shared" si="13"/>
        <v>12.25</v>
      </c>
      <c r="W27">
        <f t="shared" si="13"/>
        <v>5461.2099999999964</v>
      </c>
      <c r="X27">
        <f t="shared" si="14"/>
        <v>258.64999999999992</v>
      </c>
    </row>
    <row r="28" spans="3:24" x14ac:dyDescent="0.25">
      <c r="C28" t="s">
        <v>37</v>
      </c>
      <c r="D28">
        <f>+D13+D23*SQRT(D19*(1/20+D6^2/(D9-D8*D6^2)))</f>
        <v>1.3777329249825589</v>
      </c>
      <c r="K28" t="s">
        <v>59</v>
      </c>
      <c r="T28">
        <f t="shared" si="11"/>
        <v>4.5</v>
      </c>
      <c r="U28">
        <f t="shared" si="12"/>
        <v>143.89999999999998</v>
      </c>
      <c r="V28">
        <f t="shared" si="13"/>
        <v>20.25</v>
      </c>
      <c r="W28">
        <f t="shared" si="13"/>
        <v>20707.209999999992</v>
      </c>
      <c r="X28">
        <f t="shared" si="14"/>
        <v>647.54999999999995</v>
      </c>
    </row>
    <row r="29" spans="3:24" x14ac:dyDescent="0.25">
      <c r="C29" t="s">
        <v>36</v>
      </c>
      <c r="D29">
        <v>-0.72837091755908201</v>
      </c>
      <c r="V29">
        <f>+SUM(V19:V28)</f>
        <v>82.5</v>
      </c>
      <c r="X29">
        <f>+SUM(X19:X28)</f>
        <v>1644.5</v>
      </c>
    </row>
    <row r="30" spans="3:24" x14ac:dyDescent="0.25">
      <c r="K30" t="s">
        <v>60</v>
      </c>
      <c r="L30">
        <f>+L14/SQRT(L24)</f>
        <v>6.4511520943201646</v>
      </c>
    </row>
    <row r="31" spans="3:24" x14ac:dyDescent="0.25">
      <c r="E31" t="s">
        <v>42</v>
      </c>
      <c r="T31" t="s">
        <v>28</v>
      </c>
      <c r="U31">
        <f>+X29/V29</f>
        <v>19.933333333333334</v>
      </c>
    </row>
    <row r="32" spans="3:24" x14ac:dyDescent="0.25">
      <c r="C32" t="s">
        <v>39</v>
      </c>
      <c r="D32">
        <v>8.23</v>
      </c>
      <c r="K32" t="s">
        <v>34</v>
      </c>
      <c r="L32">
        <v>2.3639999999999999</v>
      </c>
      <c r="T32" t="s">
        <v>29</v>
      </c>
      <c r="U32">
        <f>+U16-U31*T16</f>
        <v>166.4666666666667</v>
      </c>
    </row>
    <row r="33" spans="3:23" x14ac:dyDescent="0.25">
      <c r="C33" t="s">
        <v>38</v>
      </c>
      <c r="D33">
        <v>31.5</v>
      </c>
      <c r="T33" t="s">
        <v>56</v>
      </c>
      <c r="U33">
        <f>+X15/8</f>
        <v>775.31666666666615</v>
      </c>
    </row>
    <row r="34" spans="3:23" x14ac:dyDescent="0.25">
      <c r="K34" t="s">
        <v>61</v>
      </c>
      <c r="L34">
        <f>+L14+L32*SQRT(L24)</f>
        <v>1.958572848765511</v>
      </c>
    </row>
    <row r="35" spans="3:23" x14ac:dyDescent="0.25">
      <c r="C35" t="s">
        <v>41</v>
      </c>
      <c r="D35">
        <f>18*D19/D32</f>
        <v>1.713548023957705</v>
      </c>
      <c r="K35" t="s">
        <v>62</v>
      </c>
      <c r="L35">
        <v>0.90809381790115584</v>
      </c>
      <c r="T35" t="s">
        <v>58</v>
      </c>
      <c r="U35">
        <f>+U33/V29</f>
        <v>9.3977777777777707</v>
      </c>
    </row>
    <row r="36" spans="3:23" x14ac:dyDescent="0.25">
      <c r="C36" t="s">
        <v>40</v>
      </c>
      <c r="D36">
        <v>0.44769842022767981</v>
      </c>
      <c r="T36" t="s">
        <v>57</v>
      </c>
      <c r="U36">
        <f>+U33*(1/10+T16^2/V29)</f>
        <v>361.81444444444423</v>
      </c>
    </row>
    <row r="37" spans="3:23" x14ac:dyDescent="0.25">
      <c r="K37" t="s">
        <v>61</v>
      </c>
      <c r="L37">
        <f>+L15+L32*SQRT(L25)</f>
        <v>1.8308501481480683</v>
      </c>
    </row>
    <row r="38" spans="3:23" x14ac:dyDescent="0.25">
      <c r="K38" t="s">
        <v>63</v>
      </c>
      <c r="L38">
        <v>-5.0308501481480672</v>
      </c>
      <c r="T38" t="s">
        <v>71</v>
      </c>
      <c r="U38">
        <f>1-X15/SUM(W19:W28)</f>
        <v>0.84089092054892456</v>
      </c>
    </row>
    <row r="40" spans="3:23" x14ac:dyDescent="0.25">
      <c r="C40" t="s">
        <v>43</v>
      </c>
      <c r="D40">
        <f>+D12/SQRT(D19/(D9-20*D6^2))</f>
        <v>18.319030427728098</v>
      </c>
      <c r="T40" t="s">
        <v>72</v>
      </c>
      <c r="U40">
        <v>8</v>
      </c>
      <c r="V40" t="s">
        <v>60</v>
      </c>
      <c r="W40">
        <v>2.2999999999999998</v>
      </c>
    </row>
    <row r="41" spans="3:23" x14ac:dyDescent="0.25">
      <c r="C41" t="s">
        <v>34</v>
      </c>
      <c r="D41">
        <v>2.1</v>
      </c>
    </row>
    <row r="42" spans="3:23" x14ac:dyDescent="0.25">
      <c r="T42" t="s">
        <v>73</v>
      </c>
      <c r="U42">
        <f>+$U$31+$W$40*SQRT($U$35)</f>
        <v>26.984166223456626</v>
      </c>
    </row>
    <row r="43" spans="3:23" x14ac:dyDescent="0.25">
      <c r="T43" t="s">
        <v>62</v>
      </c>
      <c r="U43">
        <f>+$U$31-$W$40*SQRT($U$35)</f>
        <v>12.88250044321004</v>
      </c>
    </row>
    <row r="45" spans="3:23" x14ac:dyDescent="0.25">
      <c r="T45" t="s">
        <v>74</v>
      </c>
      <c r="U45">
        <f>+U31/SQRT(U35)</f>
        <v>6.5023051008467414</v>
      </c>
    </row>
    <row r="46" spans="3:23" x14ac:dyDescent="0.25">
      <c r="T46" t="s">
        <v>75</v>
      </c>
      <c r="U46">
        <f>+U32/SQRT(U36)</f>
        <v>8.7515369920375203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Hoja1 (2)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Carlos</dc:creator>
  <cp:lastModifiedBy>Roberto Carlos</cp:lastModifiedBy>
  <dcterms:created xsi:type="dcterms:W3CDTF">2021-02-18T17:37:05Z</dcterms:created>
  <dcterms:modified xsi:type="dcterms:W3CDTF">2021-08-21T02:33:10Z</dcterms:modified>
</cp:coreProperties>
</file>