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esktop\Ciclo-2020-2\JP\"/>
    </mc:Choice>
  </mc:AlternateContent>
  <xr:revisionPtr revIDLastSave="0" documentId="13_ncr:1_{583B09C4-3120-4C65-9A90-CB84DE6B906D}" xr6:coauthVersionLast="47" xr6:coauthVersionMax="47" xr10:uidLastSave="{00000000-0000-0000-0000-000000000000}"/>
  <bookViews>
    <workbookView xWindow="-120" yWindow="-120" windowWidth="20730" windowHeight="11160" activeTab="2" xr2:uid="{8E3BAC8F-4D69-4F69-9B68-25ACD13E6D56}"/>
  </bookViews>
  <sheets>
    <sheet name="ejercicio_11" sheetId="1" r:id="rId1"/>
    <sheet name="ejercicio_12" sheetId="2" r:id="rId2"/>
    <sheet name="ejercicio_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2" l="1"/>
  <c r="E46" i="2"/>
  <c r="G42" i="2"/>
  <c r="G43" i="2"/>
  <c r="G41" i="2"/>
  <c r="L5" i="2"/>
  <c r="L6" i="2"/>
  <c r="L7" i="2"/>
  <c r="L8" i="2"/>
  <c r="L9" i="2"/>
  <c r="L10" i="2"/>
  <c r="E43" i="2" s="1"/>
  <c r="L11" i="2"/>
  <c r="L4" i="2"/>
  <c r="E41" i="2"/>
  <c r="N5" i="2"/>
  <c r="N6" i="2"/>
  <c r="N7" i="2"/>
  <c r="N8" i="2"/>
  <c r="N9" i="2"/>
  <c r="N10" i="2"/>
  <c r="N11" i="2"/>
  <c r="N4" i="2"/>
  <c r="M12" i="2"/>
  <c r="M5" i="2"/>
  <c r="M6" i="2"/>
  <c r="M7" i="2"/>
  <c r="M8" i="2"/>
  <c r="M9" i="2"/>
  <c r="M10" i="2"/>
  <c r="M11" i="2"/>
  <c r="M4" i="2"/>
  <c r="F12" i="2"/>
  <c r="E42" i="2"/>
  <c r="L24" i="2"/>
  <c r="D20" i="2" a="1"/>
  <c r="D20" i="2" s="1"/>
  <c r="D15" i="2" a="1"/>
  <c r="D15" i="2" s="1"/>
  <c r="I15" i="2" s="1" a="1"/>
  <c r="P60" i="1"/>
  <c r="P59" i="1"/>
  <c r="P62" i="1"/>
  <c r="M75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58" i="1"/>
  <c r="I66" i="1" a="1"/>
  <c r="I66" i="1" s="1"/>
  <c r="I62" i="1" a="1"/>
  <c r="I62" i="1" s="1"/>
  <c r="I56" i="1" a="1"/>
  <c r="I56" i="1" s="1"/>
  <c r="Q30" i="1"/>
  <c r="Q29" i="1"/>
  <c r="N21" i="1"/>
  <c r="P36" i="1"/>
  <c r="P35" i="1"/>
  <c r="P38" i="1"/>
  <c r="N30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4" i="1"/>
  <c r="I47" i="1" a="1"/>
  <c r="I47" i="1" s="1"/>
  <c r="I43" i="1" a="1"/>
  <c r="I43" i="1" s="1"/>
  <c r="I34" i="1" a="1"/>
  <c r="I34" i="1" s="1"/>
  <c r="N11" i="1" a="1"/>
  <c r="N11" i="1" s="1"/>
  <c r="N5" i="1" a="1"/>
  <c r="N5" i="1" s="1"/>
  <c r="N16" i="1" s="1" a="1"/>
  <c r="N16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R16" i="1" s="1"/>
  <c r="F17" i="1"/>
  <c r="F18" i="1"/>
  <c r="F19" i="1"/>
  <c r="F20" i="1"/>
  <c r="F21" i="1"/>
  <c r="F3" i="1"/>
  <c r="F22" i="1" s="1"/>
  <c r="I15" i="2" l="1"/>
  <c r="G17" i="1"/>
  <c r="G7" i="1"/>
  <c r="G15" i="1"/>
  <c r="G8" i="1"/>
  <c r="G11" i="1"/>
  <c r="G19" i="1"/>
  <c r="R14" i="1"/>
  <c r="R6" i="1"/>
  <c r="R21" i="1"/>
  <c r="R5" i="1"/>
  <c r="G20" i="1"/>
  <c r="G12" i="1"/>
  <c r="G4" i="1"/>
  <c r="S7" i="1"/>
  <c r="S15" i="1"/>
  <c r="S8" i="1"/>
  <c r="S16" i="1"/>
  <c r="S18" i="1"/>
  <c r="S6" i="1"/>
  <c r="S4" i="1"/>
  <c r="R20" i="1"/>
  <c r="S9" i="1"/>
  <c r="S17" i="1"/>
  <c r="R7" i="1"/>
  <c r="R15" i="1"/>
  <c r="S10" i="1"/>
  <c r="R8" i="1"/>
  <c r="S11" i="1"/>
  <c r="S19" i="1"/>
  <c r="R9" i="1"/>
  <c r="R17" i="1"/>
  <c r="S12" i="1"/>
  <c r="S20" i="1"/>
  <c r="S5" i="1"/>
  <c r="S13" i="1"/>
  <c r="S21" i="1"/>
  <c r="S14" i="1"/>
  <c r="R12" i="1"/>
  <c r="G9" i="1"/>
  <c r="R13" i="1"/>
  <c r="R19" i="1"/>
  <c r="R11" i="1"/>
  <c r="R18" i="1"/>
  <c r="R10" i="1"/>
  <c r="G18" i="1"/>
  <c r="G10" i="1"/>
  <c r="G16" i="1"/>
  <c r="G3" i="1"/>
  <c r="G14" i="1"/>
  <c r="G6" i="1"/>
  <c r="R4" i="1"/>
  <c r="G21" i="1"/>
  <c r="G13" i="1"/>
  <c r="G5" i="1"/>
  <c r="K5" i="2" l="1"/>
  <c r="K7" i="2"/>
  <c r="K8" i="2"/>
  <c r="K9" i="2"/>
  <c r="K10" i="2"/>
  <c r="K4" i="2"/>
  <c r="L17" i="2" s="1"/>
  <c r="J20" i="2" s="1" a="1"/>
  <c r="K11" i="2"/>
  <c r="K6" i="2"/>
  <c r="N29" i="1"/>
  <c r="N22" i="1"/>
  <c r="N24" i="1" s="1" a="1"/>
  <c r="N24" i="1" s="1"/>
  <c r="J20" i="2" l="1"/>
  <c r="I37" i="2"/>
  <c r="J36" i="2"/>
  <c r="I27" i="2"/>
  <c r="I32" i="2" s="1"/>
  <c r="I26" i="2"/>
  <c r="I31" i="2" s="1"/>
  <c r="J37" i="2"/>
  <c r="I36" i="2"/>
  <c r="I35" i="2" l="1"/>
  <c r="J35" i="2"/>
  <c r="I25" i="2"/>
  <c r="I3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<sst xmlns="http://schemas.openxmlformats.org/spreadsheetml/2006/main" count="98" uniqueCount="57">
  <si>
    <t>Año</t>
  </si>
  <si>
    <t>cexp</t>
  </si>
  <si>
    <t>cpex</t>
  </si>
  <si>
    <t>cwpbi</t>
  </si>
  <si>
    <t>Y</t>
  </si>
  <si>
    <t>X</t>
  </si>
  <si>
    <t>intercepto</t>
  </si>
  <si>
    <t>cwpbi(-1)</t>
  </si>
  <si>
    <t>beta</t>
  </si>
  <si>
    <t>X'X^-1</t>
  </si>
  <si>
    <t>X'Y</t>
  </si>
  <si>
    <t>e</t>
  </si>
  <si>
    <t>y_estimado</t>
  </si>
  <si>
    <t>s^2</t>
  </si>
  <si>
    <t>n-k</t>
  </si>
  <si>
    <t>Var(beta)</t>
  </si>
  <si>
    <t>R2</t>
  </si>
  <si>
    <t>y</t>
  </si>
  <si>
    <t>R2_ajustado</t>
  </si>
  <si>
    <t>Modelo sin cwpbi(-1)</t>
  </si>
  <si>
    <t>X'X^(-1)</t>
  </si>
  <si>
    <t>b*</t>
  </si>
  <si>
    <t>Akaike</t>
  </si>
  <si>
    <t>Schwarz</t>
  </si>
  <si>
    <t>R_ajustado</t>
  </si>
  <si>
    <t>n</t>
  </si>
  <si>
    <t>k</t>
  </si>
  <si>
    <t>Modelo sin cpex</t>
  </si>
  <si>
    <t xml:space="preserve">Los estadisticos muestran que el modelo sin el crecimiento del indice de las exportacaiones se ajustan mejor a los datos de tasa de crecimiento de las exportaciones peruanas. </t>
  </si>
  <si>
    <t>Notas en matemáticas</t>
  </si>
  <si>
    <t>Horas de estudio</t>
  </si>
  <si>
    <t>Años de educación de los padres</t>
  </si>
  <si>
    <t>a)</t>
  </si>
  <si>
    <t>Coeficientes</t>
  </si>
  <si>
    <t>(X'X)^-1</t>
  </si>
  <si>
    <t>b)</t>
  </si>
  <si>
    <t>estadístico - t</t>
  </si>
  <si>
    <t>Varianza(beta)</t>
  </si>
  <si>
    <t>b1</t>
  </si>
  <si>
    <t>b2</t>
  </si>
  <si>
    <t>b3</t>
  </si>
  <si>
    <t>valor crítico</t>
  </si>
  <si>
    <t>p-value</t>
  </si>
  <si>
    <t>Intervalo confinaza</t>
  </si>
  <si>
    <t>L_inf</t>
  </si>
  <si>
    <t>L_sup</t>
  </si>
  <si>
    <t>Fuente de variación</t>
  </si>
  <si>
    <t>Suma de cuadrados</t>
  </si>
  <si>
    <t>Grados de libertad</t>
  </si>
  <si>
    <t>Suma media de cuadrados</t>
  </si>
  <si>
    <t>Modelo</t>
  </si>
  <si>
    <t>Residuo</t>
  </si>
  <si>
    <t>Total</t>
  </si>
  <si>
    <t>promedio</t>
  </si>
  <si>
    <t>Y*</t>
  </si>
  <si>
    <t>y*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</si>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</sst>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0" fontId="0" fillId="0" borderId="0" xfId="1" applyNumberFormat="1" applyFont="1"/>
    <xf numFmtId="16" fontId="0" fillId="0" borderId="0" xfId="0" quotePrefix="1" applyNumberFormat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0" fillId="0" borderId="0" xfId="0" applyFill="1" applyBorder="1"/>
    <xf numFmtId="0" fontId="0" fillId="0" borderId="8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errores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ejercicio_11!$R$4:$R$21</c:f>
              <c:numCache>
                <c:formatCode>General</c:formatCode>
                <c:ptCount val="18"/>
                <c:pt idx="0">
                  <c:v>0.51098923187287815</c:v>
                </c:pt>
                <c:pt idx="1">
                  <c:v>3.1822616240819936</c:v>
                </c:pt>
                <c:pt idx="2">
                  <c:v>-2.34884023587282</c:v>
                </c:pt>
                <c:pt idx="3">
                  <c:v>-0.76347607204447721</c:v>
                </c:pt>
                <c:pt idx="4">
                  <c:v>-2.6874522995047778</c:v>
                </c:pt>
                <c:pt idx="5">
                  <c:v>8.8515173601654507E-2</c:v>
                </c:pt>
                <c:pt idx="6">
                  <c:v>3.4884235714033691</c:v>
                </c:pt>
                <c:pt idx="7">
                  <c:v>0.76481361988003926</c:v>
                </c:pt>
                <c:pt idx="8">
                  <c:v>6.2778439916582567</c:v>
                </c:pt>
                <c:pt idx="9">
                  <c:v>5.5323658540346106</c:v>
                </c:pt>
                <c:pt idx="10">
                  <c:v>-6.854737638532459</c:v>
                </c:pt>
                <c:pt idx="11">
                  <c:v>-2.6743090629995629</c:v>
                </c:pt>
                <c:pt idx="12">
                  <c:v>2.2190542118584231</c:v>
                </c:pt>
                <c:pt idx="13">
                  <c:v>0.253844172057482</c:v>
                </c:pt>
                <c:pt idx="14">
                  <c:v>-0.5198371689440302</c:v>
                </c:pt>
                <c:pt idx="15">
                  <c:v>0.25526689838312366</c:v>
                </c:pt>
                <c:pt idx="16">
                  <c:v>-2.0169677320768926</c:v>
                </c:pt>
                <c:pt idx="17">
                  <c:v>-4.7077581388576526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9-47D1-B470-CE1502024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375999"/>
        <c:axId val="1131377663"/>
      </c:scatterChart>
      <c:valAx>
        <c:axId val="113137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1377663"/>
        <c:crosses val="autoZero"/>
        <c:crossBetween val="midCat"/>
      </c:valAx>
      <c:valAx>
        <c:axId val="113137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137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590550</xdr:colOff>
      <xdr:row>1</xdr:row>
      <xdr:rowOff>176212</xdr:rowOff>
    </xdr:from>
    <xdr:to>
      <xdr:col>25</xdr:col>
      <xdr:colOff>590550</xdr:colOff>
      <xdr:row>16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F18CF8-4C40-46F0-B78B-4CA872DDA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C54B-0545-401B-8905-15F59189B575}">
  <dimension ref="B1:T75"/>
  <sheetViews>
    <sheetView topLeftCell="J27" workbookViewId="0">
      <selection activeCell="L49" sqref="L49"/>
    </sheetView>
  </sheetViews>
  <sheetFormatPr baseColWidth="10" defaultRowHeight="15" x14ac:dyDescent="0.25"/>
  <cols>
    <col min="18" max="18" width="12.7109375" bestFit="1" customWidth="1"/>
  </cols>
  <sheetData>
    <row r="1" spans="2:19" ht="15.75" thickBot="1" x14ac:dyDescent="0.3">
      <c r="H1" s="11" t="s">
        <v>5</v>
      </c>
    </row>
    <row r="2" spans="2:19" ht="15.75" thickBot="1" x14ac:dyDescent="0.3">
      <c r="B2" s="2" t="s">
        <v>0</v>
      </c>
      <c r="C2" s="3" t="s">
        <v>1</v>
      </c>
      <c r="D2" s="3" t="s">
        <v>2</v>
      </c>
      <c r="E2" s="4" t="s">
        <v>3</v>
      </c>
      <c r="F2" s="11" t="s">
        <v>4</v>
      </c>
      <c r="G2" s="11" t="s">
        <v>17</v>
      </c>
      <c r="H2" s="11" t="s">
        <v>6</v>
      </c>
      <c r="I2" s="12" t="s">
        <v>3</v>
      </c>
      <c r="J2" s="11" t="s">
        <v>7</v>
      </c>
      <c r="K2" s="11" t="s">
        <v>2</v>
      </c>
      <c r="R2" s="13" t="s">
        <v>11</v>
      </c>
      <c r="S2" s="20" t="s">
        <v>12</v>
      </c>
    </row>
    <row r="3" spans="2:19" x14ac:dyDescent="0.25">
      <c r="B3" s="5">
        <v>1995</v>
      </c>
      <c r="C3" s="6">
        <v>5.39</v>
      </c>
      <c r="D3" s="6">
        <v>17.8</v>
      </c>
      <c r="E3" s="7">
        <v>2.99</v>
      </c>
      <c r="F3">
        <f>+C3</f>
        <v>5.39</v>
      </c>
      <c r="G3">
        <f>+F3-$F$22</f>
        <v>-0.87684210526315898</v>
      </c>
      <c r="H3">
        <v>1</v>
      </c>
      <c r="I3" s="6">
        <v>2.99</v>
      </c>
      <c r="K3">
        <v>17.8</v>
      </c>
    </row>
    <row r="4" spans="2:19" ht="15.75" thickBot="1" x14ac:dyDescent="0.3">
      <c r="B4" s="5">
        <v>1996</v>
      </c>
      <c r="C4" s="6">
        <v>8.49</v>
      </c>
      <c r="D4" s="6">
        <v>-1.27</v>
      </c>
      <c r="E4" s="7">
        <v>3.26</v>
      </c>
      <c r="F4">
        <f>+C4</f>
        <v>8.49</v>
      </c>
      <c r="G4">
        <f>+F4-$F$22</f>
        <v>2.2231578947368416</v>
      </c>
      <c r="H4">
        <v>1</v>
      </c>
      <c r="I4" s="6">
        <v>3.26</v>
      </c>
      <c r="J4" s="6">
        <v>2.99</v>
      </c>
      <c r="K4">
        <v>-1.27</v>
      </c>
      <c r="R4">
        <f>+F4-$N$16-$N$17*I4-$N$18*J4-$N$19*K4</f>
        <v>0.51098923187287815</v>
      </c>
      <c r="S4">
        <f>+$N$16+$N$17*I4+$N$18*J4+$N$19*K4</f>
        <v>7.9790107681271216</v>
      </c>
    </row>
    <row r="5" spans="2:19" x14ac:dyDescent="0.25">
      <c r="B5" s="5">
        <v>1997</v>
      </c>
      <c r="C5" s="6">
        <v>12.31</v>
      </c>
      <c r="D5" s="6">
        <v>-0.34</v>
      </c>
      <c r="E5" s="7">
        <v>3.7</v>
      </c>
      <c r="F5">
        <f>+C5</f>
        <v>12.31</v>
      </c>
      <c r="G5">
        <f>+F5-$F$22</f>
        <v>6.0431578947368418</v>
      </c>
      <c r="H5">
        <v>1</v>
      </c>
      <c r="I5" s="6">
        <v>3.7</v>
      </c>
      <c r="J5" s="6">
        <v>3.26</v>
      </c>
      <c r="K5">
        <v>-0.34</v>
      </c>
      <c r="M5" s="12" t="s">
        <v>9</v>
      </c>
      <c r="N5" s="14" cm="1">
        <f t="array" ref="N5:Q8">+MINVERSE(MMULT(TRANSPOSE(H4:K21),H4:K21))</f>
        <v>0.66984439271057661</v>
      </c>
      <c r="O5" s="15">
        <v>-0.18045165985484518</v>
      </c>
      <c r="P5" s="15">
        <v>-5.7541074515170314E-2</v>
      </c>
      <c r="Q5" s="16">
        <v>1.026928451422157E-2</v>
      </c>
      <c r="R5">
        <f t="shared" ref="R5:R21" si="0">+F5-$N$16-$N$17*I5-$N$18*J5-$N$19*K5</f>
        <v>3.1822616240819936</v>
      </c>
      <c r="S5">
        <f t="shared" ref="S5:S21" si="1">+$N$16+$N$17*I5+$N$18*J5+$N$19*K5</f>
        <v>9.1277383759180069</v>
      </c>
    </row>
    <row r="6" spans="2:19" x14ac:dyDescent="0.25">
      <c r="B6" s="5">
        <v>1998</v>
      </c>
      <c r="C6" s="6">
        <v>5.42</v>
      </c>
      <c r="D6" s="6">
        <v>-11.13</v>
      </c>
      <c r="E6" s="7">
        <v>2.4900000000000002</v>
      </c>
      <c r="F6">
        <f>+C6</f>
        <v>5.42</v>
      </c>
      <c r="G6">
        <f>+F6-$F$22</f>
        <v>-0.84684210526315873</v>
      </c>
      <c r="H6">
        <v>1</v>
      </c>
      <c r="I6" s="6">
        <v>2.4900000000000002</v>
      </c>
      <c r="J6" s="6">
        <v>3.7</v>
      </c>
      <c r="K6">
        <v>-11.13</v>
      </c>
      <c r="M6" s="12"/>
      <c r="N6" s="5">
        <v>-0.1804516598548454</v>
      </c>
      <c r="O6" s="6">
        <v>7.9667038069253793E-2</v>
      </c>
      <c r="P6" s="6">
        <v>-6.7988778850452611E-3</v>
      </c>
      <c r="Q6" s="7">
        <v>-4.6886443027047055E-3</v>
      </c>
      <c r="R6">
        <f t="shared" si="0"/>
        <v>-2.34884023587282</v>
      </c>
      <c r="S6">
        <f t="shared" si="1"/>
        <v>7.7688402358728199</v>
      </c>
    </row>
    <row r="7" spans="2:19" x14ac:dyDescent="0.25">
      <c r="B7" s="5">
        <v>1999</v>
      </c>
      <c r="C7" s="6">
        <v>7.36</v>
      </c>
      <c r="D7" s="6">
        <v>-7.66</v>
      </c>
      <c r="E7" s="7">
        <v>3.38</v>
      </c>
      <c r="F7">
        <f>+C7</f>
        <v>7.36</v>
      </c>
      <c r="G7">
        <f>+F7-$F$22</f>
        <v>1.0931578947368417</v>
      </c>
      <c r="H7">
        <v>1</v>
      </c>
      <c r="I7" s="6">
        <v>3.38</v>
      </c>
      <c r="J7" s="6">
        <v>2.4900000000000002</v>
      </c>
      <c r="K7">
        <v>-7.66</v>
      </c>
      <c r="M7" s="12"/>
      <c r="N7" s="5">
        <v>-5.7541074515170286E-2</v>
      </c>
      <c r="O7" s="6">
        <v>-6.7988778850452741E-3</v>
      </c>
      <c r="P7" s="6">
        <v>2.6680403139374389E-2</v>
      </c>
      <c r="Q7" s="7">
        <v>3.5784089626838774E-4</v>
      </c>
      <c r="R7">
        <f t="shared" si="0"/>
        <v>-0.76347607204447721</v>
      </c>
      <c r="S7">
        <f t="shared" si="1"/>
        <v>8.123476072044479</v>
      </c>
    </row>
    <row r="8" spans="2:19" ht="15.75" thickBot="1" x14ac:dyDescent="0.3">
      <c r="B8" s="5">
        <v>2000</v>
      </c>
      <c r="C8" s="6">
        <v>7.68</v>
      </c>
      <c r="D8" s="6">
        <v>3.47</v>
      </c>
      <c r="E8" s="7">
        <v>4.3499999999999996</v>
      </c>
      <c r="F8">
        <f>+C8</f>
        <v>7.68</v>
      </c>
      <c r="G8">
        <f>+F8-$F$22</f>
        <v>1.4131578947368411</v>
      </c>
      <c r="H8">
        <v>1</v>
      </c>
      <c r="I8" s="6">
        <v>4.3499999999999996</v>
      </c>
      <c r="J8" s="6">
        <v>3.38</v>
      </c>
      <c r="K8">
        <v>3.47</v>
      </c>
      <c r="M8" s="12"/>
      <c r="N8" s="8">
        <v>1.0269284514221627E-2</v>
      </c>
      <c r="O8" s="9">
        <v>-4.6886443027047212E-3</v>
      </c>
      <c r="P8" s="9">
        <v>3.5784089626838563E-4</v>
      </c>
      <c r="Q8" s="10">
        <v>4.0484487859702994E-4</v>
      </c>
      <c r="R8">
        <f t="shared" si="0"/>
        <v>-2.6874522995047778</v>
      </c>
      <c r="S8">
        <f t="shared" si="1"/>
        <v>10.367452299504778</v>
      </c>
    </row>
    <row r="9" spans="2:19" x14ac:dyDescent="0.25">
      <c r="B9" s="5">
        <v>2001</v>
      </c>
      <c r="C9" s="6">
        <v>6.6</v>
      </c>
      <c r="D9" s="6">
        <v>-4.87</v>
      </c>
      <c r="E9" s="7">
        <v>1.76</v>
      </c>
      <c r="F9">
        <f>+C9</f>
        <v>6.6</v>
      </c>
      <c r="G9">
        <f>+F9-$F$22</f>
        <v>0.33315789473684099</v>
      </c>
      <c r="H9">
        <v>1</v>
      </c>
      <c r="I9" s="6">
        <v>1.76</v>
      </c>
      <c r="J9" s="6">
        <v>4.3499999999999996</v>
      </c>
      <c r="K9">
        <v>-4.87</v>
      </c>
      <c r="M9" s="12"/>
      <c r="R9">
        <f t="shared" si="0"/>
        <v>8.8515173601654507E-2</v>
      </c>
      <c r="S9">
        <f t="shared" si="1"/>
        <v>6.5114848263983447</v>
      </c>
    </row>
    <row r="10" spans="2:19" ht="15.75" thickBot="1" x14ac:dyDescent="0.3">
      <c r="B10" s="5">
        <v>2002</v>
      </c>
      <c r="C10" s="6">
        <v>7.27</v>
      </c>
      <c r="D10" s="6">
        <v>3.09</v>
      </c>
      <c r="E10" s="7">
        <v>2.02</v>
      </c>
      <c r="F10">
        <f>+C10</f>
        <v>7.27</v>
      </c>
      <c r="G10">
        <f>+F10-$F$22</f>
        <v>1.0031578947368409</v>
      </c>
      <c r="H10">
        <v>1</v>
      </c>
      <c r="I10" s="6">
        <v>2.02</v>
      </c>
      <c r="J10" s="6">
        <v>1.76</v>
      </c>
      <c r="K10">
        <v>3.09</v>
      </c>
      <c r="M10" s="12"/>
      <c r="R10">
        <f t="shared" si="0"/>
        <v>3.4884235714033691</v>
      </c>
      <c r="S10">
        <f t="shared" si="1"/>
        <v>3.7815764285966305</v>
      </c>
    </row>
    <row r="11" spans="2:19" x14ac:dyDescent="0.25">
      <c r="B11" s="5">
        <v>2003</v>
      </c>
      <c r="C11" s="6">
        <v>5.97</v>
      </c>
      <c r="D11" s="6">
        <v>9.2200000000000006</v>
      </c>
      <c r="E11" s="7">
        <v>2.76</v>
      </c>
      <c r="F11">
        <f>+C11</f>
        <v>5.97</v>
      </c>
      <c r="G11">
        <f>+F11-$F$22</f>
        <v>-0.29684210526315891</v>
      </c>
      <c r="H11">
        <v>1</v>
      </c>
      <c r="I11" s="6">
        <v>2.76</v>
      </c>
      <c r="J11" s="6">
        <v>2.02</v>
      </c>
      <c r="K11">
        <v>9.2200000000000006</v>
      </c>
      <c r="M11" s="12" t="s">
        <v>10</v>
      </c>
      <c r="N11" s="17" cm="1">
        <f t="array" ref="N11:N14">+MMULT(TRANSPOSE(H4:K21),F4:F21)</f>
        <v>113.68000000000002</v>
      </c>
      <c r="R11">
        <f t="shared" si="0"/>
        <v>0.76481361988003926</v>
      </c>
      <c r="S11">
        <f t="shared" si="1"/>
        <v>5.2051863801199616</v>
      </c>
    </row>
    <row r="12" spans="2:19" x14ac:dyDescent="0.25">
      <c r="B12" s="5">
        <v>2004</v>
      </c>
      <c r="C12" s="6">
        <v>14.17</v>
      </c>
      <c r="D12" s="6">
        <v>22.67</v>
      </c>
      <c r="E12" s="7">
        <v>4.09</v>
      </c>
      <c r="F12">
        <f>+C12</f>
        <v>14.17</v>
      </c>
      <c r="G12">
        <f>+F12-$F$22</f>
        <v>7.9031578947368413</v>
      </c>
      <c r="H12">
        <v>1</v>
      </c>
      <c r="I12" s="6">
        <v>4.09</v>
      </c>
      <c r="J12" s="6">
        <v>2.76</v>
      </c>
      <c r="K12">
        <v>22.67</v>
      </c>
      <c r="N12" s="18">
        <v>366.60439999999994</v>
      </c>
      <c r="R12">
        <f t="shared" si="0"/>
        <v>6.2778439916582567</v>
      </c>
      <c r="S12">
        <f t="shared" si="1"/>
        <v>7.8921560083417432</v>
      </c>
    </row>
    <row r="13" spans="2:19" x14ac:dyDescent="0.25">
      <c r="B13" s="5">
        <v>2005</v>
      </c>
      <c r="C13" s="6">
        <v>14.15</v>
      </c>
      <c r="D13" s="6">
        <v>16.86</v>
      </c>
      <c r="E13" s="7">
        <v>3.58</v>
      </c>
      <c r="F13">
        <f>+C13</f>
        <v>14.15</v>
      </c>
      <c r="G13">
        <f>+F13-$F$22</f>
        <v>7.8831578947368417</v>
      </c>
      <c r="H13">
        <v>1</v>
      </c>
      <c r="I13" s="6">
        <v>3.58</v>
      </c>
      <c r="J13" s="6">
        <v>4.09</v>
      </c>
      <c r="K13">
        <v>16.86</v>
      </c>
      <c r="N13" s="18">
        <v>366.63930000000005</v>
      </c>
      <c r="R13">
        <f t="shared" si="0"/>
        <v>5.5323658540346106</v>
      </c>
      <c r="S13">
        <f t="shared" si="1"/>
        <v>8.6176341459653898</v>
      </c>
    </row>
    <row r="14" spans="2:19" ht="15.75" thickBot="1" x14ac:dyDescent="0.3">
      <c r="B14" s="5">
        <v>2006</v>
      </c>
      <c r="C14" s="6">
        <v>0.79</v>
      </c>
      <c r="D14" s="6">
        <v>36.06</v>
      </c>
      <c r="E14" s="7">
        <v>3.98</v>
      </c>
      <c r="F14">
        <f>+C14</f>
        <v>0.79</v>
      </c>
      <c r="G14">
        <f>+F14-$F$22</f>
        <v>-5.4768421052631586</v>
      </c>
      <c r="H14">
        <v>1</v>
      </c>
      <c r="I14" s="6">
        <v>3.98</v>
      </c>
      <c r="J14" s="6">
        <v>3.58</v>
      </c>
      <c r="K14">
        <v>36.06</v>
      </c>
      <c r="N14" s="19">
        <v>874.52120000000002</v>
      </c>
      <c r="R14">
        <f t="shared" si="0"/>
        <v>-6.854737638532459</v>
      </c>
      <c r="S14">
        <f t="shared" si="1"/>
        <v>7.6447376385324581</v>
      </c>
    </row>
    <row r="15" spans="2:19" ht="15.75" thickBot="1" x14ac:dyDescent="0.3">
      <c r="B15" s="5">
        <v>2007</v>
      </c>
      <c r="C15" s="6">
        <v>6.62</v>
      </c>
      <c r="D15" s="6">
        <v>14.39</v>
      </c>
      <c r="E15" s="7">
        <v>3.88</v>
      </c>
      <c r="F15">
        <f>+C15</f>
        <v>6.62</v>
      </c>
      <c r="G15">
        <f>+F15-$F$22</f>
        <v>0.35315789473684145</v>
      </c>
      <c r="H15">
        <v>1</v>
      </c>
      <c r="I15" s="6">
        <v>3.88</v>
      </c>
      <c r="J15" s="6">
        <v>3.98</v>
      </c>
      <c r="K15">
        <v>14.39</v>
      </c>
      <c r="R15">
        <f t="shared" si="0"/>
        <v>-2.6743090629995629</v>
      </c>
      <c r="S15">
        <f t="shared" si="1"/>
        <v>9.2943090629995613</v>
      </c>
    </row>
    <row r="16" spans="2:19" x14ac:dyDescent="0.25">
      <c r="B16" s="5">
        <v>2008</v>
      </c>
      <c r="C16" s="6">
        <v>6.86</v>
      </c>
      <c r="D16" s="6">
        <v>3.48</v>
      </c>
      <c r="E16" s="7">
        <v>1.37</v>
      </c>
      <c r="F16">
        <f>+C16</f>
        <v>6.86</v>
      </c>
      <c r="G16">
        <f>+F16-$F$22</f>
        <v>0.59315789473684166</v>
      </c>
      <c r="H16">
        <v>1</v>
      </c>
      <c r="I16" s="6">
        <v>1.37</v>
      </c>
      <c r="J16" s="6">
        <v>3.88</v>
      </c>
      <c r="K16">
        <v>3.48</v>
      </c>
      <c r="M16" s="12" t="s">
        <v>8</v>
      </c>
      <c r="N16" s="17" cm="1">
        <f t="array" ref="N16:N19">+MMULT(_xlfn.ANCHORARRAY(N5),_xlfn.ANCHORARRAY(N11))</f>
        <v>-2.1225741917226646</v>
      </c>
      <c r="R16">
        <f t="shared" si="0"/>
        <v>2.2190542118584231</v>
      </c>
      <c r="S16">
        <f t="shared" si="1"/>
        <v>4.6409457881415781</v>
      </c>
    </row>
    <row r="17" spans="2:19" x14ac:dyDescent="0.25">
      <c r="B17" s="5">
        <v>2009</v>
      </c>
      <c r="C17" s="6">
        <v>-0.73</v>
      </c>
      <c r="D17" s="6">
        <v>-62.77</v>
      </c>
      <c r="E17" s="7">
        <v>-2.13</v>
      </c>
      <c r="F17">
        <f>+C17</f>
        <v>-0.73</v>
      </c>
      <c r="G17">
        <f>+F17-$F$22</f>
        <v>-6.9968421052631591</v>
      </c>
      <c r="H17">
        <v>1</v>
      </c>
      <c r="I17" s="6">
        <v>-2.13</v>
      </c>
      <c r="J17" s="6">
        <v>1.37</v>
      </c>
      <c r="K17">
        <v>-62.77</v>
      </c>
      <c r="N17" s="18">
        <v>2.0994873283241553</v>
      </c>
      <c r="R17">
        <f t="shared" si="0"/>
        <v>0.253844172057482</v>
      </c>
      <c r="S17">
        <f t="shared" si="1"/>
        <v>-0.98384417205748242</v>
      </c>
    </row>
    <row r="18" spans="2:19" x14ac:dyDescent="0.25">
      <c r="B18" s="5">
        <v>2010</v>
      </c>
      <c r="C18" s="6">
        <v>1.31</v>
      </c>
      <c r="D18" s="6">
        <v>30.46</v>
      </c>
      <c r="E18" s="7">
        <v>3.92</v>
      </c>
      <c r="F18">
        <f>+C18</f>
        <v>1.31</v>
      </c>
      <c r="G18">
        <f>+F18-$F$22</f>
        <v>-4.9568421052631582</v>
      </c>
      <c r="H18">
        <v>1</v>
      </c>
      <c r="I18" s="6">
        <v>3.92</v>
      </c>
      <c r="J18" s="6">
        <v>-2.13</v>
      </c>
      <c r="K18">
        <v>30.46</v>
      </c>
      <c r="N18" s="18">
        <v>1.0612558821468858</v>
      </c>
      <c r="R18">
        <f t="shared" si="0"/>
        <v>-0.5198371689440302</v>
      </c>
      <c r="S18">
        <f t="shared" si="1"/>
        <v>1.8298371689440307</v>
      </c>
    </row>
    <row r="19" spans="2:19" ht="15.75" thickBot="1" x14ac:dyDescent="0.3">
      <c r="B19" s="5">
        <v>2011</v>
      </c>
      <c r="C19" s="6">
        <v>6.68</v>
      </c>
      <c r="D19" s="6">
        <v>21.57</v>
      </c>
      <c r="E19" s="7">
        <v>2.77</v>
      </c>
      <c r="F19">
        <f>+C19</f>
        <v>6.68</v>
      </c>
      <c r="G19">
        <f>+F19-$F$22</f>
        <v>0.41315789473684106</v>
      </c>
      <c r="H19">
        <v>1</v>
      </c>
      <c r="I19" s="6">
        <v>2.77</v>
      </c>
      <c r="J19" s="6">
        <v>3.92</v>
      </c>
      <c r="K19">
        <v>21.57</v>
      </c>
      <c r="N19" s="19">
        <v>-6.6221403066025142E-2</v>
      </c>
      <c r="R19">
        <f t="shared" si="0"/>
        <v>0.25526689838312366</v>
      </c>
      <c r="S19">
        <f t="shared" si="1"/>
        <v>6.4247331016168765</v>
      </c>
    </row>
    <row r="20" spans="2:19" x14ac:dyDescent="0.25">
      <c r="B20" s="5">
        <v>2012</v>
      </c>
      <c r="C20" s="6">
        <v>3.65</v>
      </c>
      <c r="D20" s="6">
        <v>-2.2200000000000002</v>
      </c>
      <c r="E20" s="7">
        <v>2.2400000000000002</v>
      </c>
      <c r="F20">
        <f>+C20</f>
        <v>3.65</v>
      </c>
      <c r="G20">
        <f>+F20-$F$22</f>
        <v>-2.6168421052631587</v>
      </c>
      <c r="H20">
        <v>1</v>
      </c>
      <c r="I20" s="6">
        <v>2.2400000000000002</v>
      </c>
      <c r="J20" s="6">
        <v>2.77</v>
      </c>
      <c r="K20">
        <v>-2.2200000000000002</v>
      </c>
      <c r="M20" s="12" t="s">
        <v>25</v>
      </c>
      <c r="N20">
        <v>18</v>
      </c>
      <c r="O20" s="12" t="s">
        <v>26</v>
      </c>
      <c r="P20">
        <v>4</v>
      </c>
      <c r="R20">
        <f t="shared" si="0"/>
        <v>-2.0169677320768926</v>
      </c>
      <c r="S20">
        <f t="shared" si="1"/>
        <v>5.6669677320768939</v>
      </c>
    </row>
    <row r="21" spans="2:19" ht="15.75" thickBot="1" x14ac:dyDescent="0.3">
      <c r="B21" s="8">
        <v>2013</v>
      </c>
      <c r="C21" s="9">
        <v>-0.92</v>
      </c>
      <c r="D21" s="9">
        <v>-5.48</v>
      </c>
      <c r="E21" s="10">
        <v>1.51</v>
      </c>
      <c r="F21">
        <f>+C21</f>
        <v>-0.92</v>
      </c>
      <c r="G21">
        <f>+F21-$F$22</f>
        <v>-7.1868421052631586</v>
      </c>
      <c r="H21">
        <v>1</v>
      </c>
      <c r="I21" s="6">
        <v>1.51</v>
      </c>
      <c r="J21" s="6">
        <v>2.2400000000000002</v>
      </c>
      <c r="K21">
        <v>-5.48</v>
      </c>
      <c r="M21" s="12" t="s">
        <v>14</v>
      </c>
      <c r="N21" s="27">
        <f>+N20-P20</f>
        <v>14</v>
      </c>
      <c r="O21" s="26"/>
      <c r="R21">
        <f t="shared" si="0"/>
        <v>-4.7077581388576526</v>
      </c>
      <c r="S21">
        <f t="shared" si="1"/>
        <v>3.7877581388576522</v>
      </c>
    </row>
    <row r="22" spans="2:19" x14ac:dyDescent="0.25">
      <c r="F22">
        <f>+AVERAGE(F3:F21)</f>
        <v>6.2668421052631587</v>
      </c>
      <c r="M22" s="12" t="s">
        <v>13</v>
      </c>
      <c r="N22">
        <f>+SUMSQ(R4:R20)/N21</f>
        <v>12.144433016924626</v>
      </c>
    </row>
    <row r="24" spans="2:19" x14ac:dyDescent="0.25">
      <c r="M24" s="12" t="s">
        <v>15</v>
      </c>
      <c r="N24" cm="1">
        <f t="array" ref="N24:Q27">+N22*_xlfn.ANCHORARRAY(N5)</f>
        <v>8.1348803590361527</v>
      </c>
      <c r="O24">
        <v>-2.191483095900034</v>
      </c>
      <c r="P24">
        <v>-0.69880372517135458</v>
      </c>
      <c r="Q24">
        <v>0.1247146379147052</v>
      </c>
    </row>
    <row r="25" spans="2:19" x14ac:dyDescent="0.25">
      <c r="N25">
        <v>-2.1914830959000366</v>
      </c>
      <c r="O25">
        <v>0.96751100748883689</v>
      </c>
      <c r="P25">
        <v>-8.256851706518234E-2</v>
      </c>
      <c r="Q25">
        <v>-5.6940926674382566E-2</v>
      </c>
    </row>
    <row r="26" spans="2:19" x14ac:dyDescent="0.25">
      <c r="N26">
        <v>-0.69880372517135425</v>
      </c>
      <c r="O26">
        <v>-8.2568517065182506E-2</v>
      </c>
      <c r="P26">
        <v>0.3240183687906778</v>
      </c>
      <c r="Q26">
        <v>4.3457747954477087E-3</v>
      </c>
    </row>
    <row r="27" spans="2:19" x14ac:dyDescent="0.25">
      <c r="N27">
        <v>0.1247146379147059</v>
      </c>
      <c r="O27">
        <v>-5.6940926674382761E-2</v>
      </c>
      <c r="P27">
        <v>4.3457747954476827E-3</v>
      </c>
      <c r="Q27">
        <v>4.9166115103666122E-3</v>
      </c>
    </row>
    <row r="29" spans="2:19" x14ac:dyDescent="0.25">
      <c r="M29" s="12" t="s">
        <v>16</v>
      </c>
      <c r="N29" s="21">
        <f>1-SUMSQ(R4:R21)/SUMSQ(G4:G21)</f>
        <v>0.42433464495421469</v>
      </c>
      <c r="P29" s="12" t="s">
        <v>22</v>
      </c>
      <c r="Q29">
        <f>+LN(SUMSQ(R4:R21)/N20)+2*P20/N20</f>
        <v>2.8125313909376448</v>
      </c>
    </row>
    <row r="30" spans="2:19" ht="15.75" thickBot="1" x14ac:dyDescent="0.3">
      <c r="M30" s="12" t="s">
        <v>18</v>
      </c>
      <c r="N30" s="21">
        <f>1-(17/14)*SUMSQ(R4:R21)/SUMSQ(G4:G21)</f>
        <v>0.30097778315868939</v>
      </c>
      <c r="P30" s="12" t="s">
        <v>23</v>
      </c>
      <c r="Q30">
        <f>+LN(SUMSQ(R4:R21)/N20)+P20*LN(N20)/N20</f>
        <v>3.0103917815812369</v>
      </c>
    </row>
    <row r="31" spans="2:19" ht="15.75" thickBot="1" x14ac:dyDescent="0.3">
      <c r="B31" s="23" t="s">
        <v>19</v>
      </c>
      <c r="C31" s="24"/>
    </row>
    <row r="33" spans="2:16" x14ac:dyDescent="0.25">
      <c r="B33" s="1" t="s">
        <v>4</v>
      </c>
      <c r="C33" s="1" t="s">
        <v>17</v>
      </c>
      <c r="D33" s="1" t="s">
        <v>6</v>
      </c>
      <c r="E33" s="1" t="s">
        <v>3</v>
      </c>
      <c r="F33" s="1" t="s">
        <v>2</v>
      </c>
      <c r="M33" s="1" t="s">
        <v>11</v>
      </c>
      <c r="O33" s="12" t="s">
        <v>25</v>
      </c>
      <c r="P33">
        <v>19</v>
      </c>
    </row>
    <row r="34" spans="2:16" x14ac:dyDescent="0.25">
      <c r="B34">
        <v>5.39</v>
      </c>
      <c r="C34">
        <v>-0.87684210526315898</v>
      </c>
      <c r="D34">
        <v>1</v>
      </c>
      <c r="E34">
        <v>2.99</v>
      </c>
      <c r="F34">
        <v>17.8</v>
      </c>
      <c r="H34" s="12" t="s">
        <v>20</v>
      </c>
      <c r="I34" cm="1">
        <f t="array" ref="I34:K36">+MINVERSE(MMULT(TRANSPOSE(D34:F52),D34:F52))</f>
        <v>0.52292490100102107</v>
      </c>
      <c r="J34">
        <v>-0.18880532118797186</v>
      </c>
      <c r="K34">
        <v>1.0406806156967466E-2</v>
      </c>
      <c r="M34">
        <f>+B34-$I$47-$I$48*E34-$I$49*F34</f>
        <v>-0.38890575077785172</v>
      </c>
      <c r="O34" s="12" t="s">
        <v>26</v>
      </c>
      <c r="P34">
        <v>3</v>
      </c>
    </row>
    <row r="35" spans="2:16" x14ac:dyDescent="0.25">
      <c r="B35">
        <v>8.49</v>
      </c>
      <c r="C35">
        <v>2.2231578947368416</v>
      </c>
      <c r="D35">
        <v>1</v>
      </c>
      <c r="E35">
        <v>3.26</v>
      </c>
      <c r="F35">
        <v>-1.27</v>
      </c>
      <c r="H35" s="12"/>
      <c r="I35">
        <v>-0.18880532118797194</v>
      </c>
      <c r="J35">
        <v>7.6190220056092633E-2</v>
      </c>
      <c r="K35">
        <v>-4.4221183576246582E-3</v>
      </c>
      <c r="M35">
        <f t="shared" ref="M35:M52" si="2">+B35-$I$47-$I$48*E35-$I$49*F35</f>
        <v>0.4995769220784958</v>
      </c>
      <c r="O35" s="12" t="s">
        <v>22</v>
      </c>
      <c r="P35">
        <f>+LN(SUMSQ(M34:M52)/P33)+2*P34/P33</f>
        <v>2.8290853930624715</v>
      </c>
    </row>
    <row r="36" spans="2:16" x14ac:dyDescent="0.25">
      <c r="B36">
        <v>12.31</v>
      </c>
      <c r="C36">
        <v>6.0431578947368418</v>
      </c>
      <c r="D36">
        <v>1</v>
      </c>
      <c r="E36">
        <v>3.7</v>
      </c>
      <c r="F36">
        <v>-0.34</v>
      </c>
      <c r="H36" s="12"/>
      <c r="I36">
        <v>1.0406806156967492E-2</v>
      </c>
      <c r="J36">
        <v>-4.422118357624666E-3</v>
      </c>
      <c r="K36">
        <v>3.8242011455046543E-4</v>
      </c>
      <c r="M36">
        <f t="shared" si="2"/>
        <v>3.3457143421668905</v>
      </c>
      <c r="O36" s="12" t="s">
        <v>23</v>
      </c>
      <c r="P36">
        <f>+LN(SUMSQ(M34:M52)/P33)+P34*LN(P33)/P33</f>
        <v>2.9782073371413831</v>
      </c>
    </row>
    <row r="37" spans="2:16" x14ac:dyDescent="0.25">
      <c r="B37">
        <v>5.42</v>
      </c>
      <c r="C37">
        <v>-0.84684210526315873</v>
      </c>
      <c r="D37">
        <v>1</v>
      </c>
      <c r="E37">
        <v>2.4900000000000002</v>
      </c>
      <c r="F37">
        <v>-11.13</v>
      </c>
      <c r="H37" s="12"/>
      <c r="M37">
        <f t="shared" si="2"/>
        <v>-1.5426469542343264</v>
      </c>
    </row>
    <row r="38" spans="2:16" x14ac:dyDescent="0.25">
      <c r="B38">
        <v>7.36</v>
      </c>
      <c r="C38">
        <v>1.0931578947368417</v>
      </c>
      <c r="D38">
        <v>1</v>
      </c>
      <c r="E38">
        <v>3.38</v>
      </c>
      <c r="F38">
        <v>-7.66</v>
      </c>
      <c r="H38" s="12"/>
      <c r="M38">
        <f t="shared" si="2"/>
        <v>-1.4419447883618646</v>
      </c>
      <c r="O38" s="12" t="s">
        <v>24</v>
      </c>
      <c r="P38" s="25">
        <f>1-((P33-1)/(P33-P34))*SUMSQ(M34:M52)/SUMSQ(C34:C52)</f>
        <v>0.21137936152351422</v>
      </c>
    </row>
    <row r="39" spans="2:16" x14ac:dyDescent="0.25">
      <c r="B39">
        <v>7.68</v>
      </c>
      <c r="C39">
        <v>1.4131578947368411</v>
      </c>
      <c r="D39">
        <v>1</v>
      </c>
      <c r="E39">
        <v>4.3499999999999996</v>
      </c>
      <c r="F39">
        <v>3.47</v>
      </c>
      <c r="H39" s="12"/>
      <c r="M39">
        <f t="shared" si="2"/>
        <v>-2.5227633794318418</v>
      </c>
    </row>
    <row r="40" spans="2:16" x14ac:dyDescent="0.25">
      <c r="B40">
        <v>6.6</v>
      </c>
      <c r="C40">
        <v>0.33315789473684099</v>
      </c>
      <c r="D40">
        <v>1</v>
      </c>
      <c r="E40">
        <v>1.76</v>
      </c>
      <c r="F40">
        <v>-4.87</v>
      </c>
      <c r="H40" s="12"/>
      <c r="M40">
        <f t="shared" si="2"/>
        <v>1.8942662555833238</v>
      </c>
    </row>
    <row r="41" spans="2:16" x14ac:dyDescent="0.25">
      <c r="B41">
        <v>7.27</v>
      </c>
      <c r="C41">
        <v>1.0031578947368409</v>
      </c>
      <c r="D41">
        <v>1</v>
      </c>
      <c r="E41">
        <v>2.02</v>
      </c>
      <c r="F41">
        <v>3.09</v>
      </c>
      <c r="H41" s="12"/>
      <c r="M41">
        <f t="shared" si="2"/>
        <v>2.5977360361201107</v>
      </c>
    </row>
    <row r="42" spans="2:16" x14ac:dyDescent="0.25">
      <c r="B42">
        <v>5.97</v>
      </c>
      <c r="C42">
        <v>-0.29684210526315891</v>
      </c>
      <c r="D42">
        <v>1</v>
      </c>
      <c r="E42">
        <v>2.76</v>
      </c>
      <c r="F42">
        <v>9.2200000000000006</v>
      </c>
      <c r="H42" s="12"/>
      <c r="M42">
        <f t="shared" si="2"/>
        <v>3.5067456180899015E-2</v>
      </c>
    </row>
    <row r="43" spans="2:16" x14ac:dyDescent="0.25">
      <c r="B43">
        <v>14.17</v>
      </c>
      <c r="C43">
        <v>7.9031578947368413</v>
      </c>
      <c r="D43">
        <v>1</v>
      </c>
      <c r="E43">
        <v>4.09</v>
      </c>
      <c r="F43">
        <v>22.67</v>
      </c>
      <c r="H43" s="12" t="s">
        <v>10</v>
      </c>
      <c r="I43" cm="1">
        <f t="array" ref="I43:I45">+MMULT(TRANSPOSE(D34:F52),B34:B52)</f>
        <v>119.07000000000001</v>
      </c>
      <c r="M43">
        <f t="shared" si="2"/>
        <v>6.1655662817386041</v>
      </c>
    </row>
    <row r="44" spans="2:16" x14ac:dyDescent="0.25">
      <c r="B44">
        <v>14.15</v>
      </c>
      <c r="C44">
        <v>7.8831578947368417</v>
      </c>
      <c r="D44">
        <v>1</v>
      </c>
      <c r="E44">
        <v>3.58</v>
      </c>
      <c r="F44">
        <v>16.86</v>
      </c>
      <c r="H44" s="12"/>
      <c r="I44">
        <v>382.72049999999996</v>
      </c>
      <c r="M44">
        <f t="shared" si="2"/>
        <v>6.8855185255400642</v>
      </c>
    </row>
    <row r="45" spans="2:16" x14ac:dyDescent="0.25">
      <c r="B45">
        <v>0.79</v>
      </c>
      <c r="C45">
        <v>-5.4768421052631586</v>
      </c>
      <c r="D45">
        <v>1</v>
      </c>
      <c r="E45">
        <v>3.98</v>
      </c>
      <c r="F45">
        <v>36.06</v>
      </c>
      <c r="H45" s="12"/>
      <c r="I45">
        <v>970.46320000000003</v>
      </c>
      <c r="M45">
        <f t="shared" si="2"/>
        <v>-5.8515760300339803</v>
      </c>
    </row>
    <row r="46" spans="2:16" x14ac:dyDescent="0.25">
      <c r="B46">
        <v>6.62</v>
      </c>
      <c r="C46">
        <v>0.35315789473684145</v>
      </c>
      <c r="D46">
        <v>1</v>
      </c>
      <c r="E46">
        <v>3.88</v>
      </c>
      <c r="F46">
        <v>14.39</v>
      </c>
      <c r="H46" s="12"/>
      <c r="M46">
        <f t="shared" si="2"/>
        <v>-1.5635489515823326</v>
      </c>
    </row>
    <row r="47" spans="2:16" x14ac:dyDescent="0.25">
      <c r="B47">
        <v>6.86</v>
      </c>
      <c r="C47">
        <v>0.59315789473684166</v>
      </c>
      <c r="D47">
        <v>1</v>
      </c>
      <c r="E47">
        <v>1.37</v>
      </c>
      <c r="F47">
        <v>3.48</v>
      </c>
      <c r="H47" s="12" t="s">
        <v>21</v>
      </c>
      <c r="I47" cm="1">
        <f t="array" ref="I47:I49">+MMULT(_xlfn.ANCHORARRAY(I34),_xlfn.ANCHORARRAY(I43))</f>
        <v>0.10442343934075993</v>
      </c>
      <c r="M47">
        <f t="shared" si="2"/>
        <v>3.7713373827251164</v>
      </c>
    </row>
    <row r="48" spans="2:16" x14ac:dyDescent="0.25">
      <c r="B48">
        <v>-0.73</v>
      </c>
      <c r="C48">
        <v>-6.9968421052631591</v>
      </c>
      <c r="D48">
        <v>1</v>
      </c>
      <c r="E48">
        <v>-2.13</v>
      </c>
      <c r="F48">
        <v>-62.77</v>
      </c>
      <c r="I48">
        <v>2.3870063890068041</v>
      </c>
      <c r="M48">
        <f t="shared" si="2"/>
        <v>-0.90805457876668783</v>
      </c>
    </row>
    <row r="49" spans="2:16" x14ac:dyDescent="0.25">
      <c r="B49">
        <v>1.31</v>
      </c>
      <c r="C49">
        <v>-4.9568421052631582</v>
      </c>
      <c r="D49">
        <v>1</v>
      </c>
      <c r="E49">
        <v>3.92</v>
      </c>
      <c r="F49">
        <v>30.46</v>
      </c>
      <c r="I49">
        <v>-8.2172291668160258E-2</v>
      </c>
      <c r="M49">
        <f t="shared" si="2"/>
        <v>-5.6485204800352706</v>
      </c>
    </row>
    <row r="50" spans="2:16" x14ac:dyDescent="0.25">
      <c r="B50">
        <v>6.68</v>
      </c>
      <c r="C50">
        <v>0.41315789473684106</v>
      </c>
      <c r="D50">
        <v>1</v>
      </c>
      <c r="E50">
        <v>2.77</v>
      </c>
      <c r="F50">
        <v>21.57</v>
      </c>
      <c r="M50">
        <f t="shared" si="2"/>
        <v>1.7360251943926093</v>
      </c>
    </row>
    <row r="51" spans="2:16" x14ac:dyDescent="0.25">
      <c r="B51">
        <v>3.65</v>
      </c>
      <c r="C51">
        <v>-2.6168421052631587</v>
      </c>
      <c r="D51">
        <v>1</v>
      </c>
      <c r="E51">
        <v>2.2400000000000002</v>
      </c>
      <c r="F51">
        <v>-2.2200000000000002</v>
      </c>
      <c r="M51">
        <f t="shared" si="2"/>
        <v>-1.9837402382193177</v>
      </c>
    </row>
    <row r="52" spans="2:16" x14ac:dyDescent="0.25">
      <c r="B52">
        <v>-0.92</v>
      </c>
      <c r="C52">
        <v>-7.1868421052631586</v>
      </c>
      <c r="D52">
        <v>1</v>
      </c>
      <c r="E52">
        <v>1.51</v>
      </c>
      <c r="F52">
        <v>-5.48</v>
      </c>
      <c r="M52">
        <f t="shared" si="2"/>
        <v>-5.0791072450825521</v>
      </c>
    </row>
    <row r="53" spans="2:16" ht="15.75" thickBot="1" x14ac:dyDescent="0.3"/>
    <row r="54" spans="2:16" ht="15.75" thickBot="1" x14ac:dyDescent="0.3">
      <c r="B54" s="23" t="s">
        <v>27</v>
      </c>
      <c r="C54" s="24"/>
    </row>
    <row r="56" spans="2:16" x14ac:dyDescent="0.25">
      <c r="B56" s="1" t="s">
        <v>4</v>
      </c>
      <c r="C56" s="1" t="s">
        <v>17</v>
      </c>
      <c r="D56" s="1" t="s">
        <v>6</v>
      </c>
      <c r="E56" s="1" t="s">
        <v>3</v>
      </c>
      <c r="F56" s="1" t="s">
        <v>7</v>
      </c>
      <c r="G56" s="1"/>
      <c r="H56" s="12" t="s">
        <v>20</v>
      </c>
      <c r="I56" cm="1">
        <f t="array" ref="I56:K58">+MINVERSE(MMULT(TRANSPOSE(D58:F75),D58:F75))</f>
        <v>0.40935399253683058</v>
      </c>
      <c r="J56">
        <v>-6.151963211790816E-2</v>
      </c>
      <c r="K56">
        <v>-6.661805725319786E-2</v>
      </c>
    </row>
    <row r="57" spans="2:16" x14ac:dyDescent="0.25">
      <c r="B57">
        <v>5.39</v>
      </c>
      <c r="C57">
        <v>-0.87684210526315898</v>
      </c>
      <c r="D57">
        <v>1</v>
      </c>
      <c r="E57">
        <v>2.99</v>
      </c>
      <c r="H57" s="12"/>
      <c r="I57">
        <v>-6.1519632117908174E-2</v>
      </c>
      <c r="J57">
        <v>2.5366276075011136E-2</v>
      </c>
      <c r="K57">
        <v>-2.654602464351276E-3</v>
      </c>
      <c r="M57" s="1" t="s">
        <v>11</v>
      </c>
      <c r="O57" s="12" t="s">
        <v>25</v>
      </c>
      <c r="P57">
        <v>18</v>
      </c>
    </row>
    <row r="58" spans="2:16" x14ac:dyDescent="0.25">
      <c r="B58">
        <v>8.49</v>
      </c>
      <c r="C58">
        <v>2.2231578947368416</v>
      </c>
      <c r="D58">
        <v>1</v>
      </c>
      <c r="E58">
        <v>3.26</v>
      </c>
      <c r="F58">
        <v>2.99</v>
      </c>
      <c r="H58" s="12"/>
      <c r="I58">
        <v>-6.661805725319786E-2</v>
      </c>
      <c r="J58">
        <v>-2.6546024643512777E-3</v>
      </c>
      <c r="K58">
        <v>2.6364108889868468E-2</v>
      </c>
      <c r="M58">
        <f>+B58-$I$66-$I$67*E58-$I$68*F58</f>
        <v>1.2405060361070701</v>
      </c>
      <c r="O58" s="12" t="s">
        <v>26</v>
      </c>
      <c r="P58">
        <v>3</v>
      </c>
    </row>
    <row r="59" spans="2:16" x14ac:dyDescent="0.25">
      <c r="B59">
        <v>12.31</v>
      </c>
      <c r="C59">
        <v>6.0431578947368418</v>
      </c>
      <c r="D59">
        <v>1</v>
      </c>
      <c r="E59">
        <v>3.7</v>
      </c>
      <c r="F59">
        <v>3.26</v>
      </c>
      <c r="H59" s="12"/>
      <c r="M59">
        <f t="shared" ref="M59:M76" si="3">+B59-$I$66-$I$67*E59-$I$68*F59</f>
        <v>4.1718388543251068</v>
      </c>
      <c r="O59" s="12" t="s">
        <v>22</v>
      </c>
      <c r="P59">
        <f>+LN(SUMSQ(M58:M75)/P57)+2*P58/P57</f>
        <v>2.7562514689047295</v>
      </c>
    </row>
    <row r="60" spans="2:16" x14ac:dyDescent="0.25">
      <c r="B60">
        <v>5.42</v>
      </c>
      <c r="C60">
        <v>-0.84684210526315873</v>
      </c>
      <c r="D60">
        <v>1</v>
      </c>
      <c r="E60">
        <v>2.4900000000000002</v>
      </c>
      <c r="F60">
        <v>3.7</v>
      </c>
      <c r="H60" s="12"/>
      <c r="M60">
        <f t="shared" si="3"/>
        <v>-1.5984765764251203</v>
      </c>
      <c r="O60" s="12" t="s">
        <v>23</v>
      </c>
      <c r="P60">
        <f>+LN(SUMSQ(M58:M75)/P57)+P58*LN(P57)/P57</f>
        <v>2.9046467618874234</v>
      </c>
    </row>
    <row r="61" spans="2:16" x14ac:dyDescent="0.25">
      <c r="B61">
        <v>7.36</v>
      </c>
      <c r="C61">
        <v>1.0931578947368417</v>
      </c>
      <c r="D61">
        <v>1</v>
      </c>
      <c r="E61">
        <v>3.38</v>
      </c>
      <c r="F61">
        <v>2.4900000000000002</v>
      </c>
      <c r="H61" s="12"/>
      <c r="M61">
        <f t="shared" si="3"/>
        <v>0.51049379797783168</v>
      </c>
    </row>
    <row r="62" spans="2:16" x14ac:dyDescent="0.25">
      <c r="B62">
        <v>7.68</v>
      </c>
      <c r="C62">
        <v>1.4131578947368411</v>
      </c>
      <c r="D62">
        <v>1</v>
      </c>
      <c r="E62">
        <v>4.3499999999999996</v>
      </c>
      <c r="F62">
        <v>3.38</v>
      </c>
      <c r="H62" s="12" t="s">
        <v>10</v>
      </c>
      <c r="I62" cm="1">
        <f t="array" ref="I62:I64">+MMULT(TRANSPOSE(D58:F75),B58:B75)</f>
        <v>113.68000000000002</v>
      </c>
      <c r="M62">
        <f t="shared" si="3"/>
        <v>-1.4586965779857333</v>
      </c>
      <c r="O62" s="12" t="s">
        <v>24</v>
      </c>
      <c r="P62" s="25">
        <f>1-(17/15)*SUMSQ(M58:M75)/SUMSQ(C58:C75)</f>
        <v>0.31080734792433351</v>
      </c>
    </row>
    <row r="63" spans="2:16" x14ac:dyDescent="0.25">
      <c r="B63">
        <v>6.6</v>
      </c>
      <c r="C63">
        <v>0.33315789473684099</v>
      </c>
      <c r="D63">
        <v>1</v>
      </c>
      <c r="E63">
        <v>1.76</v>
      </c>
      <c r="F63">
        <v>4.3499999999999996</v>
      </c>
      <c r="H63" s="12"/>
      <c r="I63">
        <v>366.60439999999994</v>
      </c>
      <c r="M63">
        <f t="shared" si="3"/>
        <v>-0.17357406687021371</v>
      </c>
    </row>
    <row r="64" spans="2:16" ht="15.75" thickBot="1" x14ac:dyDescent="0.3">
      <c r="B64">
        <v>7.27</v>
      </c>
      <c r="C64">
        <v>1.0031578947368409</v>
      </c>
      <c r="D64">
        <v>1</v>
      </c>
      <c r="E64">
        <v>2.02</v>
      </c>
      <c r="F64">
        <v>1.76</v>
      </c>
      <c r="H64" s="12"/>
      <c r="I64">
        <v>366.63930000000005</v>
      </c>
      <c r="M64">
        <f t="shared" si="3"/>
        <v>3.0502144465110321</v>
      </c>
    </row>
    <row r="65" spans="2:20" x14ac:dyDescent="0.25">
      <c r="B65">
        <v>5.97</v>
      </c>
      <c r="C65">
        <v>-0.29684210526315891</v>
      </c>
      <c r="D65">
        <v>1</v>
      </c>
      <c r="E65">
        <v>2.76</v>
      </c>
      <c r="F65">
        <v>2.02</v>
      </c>
      <c r="H65" s="12"/>
      <c r="M65">
        <f t="shared" si="3"/>
        <v>0.4729786364192714</v>
      </c>
      <c r="O65" s="28" t="s">
        <v>28</v>
      </c>
      <c r="P65" s="29"/>
      <c r="Q65" s="29"/>
      <c r="R65" s="29"/>
      <c r="S65" s="29"/>
      <c r="T65" s="30"/>
    </row>
    <row r="66" spans="2:20" x14ac:dyDescent="0.25">
      <c r="B66">
        <v>14.17</v>
      </c>
      <c r="C66">
        <v>7.9031578947368413</v>
      </c>
      <c r="D66">
        <v>1</v>
      </c>
      <c r="E66">
        <v>4.09</v>
      </c>
      <c r="F66">
        <v>2.76</v>
      </c>
      <c r="H66" s="12" t="s">
        <v>21</v>
      </c>
      <c r="I66" cm="1">
        <f t="array" ref="I66:I68">+MMULT(_xlfn.ANCHORARRAY(I56),_xlfn.ANCHORARRAY(I62))</f>
        <v>-0.44280382789192885</v>
      </c>
      <c r="M66">
        <f t="shared" si="3"/>
        <v>6.0720367520905336</v>
      </c>
      <c r="O66" s="31"/>
      <c r="P66" s="32"/>
      <c r="Q66" s="32"/>
      <c r="R66" s="32"/>
      <c r="S66" s="32"/>
      <c r="T66" s="33"/>
    </row>
    <row r="67" spans="2:20" ht="15.75" thickBot="1" x14ac:dyDescent="0.3">
      <c r="B67">
        <v>14.15</v>
      </c>
      <c r="C67">
        <v>7.8831578947368417</v>
      </c>
      <c r="D67">
        <v>1</v>
      </c>
      <c r="E67">
        <v>3.58</v>
      </c>
      <c r="F67">
        <v>4.09</v>
      </c>
      <c r="I67">
        <v>1.3325550522419811</v>
      </c>
      <c r="M67">
        <f t="shared" si="3"/>
        <v>5.2423208094820772</v>
      </c>
      <c r="O67" s="34"/>
      <c r="P67" s="35"/>
      <c r="Q67" s="35"/>
      <c r="R67" s="35"/>
      <c r="S67" s="35"/>
      <c r="T67" s="36"/>
    </row>
    <row r="68" spans="2:20" x14ac:dyDescent="0.25">
      <c r="B68">
        <v>0.79</v>
      </c>
      <c r="C68">
        <v>-5.4768421052631586</v>
      </c>
      <c r="D68">
        <v>1</v>
      </c>
      <c r="E68">
        <v>3.98</v>
      </c>
      <c r="F68">
        <v>3.58</v>
      </c>
      <c r="I68">
        <v>1.1197887362795989</v>
      </c>
      <c r="M68">
        <f t="shared" si="3"/>
        <v>-8.0796089559121214</v>
      </c>
    </row>
    <row r="69" spans="2:20" x14ac:dyDescent="0.25">
      <c r="B69">
        <v>6.62</v>
      </c>
      <c r="C69">
        <v>0.35315789473684145</v>
      </c>
      <c r="D69">
        <v>1</v>
      </c>
      <c r="E69">
        <v>3.88</v>
      </c>
      <c r="F69">
        <v>3.98</v>
      </c>
      <c r="M69">
        <f t="shared" si="3"/>
        <v>-2.5642689451997613</v>
      </c>
    </row>
    <row r="70" spans="2:20" x14ac:dyDescent="0.25">
      <c r="B70">
        <v>6.86</v>
      </c>
      <c r="C70">
        <v>0.59315789473684166</v>
      </c>
      <c r="D70">
        <v>1</v>
      </c>
      <c r="E70">
        <v>1.37</v>
      </c>
      <c r="F70">
        <v>3.88</v>
      </c>
      <c r="M70">
        <f t="shared" si="3"/>
        <v>1.1324231095555719</v>
      </c>
    </row>
    <row r="71" spans="2:20" x14ac:dyDescent="0.25">
      <c r="B71">
        <v>-0.73</v>
      </c>
      <c r="C71">
        <v>-6.9968421052631591</v>
      </c>
      <c r="D71">
        <v>1</v>
      </c>
      <c r="E71">
        <v>-2.13</v>
      </c>
      <c r="F71">
        <v>1.37</v>
      </c>
      <c r="M71">
        <f t="shared" si="3"/>
        <v>1.0170355204642978</v>
      </c>
    </row>
    <row r="72" spans="2:20" x14ac:dyDescent="0.25">
      <c r="B72">
        <v>1.31</v>
      </c>
      <c r="C72">
        <v>-4.9568421052631582</v>
      </c>
      <c r="D72">
        <v>1</v>
      </c>
      <c r="E72">
        <v>3.92</v>
      </c>
      <c r="F72">
        <v>-2.13</v>
      </c>
      <c r="M72">
        <f t="shared" si="3"/>
        <v>-1.0856619686210918</v>
      </c>
    </row>
    <row r="73" spans="2:20" x14ac:dyDescent="0.25">
      <c r="B73">
        <v>6.68</v>
      </c>
      <c r="C73">
        <v>0.41315789473684106</v>
      </c>
      <c r="D73">
        <v>1</v>
      </c>
      <c r="E73">
        <v>2.77</v>
      </c>
      <c r="F73">
        <v>3.92</v>
      </c>
      <c r="M73">
        <f t="shared" si="3"/>
        <v>-0.95794551303438613</v>
      </c>
    </row>
    <row r="74" spans="2:20" x14ac:dyDescent="0.25">
      <c r="B74">
        <v>3.65</v>
      </c>
      <c r="C74">
        <v>-2.6168421052631587</v>
      </c>
      <c r="D74">
        <v>1</v>
      </c>
      <c r="E74">
        <v>2.2400000000000002</v>
      </c>
      <c r="F74">
        <v>2.77</v>
      </c>
      <c r="M74">
        <f t="shared" si="3"/>
        <v>-1.9939342886245979</v>
      </c>
    </row>
    <row r="75" spans="2:20" x14ac:dyDescent="0.25">
      <c r="B75">
        <v>-0.92</v>
      </c>
      <c r="C75">
        <v>-7.1868421052631586</v>
      </c>
      <c r="D75">
        <v>1</v>
      </c>
      <c r="E75">
        <v>1.51</v>
      </c>
      <c r="F75">
        <v>2.2400000000000002</v>
      </c>
      <c r="M75">
        <f>+B75-$I$66-$I$67*E75-$I$68*F75</f>
        <v>-4.9976810702597643</v>
      </c>
    </row>
  </sheetData>
  <mergeCells count="3">
    <mergeCell ref="B31:C31"/>
    <mergeCell ref="B54:C54"/>
    <mergeCell ref="O65:T6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78D2-6BE9-4208-9967-C6A8205582E7}">
  <dimension ref="B1:N47"/>
  <sheetViews>
    <sheetView workbookViewId="0">
      <selection activeCell="E44" sqref="E44"/>
    </sheetView>
  </sheetViews>
  <sheetFormatPr baseColWidth="10" defaultRowHeight="15" x14ac:dyDescent="0.25"/>
  <cols>
    <col min="2" max="2" width="16.28515625" customWidth="1"/>
    <col min="3" max="3" width="15.7109375" customWidth="1"/>
    <col min="4" max="4" width="19.140625" customWidth="1"/>
    <col min="8" max="8" width="20.28515625" customWidth="1"/>
  </cols>
  <sheetData>
    <row r="1" spans="2:14" ht="15.75" thickBot="1" x14ac:dyDescent="0.3"/>
    <row r="2" spans="2:14" ht="15.75" thickBot="1" x14ac:dyDescent="0.3">
      <c r="B2" s="37" t="s">
        <v>29</v>
      </c>
      <c r="D2" s="37" t="s">
        <v>31</v>
      </c>
    </row>
    <row r="3" spans="2:14" ht="15.75" thickBot="1" x14ac:dyDescent="0.3">
      <c r="B3" s="38"/>
      <c r="C3" s="39" t="s">
        <v>30</v>
      </c>
      <c r="D3" s="38"/>
      <c r="K3" s="1" t="s">
        <v>11</v>
      </c>
      <c r="L3" t="s">
        <v>17</v>
      </c>
      <c r="M3" t="s">
        <v>54</v>
      </c>
      <c r="N3" t="s">
        <v>55</v>
      </c>
    </row>
    <row r="4" spans="2:14" x14ac:dyDescent="0.25">
      <c r="B4" s="14">
        <v>13</v>
      </c>
      <c r="C4" s="15">
        <v>22</v>
      </c>
      <c r="D4" s="16">
        <v>11</v>
      </c>
      <c r="F4" s="14">
        <v>13</v>
      </c>
      <c r="G4" s="15">
        <v>1</v>
      </c>
      <c r="H4" s="15">
        <v>22</v>
      </c>
      <c r="I4" s="16">
        <v>11</v>
      </c>
      <c r="K4">
        <f>+F4-$I$15-$I$16*H4-$I$17*I4</f>
        <v>-1.9815209390619124</v>
      </c>
      <c r="L4">
        <f>+F4-$F$12</f>
        <v>-0.5</v>
      </c>
      <c r="M4">
        <f>+$I$15+$I$16*H4+$I$17*I4</f>
        <v>14.981520939061912</v>
      </c>
      <c r="N4">
        <f>+M4-$M$12</f>
        <v>1.4815209390617117</v>
      </c>
    </row>
    <row r="5" spans="2:14" x14ac:dyDescent="0.25">
      <c r="B5" s="5">
        <v>11</v>
      </c>
      <c r="C5" s="6">
        <v>10</v>
      </c>
      <c r="D5" s="7">
        <v>14</v>
      </c>
      <c r="F5" s="5">
        <v>11</v>
      </c>
      <c r="G5" s="40">
        <v>1</v>
      </c>
      <c r="H5" s="6">
        <v>10</v>
      </c>
      <c r="I5" s="7">
        <v>14</v>
      </c>
      <c r="K5">
        <f t="shared" ref="K5:K11" si="0">+F5-$I$15-$I$16*H5-$I$17*I5</f>
        <v>0.17220005423603979</v>
      </c>
      <c r="L5">
        <f t="shared" ref="L5:L11" si="1">+F5-$F$12</f>
        <v>-2.5</v>
      </c>
      <c r="M5">
        <f t="shared" ref="M5:M11" si="2">+$I$15+$I$16*H5+$I$17*I5</f>
        <v>10.82779994576396</v>
      </c>
      <c r="N5">
        <f t="shared" ref="N5:N11" si="3">+M5-$M$12</f>
        <v>-2.6722000542362405</v>
      </c>
    </row>
    <row r="6" spans="2:14" x14ac:dyDescent="0.25">
      <c r="B6" s="5">
        <v>14</v>
      </c>
      <c r="C6" s="6">
        <v>17</v>
      </c>
      <c r="D6" s="7">
        <v>12</v>
      </c>
      <c r="F6" s="5">
        <v>14</v>
      </c>
      <c r="G6" s="6">
        <v>1</v>
      </c>
      <c r="H6" s="6">
        <v>17</v>
      </c>
      <c r="I6" s="7">
        <v>12</v>
      </c>
      <c r="K6">
        <f t="shared" si="0"/>
        <v>0.80176655173730005</v>
      </c>
      <c r="L6">
        <f t="shared" si="1"/>
        <v>0.5</v>
      </c>
      <c r="M6">
        <f t="shared" si="2"/>
        <v>13.1982334482627</v>
      </c>
      <c r="N6">
        <f t="shared" si="3"/>
        <v>-0.30176655173750078</v>
      </c>
    </row>
    <row r="7" spans="2:14" x14ac:dyDescent="0.25">
      <c r="B7" s="5">
        <v>10</v>
      </c>
      <c r="C7" s="6">
        <v>13</v>
      </c>
      <c r="D7" s="7">
        <v>12</v>
      </c>
      <c r="F7" s="5">
        <v>10</v>
      </c>
      <c r="G7" s="40">
        <v>1</v>
      </c>
      <c r="H7" s="6">
        <v>13</v>
      </c>
      <c r="I7" s="7">
        <v>12</v>
      </c>
      <c r="K7">
        <f t="shared" si="0"/>
        <v>-1.6033781427964531</v>
      </c>
      <c r="L7">
        <f t="shared" si="1"/>
        <v>-3.5</v>
      </c>
      <c r="M7">
        <f t="shared" si="2"/>
        <v>11.603378142796453</v>
      </c>
      <c r="N7">
        <f t="shared" si="3"/>
        <v>-1.8966218572037477</v>
      </c>
    </row>
    <row r="8" spans="2:14" x14ac:dyDescent="0.25">
      <c r="B8" s="5">
        <v>12</v>
      </c>
      <c r="C8" s="6">
        <v>15</v>
      </c>
      <c r="D8" s="7">
        <v>8</v>
      </c>
      <c r="F8" s="5">
        <v>12</v>
      </c>
      <c r="G8" s="6">
        <v>1</v>
      </c>
      <c r="H8" s="6">
        <v>15</v>
      </c>
      <c r="I8" s="7">
        <v>8</v>
      </c>
      <c r="K8">
        <f t="shared" si="0"/>
        <v>0.44032076860480807</v>
      </c>
      <c r="L8">
        <f t="shared" si="1"/>
        <v>-1.5</v>
      </c>
      <c r="M8">
        <f t="shared" si="2"/>
        <v>11.559679231395192</v>
      </c>
      <c r="N8">
        <f t="shared" si="3"/>
        <v>-1.9403207686050088</v>
      </c>
    </row>
    <row r="9" spans="2:14" x14ac:dyDescent="0.25">
      <c r="B9" s="5">
        <v>16</v>
      </c>
      <c r="C9" s="6">
        <v>22</v>
      </c>
      <c r="D9" s="7">
        <v>16</v>
      </c>
      <c r="F9" s="5">
        <v>16</v>
      </c>
      <c r="G9" s="40">
        <v>1</v>
      </c>
      <c r="H9" s="6">
        <v>22</v>
      </c>
      <c r="I9" s="7">
        <v>16</v>
      </c>
      <c r="K9">
        <f t="shared" si="0"/>
        <v>-3.2929144229893126E-2</v>
      </c>
      <c r="L9">
        <f t="shared" si="1"/>
        <v>2.5</v>
      </c>
      <c r="M9">
        <f t="shared" si="2"/>
        <v>16.032929144229893</v>
      </c>
      <c r="N9">
        <f t="shared" si="3"/>
        <v>2.5329291442296924</v>
      </c>
    </row>
    <row r="10" spans="2:14" x14ac:dyDescent="0.25">
      <c r="B10" s="5">
        <v>17</v>
      </c>
      <c r="C10" s="6">
        <v>24</v>
      </c>
      <c r="D10" s="7">
        <v>14</v>
      </c>
      <c r="F10" s="5">
        <v>17</v>
      </c>
      <c r="G10" s="6">
        <v>1</v>
      </c>
      <c r="H10" s="6">
        <v>24</v>
      </c>
      <c r="I10" s="7">
        <v>14</v>
      </c>
      <c r="K10">
        <f t="shared" si="0"/>
        <v>0.59020648510417573</v>
      </c>
      <c r="L10">
        <f t="shared" si="1"/>
        <v>3.5</v>
      </c>
      <c r="M10">
        <f t="shared" si="2"/>
        <v>16.409793514895824</v>
      </c>
      <c r="N10">
        <f t="shared" si="3"/>
        <v>2.9097935148956235</v>
      </c>
    </row>
    <row r="11" spans="2:14" ht="15.75" thickBot="1" x14ac:dyDescent="0.3">
      <c r="B11" s="8">
        <v>15</v>
      </c>
      <c r="C11" s="9">
        <v>18</v>
      </c>
      <c r="D11" s="10">
        <v>11</v>
      </c>
      <c r="F11" s="8">
        <v>15</v>
      </c>
      <c r="G11" s="41">
        <v>1</v>
      </c>
      <c r="H11" s="9">
        <v>18</v>
      </c>
      <c r="I11" s="10">
        <v>11</v>
      </c>
      <c r="K11">
        <f t="shared" si="0"/>
        <v>1.6133343664043345</v>
      </c>
      <c r="L11">
        <f t="shared" si="1"/>
        <v>1.5</v>
      </c>
      <c r="M11">
        <f t="shared" si="2"/>
        <v>13.386665633595666</v>
      </c>
      <c r="N11">
        <f t="shared" si="3"/>
        <v>-0.1133343664045352</v>
      </c>
    </row>
    <row r="12" spans="2:14" x14ac:dyDescent="0.25">
      <c r="E12" t="s">
        <v>53</v>
      </c>
      <c r="F12">
        <f>+AVERAGE(F4:F11)</f>
        <v>13.5</v>
      </c>
      <c r="M12">
        <f>+AVERAGE(M4:M11)</f>
        <v>13.500000000000201</v>
      </c>
    </row>
    <row r="13" spans="2:14" x14ac:dyDescent="0.25">
      <c r="B13" t="s">
        <v>32</v>
      </c>
    </row>
    <row r="15" spans="2:14" x14ac:dyDescent="0.25">
      <c r="C15" t="s">
        <v>34</v>
      </c>
      <c r="D15" cm="1">
        <f t="array" ref="D15:F17">+MINVERSE(MMULT(TRANSPOSE(G4:I11),G4:I11))</f>
        <v>4.5914461705342244</v>
      </c>
      <c r="E15">
        <v>-7.395498392282969E-2</v>
      </c>
      <c r="F15">
        <v>-0.25820323093015107</v>
      </c>
      <c r="H15" s="12" t="s">
        <v>33</v>
      </c>
      <c r="I15" cm="1">
        <f t="array" ref="I15:I17">+MMULT(_xlfn.ANCHORARRAY(D15),_xlfn.ANCHORARRAY(D20))</f>
        <v>3.896718707627997</v>
      </c>
      <c r="K15" s="12" t="s">
        <v>25</v>
      </c>
      <c r="L15">
        <v>8</v>
      </c>
    </row>
    <row r="16" spans="2:14" x14ac:dyDescent="0.25">
      <c r="D16">
        <v>-7.3954983922829759E-2</v>
      </c>
      <c r="E16">
        <v>6.4308681672025749E-3</v>
      </c>
      <c r="F16">
        <v>-3.2154340836012744E-3</v>
      </c>
      <c r="I16">
        <v>0.39871382636656172</v>
      </c>
      <c r="K16" s="12" t="s">
        <v>26</v>
      </c>
      <c r="L16">
        <v>3</v>
      </c>
    </row>
    <row r="17" spans="3:12" x14ac:dyDescent="0.25">
      <c r="D17">
        <v>-0.25820323093015096</v>
      </c>
      <c r="E17">
        <v>-3.2154340836012827E-3</v>
      </c>
      <c r="F17">
        <v>2.5704102583969272E-2</v>
      </c>
      <c r="I17">
        <v>0.21028164103359615</v>
      </c>
      <c r="K17" t="s">
        <v>13</v>
      </c>
      <c r="L17">
        <f>+SUMSQ(K4:K11)/5</f>
        <v>2.063177468717313</v>
      </c>
    </row>
    <row r="20" spans="3:12" x14ac:dyDescent="0.25">
      <c r="C20" t="s">
        <v>10</v>
      </c>
      <c r="D20" cm="1">
        <f t="array" ref="D20:D22">+MMULT(TRANSPOSE(G4:I11),F4:F11)</f>
        <v>108</v>
      </c>
      <c r="H20" s="22" t="s">
        <v>37</v>
      </c>
      <c r="I20" s="22"/>
      <c r="J20" cm="1">
        <f t="array" ref="J20:L22">+L17*_xlfn.ANCHORARRAY(D15)</f>
        <v>9.4729682878746022</v>
      </c>
      <c r="K20">
        <v>-0.15258225652893334</v>
      </c>
      <c r="L20">
        <v>-0.53271908840510096</v>
      </c>
    </row>
    <row r="21" spans="3:12" x14ac:dyDescent="0.25">
      <c r="D21">
        <v>1974</v>
      </c>
      <c r="J21">
        <v>-0.15258225652893348</v>
      </c>
      <c r="K21">
        <v>1.3268022306863754E-2</v>
      </c>
      <c r="L21">
        <v>-6.6340111534318501E-3</v>
      </c>
    </row>
    <row r="22" spans="3:12" x14ac:dyDescent="0.25">
      <c r="D22">
        <v>1340</v>
      </c>
      <c r="J22">
        <v>-0.53271908840510063</v>
      </c>
      <c r="K22">
        <v>-6.6340111534318675E-3</v>
      </c>
      <c r="L22">
        <v>5.3032125304843865E-2</v>
      </c>
    </row>
    <row r="24" spans="3:12" x14ac:dyDescent="0.25">
      <c r="H24" s="12" t="s">
        <v>36</v>
      </c>
      <c r="K24" s="12" t="s">
        <v>41</v>
      </c>
      <c r="L24">
        <f>+_xlfn.T.INV.2T(0.05,5)</f>
        <v>2.570581835636315</v>
      </c>
    </row>
    <row r="25" spans="3:12" x14ac:dyDescent="0.25">
      <c r="H25" t="s">
        <v>38</v>
      </c>
      <c r="I25">
        <f>+I15/J20^(1/2)</f>
        <v>1.2660650343536271</v>
      </c>
    </row>
    <row r="26" spans="3:12" x14ac:dyDescent="0.25">
      <c r="H26" t="s">
        <v>39</v>
      </c>
      <c r="I26">
        <f>+I16/(K21)^(1/2)</f>
        <v>3.4614510914716523</v>
      </c>
    </row>
    <row r="27" spans="3:12" x14ac:dyDescent="0.25">
      <c r="H27" t="s">
        <v>40</v>
      </c>
      <c r="I27">
        <f>+I17/L22^(1/2)</f>
        <v>0.913128381373145</v>
      </c>
    </row>
    <row r="29" spans="3:12" x14ac:dyDescent="0.25">
      <c r="H29" s="12" t="s">
        <v>42</v>
      </c>
    </row>
    <row r="30" spans="3:12" x14ac:dyDescent="0.25">
      <c r="H30" t="s">
        <v>38</v>
      </c>
      <c r="I30">
        <f>+_xlfn.T.DIST.2T(I25,5)</f>
        <v>0.26127109641176521</v>
      </c>
    </row>
    <row r="31" spans="3:12" x14ac:dyDescent="0.25">
      <c r="H31" t="s">
        <v>39</v>
      </c>
      <c r="I31">
        <f t="shared" ref="I31" si="4">+_xlfn.T.DIST.2T(I26,5)</f>
        <v>1.8014166348274671E-2</v>
      </c>
    </row>
    <row r="32" spans="3:12" x14ac:dyDescent="0.25">
      <c r="H32" t="s">
        <v>40</v>
      </c>
      <c r="I32">
        <f>+_xlfn.T.DIST.2T(I27,5)</f>
        <v>0.40305725963480732</v>
      </c>
    </row>
    <row r="34" spans="2:10" x14ac:dyDescent="0.25">
      <c r="H34" s="12" t="s">
        <v>43</v>
      </c>
      <c r="I34" s="12" t="s">
        <v>44</v>
      </c>
      <c r="J34" s="12" t="s">
        <v>45</v>
      </c>
    </row>
    <row r="35" spans="2:10" x14ac:dyDescent="0.25">
      <c r="H35" t="s">
        <v>38</v>
      </c>
      <c r="I35">
        <f>+$I$15-$L$24*($J$20)^(1/2)</f>
        <v>-4.0150662770404333</v>
      </c>
      <c r="J35">
        <f>+$I$15+$L$24*($J$20)^(1/2)</f>
        <v>11.808503692296426</v>
      </c>
    </row>
    <row r="36" spans="2:10" x14ac:dyDescent="0.25">
      <c r="H36" t="s">
        <v>39</v>
      </c>
      <c r="I36">
        <f>+$I$16-$L$24*($K$21)^(1/2)</f>
        <v>0.10261646933610807</v>
      </c>
      <c r="J36">
        <f>+$I$16+$L$24*($K$21)^(1/2)</f>
        <v>0.69481118339701542</v>
      </c>
    </row>
    <row r="37" spans="2:10" x14ac:dyDescent="0.25">
      <c r="H37" t="s">
        <v>40</v>
      </c>
      <c r="I37">
        <f>+$I$17-$L$24*($L$22)^(1/2)</f>
        <v>-0.3816900661604079</v>
      </c>
      <c r="J37">
        <f>+$I$17+$L$24*($L$22)^(1/2)</f>
        <v>0.80225334822760019</v>
      </c>
    </row>
    <row r="38" spans="2:10" ht="15.75" thickBot="1" x14ac:dyDescent="0.3"/>
    <row r="39" spans="2:10" x14ac:dyDescent="0.25">
      <c r="B39" t="s">
        <v>35</v>
      </c>
      <c r="D39" s="37" t="s">
        <v>46</v>
      </c>
      <c r="E39" s="29" t="s">
        <v>47</v>
      </c>
      <c r="F39" s="37" t="s">
        <v>48</v>
      </c>
      <c r="G39" s="30" t="s">
        <v>49</v>
      </c>
    </row>
    <row r="40" spans="2:10" ht="15.75" thickBot="1" x14ac:dyDescent="0.3">
      <c r="D40" s="38"/>
      <c r="E40" s="35"/>
      <c r="F40" s="38"/>
      <c r="G40" s="36"/>
    </row>
    <row r="41" spans="2:10" x14ac:dyDescent="0.25">
      <c r="D41" t="s">
        <v>50</v>
      </c>
      <c r="E41">
        <f>+SUMSQ(N4:N11)</f>
        <v>31.684112656414037</v>
      </c>
      <c r="F41">
        <v>2</v>
      </c>
      <c r="G41">
        <f>+E41/F41</f>
        <v>15.842056328207018</v>
      </c>
    </row>
    <row r="42" spans="2:10" x14ac:dyDescent="0.25">
      <c r="D42" t="s">
        <v>51</v>
      </c>
      <c r="E42">
        <f>+SUMSQ(K4:K11)</f>
        <v>10.315887343586565</v>
      </c>
      <c r="F42">
        <v>5</v>
      </c>
      <c r="G42">
        <f t="shared" ref="G42:G43" si="5">+E42/F42</f>
        <v>2.063177468717313</v>
      </c>
    </row>
    <row r="43" spans="2:10" x14ac:dyDescent="0.25">
      <c r="D43" t="s">
        <v>52</v>
      </c>
      <c r="E43">
        <f>+SUMSQ(L4:L11)</f>
        <v>42</v>
      </c>
      <c r="F43">
        <v>7</v>
      </c>
      <c r="G43">
        <f t="shared" si="5"/>
        <v>6</v>
      </c>
    </row>
    <row r="44" spans="2:10" x14ac:dyDescent="0.25">
      <c r="B44" t="s">
        <v>56</v>
      </c>
    </row>
    <row r="46" spans="2:10" x14ac:dyDescent="0.25">
      <c r="D46" t="s">
        <v>16</v>
      </c>
      <c r="E46">
        <f>1-E42/E43</f>
        <v>0.75438363467651037</v>
      </c>
    </row>
    <row r="47" spans="2:10" x14ac:dyDescent="0.25">
      <c r="D47" t="s">
        <v>18</v>
      </c>
      <c r="E47">
        <f>1-(F43/F42)*(E42/E43)</f>
        <v>0.6561370885471145</v>
      </c>
    </row>
  </sheetData>
  <mergeCells count="7">
    <mergeCell ref="D2:D3"/>
    <mergeCell ref="B2:B3"/>
    <mergeCell ref="H20:I20"/>
    <mergeCell ref="E39:E40"/>
    <mergeCell ref="F39:F40"/>
    <mergeCell ref="G39:G40"/>
    <mergeCell ref="D39:D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544A-88AA-42C1-9E99-DB3B05AC6466}">
  <dimension ref="A1"/>
  <sheetViews>
    <sheetView tabSelected="1" workbookViewId="0">
      <selection activeCell="E14" sqref="E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ejercicio_11</vt:lpstr>
      <vt:lpstr>ejercicio_12</vt:lpstr>
      <vt:lpstr>ejercicio_13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2021-08-06T17:53:34Z</dcterms:created>
  <dcterms:modified xsi:type="dcterms:W3CDTF">2021-08-06T22:19:46Z</dcterms:modified>
</cp:coreProperties>
</file>