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Carlos\Desktop\Ciclo-2020-2\JP\"/>
    </mc:Choice>
  </mc:AlternateContent>
  <xr:revisionPtr revIDLastSave="0" documentId="13_ncr:1_{4123A7A1-4DB5-4E2F-A3A6-303F50568184}" xr6:coauthVersionLast="47" xr6:coauthVersionMax="47" xr10:uidLastSave="{00000000-0000-0000-0000-000000000000}"/>
  <bookViews>
    <workbookView xWindow="-120" yWindow="-120" windowWidth="20730" windowHeight="11160" xr2:uid="{EB3A2FDE-32B0-4386-8003-4E339193B4C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2" l="1"/>
  <c r="O7" i="2"/>
  <c r="O8" i="2"/>
  <c r="O9" i="2"/>
  <c r="O10" i="2"/>
  <c r="O11" i="2"/>
  <c r="O5" i="2"/>
  <c r="N6" i="2"/>
  <c r="N7" i="2"/>
  <c r="N8" i="2"/>
  <c r="N9" i="2"/>
  <c r="N10" i="2"/>
  <c r="N11" i="2"/>
  <c r="N5" i="2"/>
  <c r="M6" i="2"/>
  <c r="M7" i="2"/>
  <c r="M8" i="2"/>
  <c r="M9" i="2"/>
  <c r="M10" i="2"/>
  <c r="M11" i="2"/>
  <c r="M5" i="2"/>
  <c r="K14" i="2"/>
  <c r="L6" i="2"/>
  <c r="L7" i="2"/>
  <c r="L8" i="2"/>
  <c r="L9" i="2"/>
  <c r="L10" i="2"/>
  <c r="L11" i="2"/>
  <c r="L5" i="2"/>
  <c r="K13" i="2"/>
  <c r="K5" i="2"/>
  <c r="H16" i="2" a="1"/>
  <c r="H16" i="2" s="1"/>
  <c r="F16" i="2" a="1"/>
  <c r="F16" i="2" s="1"/>
  <c r="I5" i="2"/>
  <c r="I12" i="2"/>
  <c r="I6" i="2"/>
  <c r="K6" i="2" s="1"/>
  <c r="I7" i="2"/>
  <c r="K7" i="2" s="1"/>
  <c r="I8" i="2"/>
  <c r="K8" i="2" s="1"/>
  <c r="I9" i="2"/>
  <c r="K9" i="2" s="1"/>
  <c r="I10" i="2"/>
  <c r="K10" i="2" s="1"/>
  <c r="I11" i="2"/>
  <c r="K11" i="2" s="1"/>
  <c r="Y9" i="1"/>
  <c r="Z9" i="1"/>
  <c r="AA9" i="1"/>
  <c r="Z10" i="1"/>
  <c r="Y10" i="1" s="1"/>
  <c r="Z11" i="1"/>
  <c r="Y11" i="1" s="1"/>
  <c r="AA11" i="1"/>
  <c r="Z12" i="1"/>
  <c r="Y12" i="1" s="1"/>
  <c r="Z13" i="1"/>
  <c r="Y13" i="1" s="1"/>
  <c r="AA13" i="1"/>
  <c r="Z14" i="1"/>
  <c r="AA14" i="1" s="1"/>
  <c r="Y15" i="1"/>
  <c r="Z15" i="1"/>
  <c r="AA15" i="1"/>
  <c r="Z16" i="1"/>
  <c r="Y16" i="1" s="1"/>
  <c r="AA16" i="1"/>
  <c r="Y17" i="1"/>
  <c r="Z17" i="1"/>
  <c r="AA17" i="1"/>
  <c r="Z18" i="1"/>
  <c r="Y18" i="1" s="1"/>
  <c r="Z19" i="1"/>
  <c r="Y19" i="1" s="1"/>
  <c r="AA19" i="1"/>
  <c r="Z20" i="1"/>
  <c r="Y20" i="1" s="1"/>
  <c r="Y21" i="1"/>
  <c r="Z21" i="1"/>
  <c r="AA21" i="1"/>
  <c r="AA8" i="1"/>
  <c r="Y8" i="1"/>
  <c r="Z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8" i="1"/>
  <c r="W23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8" i="1"/>
  <c r="U8" i="1"/>
  <c r="V21" i="1"/>
  <c r="U21" i="1"/>
  <c r="V8" i="1"/>
  <c r="R23" i="1"/>
  <c r="I9" i="1" a="1"/>
  <c r="I9" i="1" s="1"/>
  <c r="M9" i="1" s="1" a="1"/>
  <c r="M9" i="1" s="1"/>
  <c r="N10" i="1" s="1"/>
  <c r="I10" i="1" a="1"/>
  <c r="I10" i="1" s="1"/>
  <c r="M10" i="1" s="1" a="1"/>
  <c r="M10" i="1" s="1"/>
  <c r="N11" i="1" s="1"/>
  <c r="I11" i="1" a="1"/>
  <c r="I11" i="1" s="1"/>
  <c r="M11" i="1" s="1" a="1"/>
  <c r="M11" i="1" s="1"/>
  <c r="N12" i="1" s="1"/>
  <c r="I12" i="1" a="1"/>
  <c r="I12" i="1" s="1"/>
  <c r="M12" i="1" s="1" a="1"/>
  <c r="M12" i="1" s="1"/>
  <c r="N13" i="1" s="1"/>
  <c r="I13" i="1" a="1"/>
  <c r="I13" i="1" s="1"/>
  <c r="M13" i="1" s="1" a="1"/>
  <c r="M13" i="1" s="1"/>
  <c r="N14" i="1" s="1"/>
  <c r="I14" i="1" a="1"/>
  <c r="I14" i="1" s="1"/>
  <c r="M14" i="1" s="1" a="1"/>
  <c r="M14" i="1" s="1"/>
  <c r="N15" i="1" s="1"/>
  <c r="I15" i="1" a="1"/>
  <c r="I15" i="1" s="1"/>
  <c r="M15" i="1" s="1" a="1"/>
  <c r="M15" i="1" s="1"/>
  <c r="N16" i="1" s="1"/>
  <c r="I16" i="1" a="1"/>
  <c r="I16" i="1" s="1"/>
  <c r="M16" i="1" s="1" a="1"/>
  <c r="M16" i="1" s="1"/>
  <c r="N17" i="1" s="1"/>
  <c r="I17" i="1" a="1"/>
  <c r="I17" i="1" s="1"/>
  <c r="M17" i="1" s="1" a="1"/>
  <c r="M17" i="1" s="1"/>
  <c r="N18" i="1" s="1"/>
  <c r="I18" i="1" a="1"/>
  <c r="I18" i="1" s="1"/>
  <c r="M18" i="1" s="1" a="1"/>
  <c r="M18" i="1" s="1"/>
  <c r="N19" i="1" s="1"/>
  <c r="I19" i="1" a="1"/>
  <c r="I19" i="1" s="1"/>
  <c r="M19" i="1" s="1" a="1"/>
  <c r="M19" i="1" s="1"/>
  <c r="N20" i="1" s="1"/>
  <c r="I20" i="1" a="1"/>
  <c r="I20" i="1" s="1"/>
  <c r="M20" i="1" s="1" a="1"/>
  <c r="M20" i="1" s="1"/>
  <c r="N21" i="1" s="1"/>
  <c r="I21" i="1" a="1"/>
  <c r="I21" i="1" s="1"/>
  <c r="M21" i="1" s="1" a="1"/>
  <c r="M21" i="1" s="1"/>
  <c r="I22" i="1" a="1"/>
  <c r="I22" i="1" s="1"/>
  <c r="I8" i="1" a="1"/>
  <c r="I8" i="1" s="1"/>
  <c r="M8" i="1" s="1" a="1"/>
  <c r="M8" i="1" s="1"/>
  <c r="N9" i="1" s="1"/>
  <c r="I7" i="1" a="1"/>
  <c r="I7" i="1" s="1"/>
  <c r="M7" i="1" s="1" a="1"/>
  <c r="M7" i="1" s="1"/>
  <c r="N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8" i="1" a="1"/>
  <c r="O8" i="1" s="1"/>
  <c r="AA18" i="1" l="1"/>
  <c r="AA10" i="1"/>
  <c r="Y14" i="1"/>
  <c r="AA20" i="1"/>
  <c r="AA12" i="1"/>
  <c r="P17" i="1"/>
  <c r="Q17" i="1" s="1"/>
  <c r="P13" i="1"/>
  <c r="Q13" i="1" s="1"/>
  <c r="P18" i="1"/>
  <c r="Q18" i="1" s="1"/>
  <c r="P10" i="1"/>
  <c r="Q10" i="1" s="1"/>
  <c r="P21" i="1"/>
  <c r="P14" i="1"/>
  <c r="Q14" i="1" s="1"/>
  <c r="P20" i="1"/>
  <c r="Q20" i="1" s="1"/>
  <c r="P16" i="1"/>
  <c r="P12" i="1"/>
  <c r="Q12" i="1" s="1"/>
  <c r="P19" i="1"/>
  <c r="Q19" i="1" s="1"/>
  <c r="P15" i="1"/>
  <c r="P11" i="1"/>
  <c r="Q11" i="1" s="1"/>
  <c r="P9" i="1"/>
  <c r="Q9" i="1" s="1"/>
  <c r="P8" i="1"/>
  <c r="P23" i="1" l="1"/>
  <c r="Q8" i="1" s="1"/>
  <c r="Q23" i="1" s="1"/>
  <c r="R8" i="1" s="1"/>
  <c r="Q15" i="1"/>
  <c r="Q21" i="1"/>
  <c r="Q16" i="1"/>
  <c r="R13" i="1" l="1"/>
  <c r="R12" i="1"/>
  <c r="R18" i="1"/>
  <c r="R17" i="1"/>
  <c r="R14" i="1"/>
  <c r="R10" i="1"/>
  <c r="R21" i="1"/>
  <c r="R11" i="1"/>
  <c r="T11" i="1" s="1"/>
  <c r="R20" i="1"/>
  <c r="R19" i="1"/>
  <c r="R9" i="1"/>
  <c r="R16" i="1"/>
  <c r="R15" i="1"/>
  <c r="T16" i="1" l="1"/>
  <c r="T8" i="1"/>
  <c r="T18" i="1"/>
  <c r="T14" i="1"/>
  <c r="T17" i="1"/>
  <c r="T10" i="1"/>
  <c r="T19" i="1"/>
  <c r="T15" i="1"/>
  <c r="T9" i="1"/>
  <c r="T13" i="1"/>
  <c r="T12" i="1"/>
  <c r="T21" i="1"/>
  <c r="T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<sst xmlns="http://schemas.openxmlformats.org/spreadsheetml/2006/main" count="37" uniqueCount="36">
  <si>
    <t>Año</t>
  </si>
  <si>
    <t>PBI mundial</t>
  </si>
  <si>
    <t>Tipo de cambio</t>
  </si>
  <si>
    <t>exportaciones reales</t>
  </si>
  <si>
    <t>IPX</t>
  </si>
  <si>
    <t>intercepto</t>
  </si>
  <si>
    <t>beta</t>
  </si>
  <si>
    <t>Estimado</t>
  </si>
  <si>
    <t>e</t>
  </si>
  <si>
    <t>ponderador</t>
  </si>
  <si>
    <t>w</t>
  </si>
  <si>
    <t>sigma</t>
  </si>
  <si>
    <t>w_d</t>
  </si>
  <si>
    <t>W</t>
  </si>
  <si>
    <t>L_inferior</t>
  </si>
  <si>
    <t>L_superior</t>
  </si>
  <si>
    <t>w_2</t>
  </si>
  <si>
    <t>E(s)</t>
  </si>
  <si>
    <t>Obs</t>
  </si>
  <si>
    <t>Constante</t>
  </si>
  <si>
    <t>X</t>
  </si>
  <si>
    <t>Y</t>
  </si>
  <si>
    <t>beta2</t>
  </si>
  <si>
    <t>beta1</t>
  </si>
  <si>
    <t>Estmadores recursivos MCO</t>
  </si>
  <si>
    <t>Desv.Std (b2)</t>
  </si>
  <si>
    <t>Residuo</t>
  </si>
  <si>
    <t>paso adelante</t>
  </si>
  <si>
    <t>w (t + 1)</t>
  </si>
  <si>
    <t>W (t + 1)</t>
  </si>
  <si>
    <t>S (t + 1)</t>
  </si>
  <si>
    <t>CUSUM</t>
  </si>
  <si>
    <t>CUSUM-SQ</t>
  </si>
  <si>
    <t>w(t+1)/sigma</t>
  </si>
  <si>
    <t>Promedio</t>
  </si>
  <si>
    <t>w(t+1) desv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</si>
</sst>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Cusum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8.886786742018693E-2"/>
          <c:y val="0.16161220043572988"/>
          <c:w val="0.86797566489159939"/>
          <c:h val="0.6907837990839380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Hoja1!$S$3:$S$22</c15:sqref>
                  </c15:fullRef>
                </c:ext>
              </c:extLst>
              <c:f>Hoja1!$S$3:$S$21</c:f>
              <c:numCache>
                <c:formatCode>General</c:formatCode>
                <c:ptCount val="1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Hoja1!$T$3:$T$22</c15:sqref>
                  </c15:fullRef>
                </c:ext>
              </c:extLst>
              <c:f>Hoja1!$T$3:$T$21</c:f>
              <c:numCache>
                <c:formatCode>General</c:formatCode>
                <c:ptCount val="19"/>
                <c:pt idx="5">
                  <c:v>0.55864048444306502</c:v>
                </c:pt>
                <c:pt idx="6">
                  <c:v>-0.40880963388239455</c:v>
                </c:pt>
                <c:pt idx="7">
                  <c:v>-4.2774160251307203E-2</c:v>
                </c:pt>
                <c:pt idx="8">
                  <c:v>1.0982533940905455</c:v>
                </c:pt>
                <c:pt idx="9">
                  <c:v>1.2296831713398286</c:v>
                </c:pt>
                <c:pt idx="10">
                  <c:v>2.3039656215692754</c:v>
                </c:pt>
                <c:pt idx="11">
                  <c:v>3.6485320382786073</c:v>
                </c:pt>
                <c:pt idx="12">
                  <c:v>3.0186359601962618</c:v>
                </c:pt>
                <c:pt idx="13">
                  <c:v>1.3941991470448785</c:v>
                </c:pt>
                <c:pt idx="14">
                  <c:v>1.2612252180856822</c:v>
                </c:pt>
                <c:pt idx="15">
                  <c:v>-0.99021917742709431</c:v>
                </c:pt>
                <c:pt idx="16">
                  <c:v>-1.01868569823592</c:v>
                </c:pt>
                <c:pt idx="17">
                  <c:v>-0.66253000472107726</c:v>
                </c:pt>
                <c:pt idx="18">
                  <c:v>-0.80248136258568148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37-4E7D-91F9-A5BBB49407D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Hoja1!$S$3:$S$22</c15:sqref>
                  </c15:fullRef>
                </c:ext>
              </c:extLst>
              <c:f>Hoja1!$S$3:$S$21</c:f>
              <c:numCache>
                <c:formatCode>General</c:formatCode>
                <c:ptCount val="1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Hoja1!$U$3:$U$22</c15:sqref>
                  </c15:fullRef>
                </c:ext>
              </c:extLst>
              <c:f>Hoja1!$U$3:$U$21</c:f>
            </c:numRef>
          </c:val>
          <c:smooth val="0"/>
          <c:extLst>
            <c:ext xmlns:c16="http://schemas.microsoft.com/office/drawing/2014/chart" uri="{C3380CC4-5D6E-409C-BE32-E72D297353CC}">
              <c16:uniqueId val="{00000001-4437-4E7D-91F9-A5BBB49407D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Hoja1!$S$3:$S$22</c15:sqref>
                  </c15:fullRef>
                </c:ext>
              </c:extLst>
              <c:f>Hoja1!$S$3:$S$21</c:f>
              <c:numCache>
                <c:formatCode>General</c:formatCode>
                <c:ptCount val="1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Hoja1!$V$3:$V$22</c15:sqref>
                  </c15:fullRef>
                </c:ext>
              </c:extLst>
              <c:f>Hoja1!$V$3:$V$21</c:f>
            </c:numRef>
          </c:val>
          <c:smooth val="0"/>
          <c:extLst>
            <c:ext xmlns:c16="http://schemas.microsoft.com/office/drawing/2014/chart" uri="{C3380CC4-5D6E-409C-BE32-E72D297353CC}">
              <c16:uniqueId val="{00000002-4437-4E7D-91F9-A5BBB4940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275807"/>
        <c:axId val="482277887"/>
      </c:lineChart>
      <c:catAx>
        <c:axId val="48227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2277887"/>
        <c:crosses val="autoZero"/>
        <c:auto val="1"/>
        <c:lblAlgn val="ctr"/>
        <c:lblOffset val="100"/>
        <c:noMultiLvlLbl val="0"/>
      </c:catAx>
      <c:valAx>
        <c:axId val="482277887"/>
        <c:scaling>
          <c:orientation val="minMax"/>
          <c:max val="13"/>
          <c:min val="-12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227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Cusum cuadrado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Hoja1!$X$8:$X$21</c:f>
              <c:numCache>
                <c:formatCode>General</c:formatCode>
                <c:ptCount val="14"/>
                <c:pt idx="0">
                  <c:v>2.2399091602898085E-2</c:v>
                </c:pt>
                <c:pt idx="1">
                  <c:v>8.9576424713880956E-2</c:v>
                </c:pt>
                <c:pt idx="2">
                  <c:v>9.919281203253591E-2</c:v>
                </c:pt>
                <c:pt idx="3">
                  <c:v>0.1926381973031531</c:v>
                </c:pt>
                <c:pt idx="4">
                  <c:v>0.19387800160304394</c:v>
                </c:pt>
                <c:pt idx="5">
                  <c:v>0.27671084252306594</c:v>
                </c:pt>
                <c:pt idx="6">
                  <c:v>0.40646763871041092</c:v>
                </c:pt>
                <c:pt idx="7">
                  <c:v>0.43494523986472761</c:v>
                </c:pt>
                <c:pt idx="8">
                  <c:v>0.62434143083117943</c:v>
                </c:pt>
                <c:pt idx="9">
                  <c:v>0.62561053887426465</c:v>
                </c:pt>
                <c:pt idx="10">
                  <c:v>0.98943177546897632</c:v>
                </c:pt>
                <c:pt idx="11">
                  <c:v>0.98948993680524766</c:v>
                </c:pt>
                <c:pt idx="12">
                  <c:v>0.99859421201360443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6-4439-8AE6-CEA14C29E22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Hoja1!$Y$8:$Y$21</c:f>
              <c:numCache>
                <c:formatCode>General</c:formatCode>
                <c:ptCount val="14"/>
                <c:pt idx="0">
                  <c:v>-0.93333333333333335</c:v>
                </c:pt>
                <c:pt idx="1">
                  <c:v>-0.8666666666666667</c:v>
                </c:pt>
                <c:pt idx="2">
                  <c:v>-0.8</c:v>
                </c:pt>
                <c:pt idx="3">
                  <c:v>-0.73333333333333339</c:v>
                </c:pt>
                <c:pt idx="4">
                  <c:v>-0.66666666666666674</c:v>
                </c:pt>
                <c:pt idx="5">
                  <c:v>-0.6</c:v>
                </c:pt>
                <c:pt idx="6">
                  <c:v>-0.53333333333333333</c:v>
                </c:pt>
                <c:pt idx="7">
                  <c:v>-0.46666666666666667</c:v>
                </c:pt>
                <c:pt idx="8">
                  <c:v>-0.4</c:v>
                </c:pt>
                <c:pt idx="9">
                  <c:v>-0.33333333333333337</c:v>
                </c:pt>
                <c:pt idx="10">
                  <c:v>-0.26666666666666672</c:v>
                </c:pt>
                <c:pt idx="11">
                  <c:v>-0.19999999999999996</c:v>
                </c:pt>
                <c:pt idx="12">
                  <c:v>-0.1333333333333333</c:v>
                </c:pt>
                <c:pt idx="13">
                  <c:v>-6.6666666666666652E-2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6-4439-8AE6-CEA14C29E22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Hoja1!$Z$8:$Z$21</c:f>
              <c:numCache>
                <c:formatCode>General</c:formatCode>
                <c:ptCount val="14"/>
                <c:pt idx="0">
                  <c:v>6.6666666666666666E-2</c:v>
                </c:pt>
                <c:pt idx="1">
                  <c:v>0.13333333333333333</c:v>
                </c:pt>
                <c:pt idx="2">
                  <c:v>0.2</c:v>
                </c:pt>
                <c:pt idx="3">
                  <c:v>0.26666666666666666</c:v>
                </c:pt>
                <c:pt idx="4">
                  <c:v>0.33333333333333331</c:v>
                </c:pt>
                <c:pt idx="5">
                  <c:v>0.4</c:v>
                </c:pt>
                <c:pt idx="6">
                  <c:v>0.46666666666666667</c:v>
                </c:pt>
                <c:pt idx="7">
                  <c:v>0.53333333333333333</c:v>
                </c:pt>
                <c:pt idx="8">
                  <c:v>0.6</c:v>
                </c:pt>
                <c:pt idx="9">
                  <c:v>0.66666666666666663</c:v>
                </c:pt>
                <c:pt idx="10">
                  <c:v>0.73333333333333328</c:v>
                </c:pt>
                <c:pt idx="11">
                  <c:v>0.8</c:v>
                </c:pt>
                <c:pt idx="12">
                  <c:v>0.8666666666666667</c:v>
                </c:pt>
                <c:pt idx="13">
                  <c:v>0.93333333333333335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56-4439-8AE6-CEA14C29E22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Hoja1!$AA$8:$AA$21</c:f>
              <c:numCache>
                <c:formatCode>General</c:formatCode>
                <c:ptCount val="14"/>
                <c:pt idx="0">
                  <c:v>1.0666666666666667</c:v>
                </c:pt>
                <c:pt idx="1">
                  <c:v>1.1333333333333333</c:v>
                </c:pt>
                <c:pt idx="2">
                  <c:v>1.2</c:v>
                </c:pt>
                <c:pt idx="3">
                  <c:v>1.2666666666666666</c:v>
                </c:pt>
                <c:pt idx="4">
                  <c:v>1.3333333333333333</c:v>
                </c:pt>
                <c:pt idx="5">
                  <c:v>1.4</c:v>
                </c:pt>
                <c:pt idx="6">
                  <c:v>1.4666666666666668</c:v>
                </c:pt>
                <c:pt idx="7">
                  <c:v>1.5333333333333332</c:v>
                </c:pt>
                <c:pt idx="8">
                  <c:v>1.6</c:v>
                </c:pt>
                <c:pt idx="9">
                  <c:v>1.6666666666666665</c:v>
                </c:pt>
                <c:pt idx="10">
                  <c:v>1.7333333333333334</c:v>
                </c:pt>
                <c:pt idx="11">
                  <c:v>1.8</c:v>
                </c:pt>
                <c:pt idx="12">
                  <c:v>1.8666666666666667</c:v>
                </c:pt>
                <c:pt idx="13">
                  <c:v>1.9333333333333333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56-4439-8AE6-CEA14C29E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0946399"/>
        <c:axId val="800943903"/>
      </c:lineChart>
      <c:catAx>
        <c:axId val="800946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0943903"/>
        <c:crosses val="autoZero"/>
        <c:auto val="1"/>
        <c:lblAlgn val="ctr"/>
        <c:lblOffset val="100"/>
        <c:noMultiLvlLbl val="0"/>
      </c:catAx>
      <c:valAx>
        <c:axId val="80094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094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24</xdr:row>
      <xdr:rowOff>104776</xdr:rowOff>
    </xdr:from>
    <xdr:to>
      <xdr:col>15</xdr:col>
      <xdr:colOff>104775</xdr:colOff>
      <xdr:row>39</xdr:row>
      <xdr:rowOff>171451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4742FE7-566F-463D-9EFC-BCD92AE4A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581025</xdr:colOff>
      <xdr:row>23</xdr:row>
      <xdr:rowOff>100012</xdr:rowOff>
    </xdr:from>
    <xdr:to>
      <xdr:col>21</xdr:col>
      <xdr:colOff>581025</xdr:colOff>
      <xdr:row>37</xdr:row>
      <xdr:rowOff>176212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186BF36-B0D0-48A8-8450-E7EBDB99C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0.34297</cdr:x>
      <cdr:y>0.21569</cdr:y>
    </cdr:from>
    <cdr:to>
      <cdr:x>0.93834</cdr:x>
      <cdr:y>0.42484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EC9C05EB-82EC-42B7-BE2A-F31130E44AAF}"/>
            </a:ext>
          </a:extLst>
        </cdr:cNvPr>
        <cdr:cNvCxnSpPr/>
      </cdr:nvCxnSpPr>
      <cdr:spPr>
        <a:xfrm xmlns:a="http://schemas.openxmlformats.org/drawingml/2006/main" flipV="1">
          <a:off x="1695450" y="628649"/>
          <a:ext cx="2943225" cy="6096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0.34168</cdr:x>
      <cdr:y>0.61874</cdr:y>
    </cdr:from>
    <cdr:to>
      <cdr:x>0.92678</cdr:x>
      <cdr:y>0.81699</cdr:y>
    </cdr:to>
    <cdr:cxnSp macro="">
      <cdr:nvCxnSpPr>
        <cdr:cNvPr id="4" name="Conector recto 3">
          <a:extLst xmlns:a="http://schemas.openxmlformats.org/drawingml/2006/main">
            <a:ext uri="{FF2B5EF4-FFF2-40B4-BE49-F238E27FC236}">
              <a16:creationId xmlns:a16="http://schemas.microsoft.com/office/drawing/2014/main" id="{249F430C-61FF-42AD-94F0-E8BD62CF1C0E}"/>
            </a:ext>
          </a:extLst>
        </cdr:cNvPr>
        <cdr:cNvCxnSpPr/>
      </cdr:nvCxnSpPr>
      <cdr:spPr>
        <a:xfrm xmlns:a="http://schemas.openxmlformats.org/drawingml/2006/main">
          <a:off x="1689100" y="1803400"/>
          <a:ext cx="2892425" cy="57784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114300</xdr:colOff>
      <xdr:row>1</xdr:row>
      <xdr:rowOff>90487</xdr:rowOff>
    </xdr:from>
    <xdr:ext cx="1369734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A717EE4-4565-480A-A3F7-F82093436BCB}"/>
                </a:ext>
              </a:extLst>
            </xdr:cNvPr>
            <xdr:cNvSpPr txBox="1"/>
          </xdr:nvSpPr>
          <xdr:spPr>
            <a:xfrm>
              <a:off x="7581900" y="280987"/>
              <a:ext cx="1369734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1+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  <m:sup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A717EE4-4565-480A-A3F7-F82093436BCB}"/>
                </a:ext>
              </a:extLst>
            </xdr:cNvPr>
            <xdr:cNvSpPr txBox="1"/>
          </xdr:nvSpPr>
          <xdr:spPr>
            <a:xfrm>
              <a:off x="7581900" y="280987"/>
              <a:ext cx="1369734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1+𝑥_(𝑡+1) (𝑋_𝑡^′ 𝑋_𝑡 )^(−1) 𝑥_(𝑡+1)  </a:t>
              </a:r>
              <a:endParaRPr lang="es-MX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2711-519E-42F6-B271-89A845B5FD13}">
  <dimension ref="B1:AA23"/>
  <sheetViews>
    <sheetView tabSelected="1" topLeftCell="L1" workbookViewId="0">
      <selection activeCell="AB8" sqref="AB8"/>
    </sheetView>
  </sheetViews>
  <sheetFormatPr baseColWidth="10" defaultRowHeight="15" x14ac:dyDescent="0.25"/>
  <cols>
    <col min="3" max="3" width="18" customWidth="1"/>
    <col min="5" max="7" width="16" customWidth="1"/>
    <col min="13" max="13" width="12" bestFit="1" customWidth="1"/>
    <col min="15" max="15" width="12" bestFit="1" customWidth="1"/>
    <col min="21" max="22" width="0" hidden="1" customWidth="1"/>
  </cols>
  <sheetData>
    <row r="1" spans="2:27" ht="15.75" thickBot="1" x14ac:dyDescent="0.3"/>
    <row r="2" spans="2:27" x14ac:dyDescent="0.25">
      <c r="B2" s="8" t="s">
        <v>0</v>
      </c>
      <c r="C2" s="9" t="s">
        <v>3</v>
      </c>
      <c r="D2" s="9" t="s">
        <v>5</v>
      </c>
      <c r="E2" s="9" t="s">
        <v>1</v>
      </c>
      <c r="F2" s="9" t="s">
        <v>2</v>
      </c>
      <c r="G2" s="10" t="s">
        <v>4</v>
      </c>
      <c r="I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T2" t="s">
        <v>13</v>
      </c>
      <c r="U2" t="s">
        <v>14</v>
      </c>
      <c r="V2" t="s">
        <v>15</v>
      </c>
      <c r="W2" t="s">
        <v>16</v>
      </c>
      <c r="Z2" t="s">
        <v>17</v>
      </c>
    </row>
    <row r="3" spans="2:27" x14ac:dyDescent="0.25">
      <c r="B3" s="11">
        <v>1994</v>
      </c>
      <c r="C3" s="12">
        <v>11204</v>
      </c>
      <c r="D3" s="12">
        <v>1</v>
      </c>
      <c r="E3" s="12">
        <v>32629.7</v>
      </c>
      <c r="F3" s="12">
        <v>2.2000000000000002</v>
      </c>
      <c r="G3" s="13">
        <v>100</v>
      </c>
      <c r="S3">
        <v>1994</v>
      </c>
    </row>
    <row r="4" spans="2:27" x14ac:dyDescent="0.25">
      <c r="B4" s="11">
        <v>1995</v>
      </c>
      <c r="C4" s="12">
        <v>11825.3</v>
      </c>
      <c r="D4" s="12">
        <v>1</v>
      </c>
      <c r="E4" s="12">
        <v>33621.199999999997</v>
      </c>
      <c r="F4" s="12">
        <v>2.2599999999999998</v>
      </c>
      <c r="G4" s="13">
        <v>117.8</v>
      </c>
      <c r="S4">
        <v>1995</v>
      </c>
    </row>
    <row r="5" spans="2:27" x14ac:dyDescent="0.25">
      <c r="B5" s="11">
        <v>1996</v>
      </c>
      <c r="C5" s="12">
        <v>12874</v>
      </c>
      <c r="D5" s="12">
        <v>1</v>
      </c>
      <c r="E5" s="12">
        <v>34735.800000000003</v>
      </c>
      <c r="F5" s="12">
        <v>2.4500000000000002</v>
      </c>
      <c r="G5" s="13">
        <v>116.3</v>
      </c>
      <c r="S5">
        <v>1996</v>
      </c>
    </row>
    <row r="6" spans="2:27" x14ac:dyDescent="0.25">
      <c r="B6" s="11">
        <v>1997</v>
      </c>
      <c r="C6" s="12">
        <v>14560.5</v>
      </c>
      <c r="D6" s="12">
        <v>1</v>
      </c>
      <c r="E6" s="12">
        <v>36046</v>
      </c>
      <c r="F6" s="12">
        <v>2.66</v>
      </c>
      <c r="G6" s="13">
        <v>115.9</v>
      </c>
      <c r="S6">
        <v>1997</v>
      </c>
    </row>
    <row r="7" spans="2:27" x14ac:dyDescent="0.25">
      <c r="B7" s="11">
        <v>1998</v>
      </c>
      <c r="C7" s="12">
        <v>15372.3</v>
      </c>
      <c r="D7" s="12">
        <v>1</v>
      </c>
      <c r="E7" s="12">
        <v>36957.5</v>
      </c>
      <c r="F7" s="12">
        <v>2.93</v>
      </c>
      <c r="G7" s="13">
        <v>103</v>
      </c>
      <c r="I7" cm="1">
        <f t="array" ref="I7:L7">+TRANSPOSE(MMULT(MINVERSE(MMULT(TRANSPOSE($D$3:G7),$D$3:G7)),MMULT(TRANSPOSE($D$3:G7),$C$3:C7)))</f>
        <v>-48914.544906377792</v>
      </c>
      <c r="J7">
        <v>2.8553267156567017</v>
      </c>
      <c r="K7">
        <v>-10849.897052764893</v>
      </c>
      <c r="L7">
        <v>-91.801679252064787</v>
      </c>
      <c r="M7" cm="1">
        <f t="array" ref="M7">+MMULT(D8:G8,TRANSPOSE(_xlfn.ANCHORARRAY(I7)))</f>
        <v>14843.031361319048</v>
      </c>
      <c r="S7">
        <v>1998</v>
      </c>
    </row>
    <row r="8" spans="2:27" x14ac:dyDescent="0.25">
      <c r="B8" s="11">
        <v>1999</v>
      </c>
      <c r="C8" s="14">
        <v>16546.599999999999</v>
      </c>
      <c r="D8" s="14">
        <v>1</v>
      </c>
      <c r="E8" s="14">
        <v>38230.5</v>
      </c>
      <c r="F8" s="14">
        <v>3.38</v>
      </c>
      <c r="G8" s="15">
        <v>95.1</v>
      </c>
      <c r="I8" cm="1">
        <f t="array" ref="I8:L8">+TRANSPOSE(MMULT(MINVERSE(MMULT(TRANSPOSE($D$3:G8),$D$3:G8)),MMULT(TRANSPOSE($D$3:G8),$C$3:C8)))</f>
        <v>-25829.451470583677</v>
      </c>
      <c r="J8">
        <v>1.3691747821576428</v>
      </c>
      <c r="K8">
        <v>-2078.7260190537199</v>
      </c>
      <c r="L8">
        <v>-31.164407786200172</v>
      </c>
      <c r="M8" cm="1">
        <f t="array" ref="M8">+MMULT(D9:G9,TRANSPOSE(_xlfn.ANCHORARRAY(I8)))</f>
        <v>18522.282893006439</v>
      </c>
      <c r="N8">
        <f t="shared" ref="N8:N21" si="0">+C8-M7</f>
        <v>1703.5686386809502</v>
      </c>
      <c r="O8" cm="1">
        <f t="array" ref="O8">1+MMULT(MMULT(D8:G8,MINVERSE(MMULT(TRANSPOSE(D3:G7),D3:G7))),TRANSPOSE(D8:G8))</f>
        <v>78.708273094500328</v>
      </c>
      <c r="P8">
        <f t="shared" ref="P8:P21" si="1">+N8/SQRT(O8)</f>
        <v>192.02131723358082</v>
      </c>
      <c r="Q8">
        <f t="shared" ref="Q8:Q21" si="2">+P8-P23</f>
        <v>211.72393617958511</v>
      </c>
      <c r="R8">
        <f t="shared" ref="R8:R21" si="3">+P8/$R$23</f>
        <v>0.55864048444306502</v>
      </c>
      <c r="S8">
        <v>1999</v>
      </c>
      <c r="T8">
        <f>+SUM($R$7:R8)</f>
        <v>0.55864048444306502</v>
      </c>
      <c r="U8">
        <f>-0.948*SQRT(2013-$B$7)</f>
        <v>-3.6715882122046311</v>
      </c>
      <c r="V8">
        <f>0.948*SQRT(2013-$B$7)</f>
        <v>3.6715882122046311</v>
      </c>
      <c r="W8">
        <f>+R8^2</f>
        <v>0.31207919085878238</v>
      </c>
      <c r="X8">
        <f>+SUM($W$7:W8)/$W$23</f>
        <v>2.2399091602898085E-2</v>
      </c>
      <c r="Y8">
        <f>+Z8-1</f>
        <v>-0.93333333333333335</v>
      </c>
      <c r="Z8">
        <f>+(S8-$S$7)/($S$22-$S$7)</f>
        <v>6.6666666666666666E-2</v>
      </c>
      <c r="AA8">
        <f>Z8+1</f>
        <v>1.0666666666666667</v>
      </c>
    </row>
    <row r="9" spans="2:27" x14ac:dyDescent="0.25">
      <c r="B9" s="11">
        <v>2000</v>
      </c>
      <c r="C9" s="14">
        <v>17868.900000000001</v>
      </c>
      <c r="D9" s="14">
        <v>1</v>
      </c>
      <c r="E9" s="14">
        <v>39931.4</v>
      </c>
      <c r="F9" s="14">
        <v>3.49</v>
      </c>
      <c r="G9" s="15">
        <v>98.4</v>
      </c>
      <c r="I9" cm="1">
        <f t="array" ref="I9:L9">+TRANSPOSE(MMULT(MINVERSE(MMULT(TRANSPOSE($D$3:G9),$D$3:G9)),MMULT(TRANSPOSE($D$3:G9),$C$3:C9)))</f>
        <v>-18787.682343471795</v>
      </c>
      <c r="J9">
        <v>0.95206376817100136</v>
      </c>
      <c r="K9">
        <v>-71.581126713193953</v>
      </c>
      <c r="L9">
        <v>-9.2605166100547649</v>
      </c>
      <c r="M9" cm="1">
        <f t="array" ref="M9">+MMULT(D10:G10,TRANSPOSE(_xlfn.ANCHORARRAY(I9)))</f>
        <v>18788.820864084144</v>
      </c>
      <c r="N9">
        <f t="shared" si="0"/>
        <v>-653.38289300643737</v>
      </c>
      <c r="O9" cm="1">
        <f t="array" ref="O9">1+MMULT(MMULT(D9:G9,MINVERSE(MMULT(TRANSPOSE(D4:G8),D4:G8))),TRANSPOSE(D9:G9))</f>
        <v>3.8605064026255023</v>
      </c>
      <c r="P9">
        <f t="shared" si="1"/>
        <v>-332.54132353805733</v>
      </c>
      <c r="Q9">
        <f t="shared" si="2"/>
        <v>-332.54132353805733</v>
      </c>
      <c r="R9">
        <f t="shared" si="3"/>
        <v>-0.96745011832545957</v>
      </c>
      <c r="S9">
        <v>2000</v>
      </c>
      <c r="T9">
        <f>+SUM($R$7:R9)</f>
        <v>-0.40880963388239455</v>
      </c>
      <c r="W9">
        <f t="shared" ref="W9:W21" si="4">+R9^2</f>
        <v>0.93595973144794575</v>
      </c>
      <c r="X9">
        <f>+SUM($W$7:W9)/$W$23</f>
        <v>8.9576424713880956E-2</v>
      </c>
      <c r="Y9">
        <f t="shared" ref="Y9:Y21" si="5">+Z9-1</f>
        <v>-0.8666666666666667</v>
      </c>
      <c r="Z9">
        <f t="shared" ref="Z9:Z21" si="6">+(S9-$S$7)/($S$22-$S$7)</f>
        <v>0.13333333333333333</v>
      </c>
      <c r="AA9">
        <f t="shared" ref="AA9:AA21" si="7">Z9+1</f>
        <v>1.1333333333333333</v>
      </c>
    </row>
    <row r="10" spans="2:27" x14ac:dyDescent="0.25">
      <c r="B10" s="11">
        <v>2001</v>
      </c>
      <c r="C10" s="14">
        <v>19089.2</v>
      </c>
      <c r="D10" s="14">
        <v>1</v>
      </c>
      <c r="E10" s="14">
        <v>40642.800000000003</v>
      </c>
      <c r="F10" s="14">
        <v>3.51</v>
      </c>
      <c r="G10" s="15">
        <v>93.6</v>
      </c>
      <c r="I10" cm="1">
        <f t="array" ref="I10:L10">+TRANSPOSE(MMULT(MINVERSE(MMULT(TRANSPOSE($D$3:G10),$D$3:G10)),MMULT(TRANSPOSE($D$3:G10),$C$3:C10)))</f>
        <v>-21059.474873543717</v>
      </c>
      <c r="J10">
        <v>1.1083276674866056</v>
      </c>
      <c r="K10">
        <v>-915.66502000577748</v>
      </c>
      <c r="L10">
        <v>-18.742618644064351</v>
      </c>
      <c r="M10" cm="1">
        <f t="array" ref="M10">+MMULT(D11:G11,TRANSPOSE(_xlfn.ANCHORARRAY(I10)))</f>
        <v>19876.389900357211</v>
      </c>
      <c r="N10">
        <f t="shared" si="0"/>
        <v>300.37913591585675</v>
      </c>
      <c r="O10" cm="1">
        <f t="array" ref="O10">1+MMULT(MMULT(D10:G10,MINVERSE(MMULT(TRANSPOSE(D5:G9),D5:G9))),TRANSPOSE(D10:G10))</f>
        <v>5.6997931749168771</v>
      </c>
      <c r="P10">
        <f t="shared" si="1"/>
        <v>125.81725771437968</v>
      </c>
      <c r="Q10">
        <f t="shared" si="2"/>
        <v>125.81725771437968</v>
      </c>
      <c r="R10">
        <f t="shared" si="3"/>
        <v>0.36603547363108735</v>
      </c>
      <c r="S10">
        <v>2001</v>
      </c>
      <c r="T10">
        <f>+SUM($R$7:R10)</f>
        <v>-4.2774160251307203E-2</v>
      </c>
      <c r="W10">
        <f t="shared" si="4"/>
        <v>0.13398196795633444</v>
      </c>
      <c r="X10">
        <f>+SUM($W$7:W10)/$W$23</f>
        <v>9.919281203253591E-2</v>
      </c>
      <c r="Y10">
        <f t="shared" si="5"/>
        <v>-0.8</v>
      </c>
      <c r="Z10">
        <f t="shared" si="6"/>
        <v>0.2</v>
      </c>
      <c r="AA10">
        <f t="shared" si="7"/>
        <v>1.2</v>
      </c>
    </row>
    <row r="11" spans="2:27" x14ac:dyDescent="0.25">
      <c r="B11" s="11">
        <v>2002</v>
      </c>
      <c r="C11" s="14">
        <v>20529.8</v>
      </c>
      <c r="D11" s="14">
        <v>1</v>
      </c>
      <c r="E11" s="14">
        <v>41474.800000000003</v>
      </c>
      <c r="F11" s="14">
        <v>3.52</v>
      </c>
      <c r="G11" s="15">
        <v>96.5</v>
      </c>
      <c r="I11" cm="1">
        <f t="array" ref="I11:L11">+TRANSPOSE(MMULT(MINVERSE(MMULT(TRANSPOSE($D$3:G11),$D$3:G11)),MMULT(TRANSPOSE($D$3:G11),$C$3:C11)))</f>
        <v>-24783.276756455656</v>
      </c>
      <c r="J11">
        <v>1.337180370631728</v>
      </c>
      <c r="K11">
        <v>-2160.9462196414825</v>
      </c>
      <c r="L11">
        <v>-28.838148975417425</v>
      </c>
      <c r="M11" cm="1">
        <f t="array" ref="M11">+MMULT(D12:G12,TRANSPOSE(_xlfn.ANCHORARRAY(I11)))</f>
        <v>21673.524474660433</v>
      </c>
      <c r="N11">
        <f t="shared" si="0"/>
        <v>653.41009964278783</v>
      </c>
      <c r="O11" cm="1">
        <f t="array" ref="O11">1+MMULT(MMULT(D11:G11,MINVERSE(MMULT(TRANSPOSE(D6:G10),D6:G10))),TRANSPOSE(D11:G11))</f>
        <v>2.7755262800478069</v>
      </c>
      <c r="P11">
        <f t="shared" si="1"/>
        <v>392.20504078390678</v>
      </c>
      <c r="Q11">
        <f t="shared" si="2"/>
        <v>392.20504078390678</v>
      </c>
      <c r="R11">
        <f t="shared" si="3"/>
        <v>1.1410275543418527</v>
      </c>
      <c r="S11">
        <v>2002</v>
      </c>
      <c r="T11">
        <f>+SUM($R$7:R11)</f>
        <v>1.0982533940905455</v>
      </c>
      <c r="W11">
        <f t="shared" si="4"/>
        <v>1.3019438797673495</v>
      </c>
      <c r="X11">
        <f>+SUM($W$7:W11)/$W$23</f>
        <v>0.1926381973031531</v>
      </c>
      <c r="Y11">
        <f t="shared" si="5"/>
        <v>-0.73333333333333339</v>
      </c>
      <c r="Z11">
        <f t="shared" si="6"/>
        <v>0.26666666666666666</v>
      </c>
      <c r="AA11">
        <f t="shared" si="7"/>
        <v>1.2666666666666666</v>
      </c>
    </row>
    <row r="12" spans="2:27" x14ac:dyDescent="0.25">
      <c r="B12" s="11">
        <v>2003</v>
      </c>
      <c r="C12" s="14">
        <v>21794.6</v>
      </c>
      <c r="D12" s="14">
        <v>1</v>
      </c>
      <c r="E12" s="14">
        <v>42639.3</v>
      </c>
      <c r="F12" s="14">
        <v>3.48</v>
      </c>
      <c r="G12" s="15">
        <v>105.4</v>
      </c>
      <c r="I12" cm="1">
        <f t="array" ref="I12:L12">+TRANSPOSE(MMULT(MINVERSE(MMULT(TRANSPOSE($D$3:G12),$D$3:G12)),MMULT(TRANSPOSE($D$3:G12),$C$3:C12)))</f>
        <v>-25371.342531629372</v>
      </c>
      <c r="J12">
        <v>1.3657990118315411</v>
      </c>
      <c r="K12">
        <v>-2312.9474487691186</v>
      </c>
      <c r="L12">
        <v>-29.071444016146415</v>
      </c>
      <c r="M12" cm="1">
        <f t="array" ref="M12">+MMULT(D13:G13,TRANSPOSE(_xlfn.ANCHORARRAY(I12)))</f>
        <v>23651.361062337259</v>
      </c>
      <c r="N12">
        <f t="shared" si="0"/>
        <v>121.0755253395655</v>
      </c>
      <c r="O12" cm="1">
        <f t="array" ref="O12">1+MMULT(MMULT(D12:G12,MINVERSE(MMULT(TRANSPOSE(D7:G11),D7:G11))),TRANSPOSE(D12:G12))</f>
        <v>7.1827558198223329</v>
      </c>
      <c r="P12">
        <f t="shared" si="1"/>
        <v>45.176315812993309</v>
      </c>
      <c r="Q12">
        <f t="shared" si="2"/>
        <v>45.176315812993309</v>
      </c>
      <c r="R12">
        <f t="shared" si="3"/>
        <v>0.13142977724928326</v>
      </c>
      <c r="S12">
        <v>2003</v>
      </c>
      <c r="T12">
        <f>+SUM($R$7:R12)</f>
        <v>1.2296831713398286</v>
      </c>
      <c r="W12">
        <f t="shared" si="4"/>
        <v>1.7273786347796215E-2</v>
      </c>
      <c r="X12">
        <f>+SUM($W$7:W12)/$W$23</f>
        <v>0.19387800160304394</v>
      </c>
      <c r="Y12">
        <f t="shared" si="5"/>
        <v>-0.66666666666666674</v>
      </c>
      <c r="Z12">
        <f t="shared" si="6"/>
        <v>0.33333333333333331</v>
      </c>
      <c r="AA12">
        <f t="shared" si="7"/>
        <v>1.3333333333333333</v>
      </c>
    </row>
    <row r="13" spans="2:27" x14ac:dyDescent="0.25">
      <c r="B13" s="11">
        <v>2004</v>
      </c>
      <c r="C13" s="14">
        <v>25113.8</v>
      </c>
      <c r="D13" s="14">
        <v>1</v>
      </c>
      <c r="E13" s="14">
        <v>44420</v>
      </c>
      <c r="F13" s="14">
        <v>3.41</v>
      </c>
      <c r="G13" s="15">
        <v>129.30000000000001</v>
      </c>
      <c r="I13" cm="1">
        <f t="array" ref="I13:L13">+TRANSPOSE(MMULT(MINVERSE(MMULT(TRANSPOSE($D$3:G13),$D$3:G13)),MMULT(TRANSPOSE($D$3:G13),$C$3:C13)))</f>
        <v>-30312.309233471518</v>
      </c>
      <c r="J13">
        <v>1.4713555578431965</v>
      </c>
      <c r="K13">
        <v>-2657.3791333436966</v>
      </c>
      <c r="L13">
        <v>-9.6014794786387938</v>
      </c>
      <c r="M13" cm="1">
        <f t="array" ref="M13">+MMULT(D14:G14,TRANSPOSE(_xlfn.ANCHORARRAY(I13)))</f>
        <v>27210.678722597939</v>
      </c>
      <c r="N13">
        <f t="shared" si="0"/>
        <v>1462.4389376627405</v>
      </c>
      <c r="O13" cm="1">
        <f t="array" ref="O13">1+MMULT(MMULT(D13:G13,MINVERSE(MMULT(TRANSPOSE(D8:G12),D8:G12))),TRANSPOSE(D13:G13))</f>
        <v>15.684997128115754</v>
      </c>
      <c r="P13">
        <f t="shared" si="1"/>
        <v>369.26276723326356</v>
      </c>
      <c r="Q13">
        <f t="shared" si="2"/>
        <v>369.26276723326356</v>
      </c>
      <c r="R13">
        <f t="shared" si="3"/>
        <v>1.0742824502294468</v>
      </c>
      <c r="S13">
        <v>2004</v>
      </c>
      <c r="T13">
        <f>+SUM($R$7:R13)</f>
        <v>2.3039656215692754</v>
      </c>
      <c r="W13">
        <f t="shared" si="4"/>
        <v>1.1540827828709839</v>
      </c>
      <c r="X13">
        <f>+SUM($W$7:W13)/$W$23</f>
        <v>0.27671084252306594</v>
      </c>
      <c r="Y13">
        <f t="shared" si="5"/>
        <v>-0.6</v>
      </c>
      <c r="Z13">
        <f t="shared" si="6"/>
        <v>0.4</v>
      </c>
      <c r="AA13">
        <f t="shared" si="7"/>
        <v>1.4</v>
      </c>
    </row>
    <row r="14" spans="2:27" x14ac:dyDescent="0.25">
      <c r="B14" s="11">
        <v>2005</v>
      </c>
      <c r="C14" s="14">
        <v>28931.9</v>
      </c>
      <c r="D14" s="14">
        <v>1</v>
      </c>
      <c r="E14" s="14">
        <v>46041.3</v>
      </c>
      <c r="F14" s="14">
        <v>3.3</v>
      </c>
      <c r="G14" s="15">
        <v>151.1</v>
      </c>
      <c r="I14" cm="1">
        <f t="array" ref="I14:L14">+TRANSPOSE(MMULT(MINVERSE(MMULT(TRANSPOSE($D$3:G14),$D$3:G14)),MMULT(TRANSPOSE($D$3:G14),$C$3:C14)))</f>
        <v>-33479.001147824783</v>
      </c>
      <c r="J14">
        <v>1.4972200089546845</v>
      </c>
      <c r="K14">
        <v>-2617.7313491841778</v>
      </c>
      <c r="L14">
        <v>10.197776080880431</v>
      </c>
      <c r="M14" cm="1">
        <f t="array" ref="M14">+MMULT(D15:G15,TRANSPOSE(_xlfn.ANCHORARRAY(I14)))</f>
        <v>31792.784615610606</v>
      </c>
      <c r="N14">
        <f t="shared" si="0"/>
        <v>1721.2212774020627</v>
      </c>
      <c r="O14" cm="1">
        <f t="array" ref="O14">1+MMULT(MMULT(D14:G14,MINVERSE(MMULT(TRANSPOSE(D9:G13),D9:G13))),TRANSPOSE(D14:G14))</f>
        <v>13.869947432085866</v>
      </c>
      <c r="P14">
        <f t="shared" si="1"/>
        <v>462.16738964409063</v>
      </c>
      <c r="Q14">
        <f t="shared" si="2"/>
        <v>462.16738964409063</v>
      </c>
      <c r="R14">
        <f t="shared" si="3"/>
        <v>1.3445664167093316</v>
      </c>
      <c r="S14">
        <v>2005</v>
      </c>
      <c r="T14">
        <f>+SUM($R$7:R14)</f>
        <v>3.6485320382786073</v>
      </c>
      <c r="W14">
        <f t="shared" si="4"/>
        <v>1.807858848942572</v>
      </c>
      <c r="X14">
        <f>+SUM($W$7:W14)/$W$23</f>
        <v>0.40646763871041092</v>
      </c>
      <c r="Y14">
        <f t="shared" si="5"/>
        <v>-0.53333333333333333</v>
      </c>
      <c r="Z14">
        <f t="shared" si="6"/>
        <v>0.46666666666666667</v>
      </c>
      <c r="AA14">
        <f t="shared" si="7"/>
        <v>1.4666666666666668</v>
      </c>
    </row>
    <row r="15" spans="2:27" x14ac:dyDescent="0.25">
      <c r="B15" s="11">
        <v>2006</v>
      </c>
      <c r="C15" s="14">
        <v>29163.200000000001</v>
      </c>
      <c r="D15" s="14">
        <v>1</v>
      </c>
      <c r="E15" s="14">
        <v>47912.2</v>
      </c>
      <c r="F15" s="14">
        <v>3.27</v>
      </c>
      <c r="G15" s="15">
        <v>205.6</v>
      </c>
      <c r="I15" cm="1">
        <f t="array" ref="I15:L15">+TRANSPOSE(MMULT(MINVERSE(MMULT(TRANSPOSE($D$3:G15),$D$3:G15)),MMULT(TRANSPOSE($D$3:G15),$C$3:C15)))</f>
        <v>-32600.079930423293</v>
      </c>
      <c r="J15">
        <v>1.7421472688972131</v>
      </c>
      <c r="K15">
        <v>-4528.2799726116937</v>
      </c>
      <c r="L15">
        <v>-31.75760555087254</v>
      </c>
      <c r="M15" cm="1">
        <f t="array" ref="M15">+MMULT(D16:G16,TRANSPOSE(_xlfn.ANCHORARRAY(I15)))</f>
        <v>32534.415681868406</v>
      </c>
      <c r="N15">
        <f t="shared" si="0"/>
        <v>-2629.5846156106054</v>
      </c>
      <c r="O15" cm="1">
        <f t="array" ref="O15">1+MMULT(MMULT(D15:G15,MINVERSE(MMULT(TRANSPOSE(D10:G14),D10:G14))),TRANSPOSE(D15:G15))</f>
        <v>147.50353007676563</v>
      </c>
      <c r="P15">
        <f t="shared" si="1"/>
        <v>-216.51397992435622</v>
      </c>
      <c r="Q15">
        <f t="shared" si="2"/>
        <v>-216.51397992435622</v>
      </c>
      <c r="R15">
        <f t="shared" si="3"/>
        <v>-0.62989607808234527</v>
      </c>
      <c r="S15">
        <v>2006</v>
      </c>
      <c r="T15">
        <f>+SUM($R$7:R15)</f>
        <v>3.0186359601962618</v>
      </c>
      <c r="W15">
        <f t="shared" si="4"/>
        <v>0.39676906918352001</v>
      </c>
      <c r="X15">
        <f>+SUM($W$7:W15)/$W$23</f>
        <v>0.43494523986472761</v>
      </c>
      <c r="Y15">
        <f t="shared" si="5"/>
        <v>-0.46666666666666667</v>
      </c>
      <c r="Z15">
        <f t="shared" si="6"/>
        <v>0.53333333333333333</v>
      </c>
      <c r="AA15">
        <f t="shared" si="7"/>
        <v>1.5333333333333332</v>
      </c>
    </row>
    <row r="16" spans="2:27" x14ac:dyDescent="0.25">
      <c r="B16" s="11">
        <v>2007</v>
      </c>
      <c r="C16" s="14">
        <v>31161</v>
      </c>
      <c r="D16" s="14">
        <v>1</v>
      </c>
      <c r="E16" s="14">
        <v>49810.6</v>
      </c>
      <c r="F16" s="14">
        <v>3.13</v>
      </c>
      <c r="G16" s="15">
        <v>235.2</v>
      </c>
      <c r="I16" cm="1">
        <f t="array" ref="I16:L16">+TRANSPOSE(MMULT(MINVERSE(MMULT(TRANSPOSE($D$3:G16),$D$3:G16)),MMULT(TRANSPOSE($D$3:G16),$C$3:C16)))</f>
        <v>-32236.920066936174</v>
      </c>
      <c r="J16">
        <v>1.7845440802273629</v>
      </c>
      <c r="K16">
        <v>-4834.1813034196384</v>
      </c>
      <c r="L16">
        <v>-41.549518608855578</v>
      </c>
      <c r="M16" cm="1">
        <f t="array" ref="M16">+MMULT(D17:G17,TRANSPOSE(_xlfn.ANCHORARRAY(I16)))</f>
        <v>33609.53484192321</v>
      </c>
      <c r="N16">
        <f t="shared" si="0"/>
        <v>-1373.415681868406</v>
      </c>
      <c r="O16" cm="1">
        <f t="array" ref="O16">1+MMULT(MMULT(D16:G16,MINVERSE(MMULT(TRANSPOSE(D11:G15),D11:G15))),TRANSPOSE(D16:G16))</f>
        <v>6.0501240602636699</v>
      </c>
      <c r="P16">
        <f t="shared" si="1"/>
        <v>-558.36715259729704</v>
      </c>
      <c r="Q16">
        <f t="shared" si="2"/>
        <v>-558.36715259729704</v>
      </c>
      <c r="R16">
        <f t="shared" si="3"/>
        <v>-1.6244368131513833</v>
      </c>
      <c r="S16">
        <v>2007</v>
      </c>
      <c r="T16">
        <f>+SUM($R$7:R16)</f>
        <v>1.3941991470448785</v>
      </c>
      <c r="W16">
        <f t="shared" si="4"/>
        <v>2.6387949599214222</v>
      </c>
      <c r="X16">
        <f>+SUM($W$7:W16)/$W$23</f>
        <v>0.62434143083117943</v>
      </c>
      <c r="Y16">
        <f t="shared" si="5"/>
        <v>-0.4</v>
      </c>
      <c r="Z16">
        <f t="shared" si="6"/>
        <v>0.6</v>
      </c>
      <c r="AA16">
        <f t="shared" si="7"/>
        <v>1.6</v>
      </c>
    </row>
    <row r="17" spans="2:27" x14ac:dyDescent="0.25">
      <c r="B17" s="11">
        <v>2008</v>
      </c>
      <c r="C17" s="14">
        <v>33375</v>
      </c>
      <c r="D17" s="14">
        <v>1</v>
      </c>
      <c r="E17" s="14">
        <v>50502.400000000001</v>
      </c>
      <c r="F17" s="14">
        <v>2.93</v>
      </c>
      <c r="G17" s="15">
        <v>243.4</v>
      </c>
      <c r="I17" cm="1">
        <f t="array" ref="I17:L17">+TRANSPOSE(MMULT(MINVERSE(MMULT(TRANSPOSE($D$3:G17),$D$3:G17)),MMULT(TRANSPOSE($D$3:G17),$C$3:C17)))</f>
        <v>-32111.89938135026</v>
      </c>
      <c r="J17">
        <v>1.7731445180598939</v>
      </c>
      <c r="K17">
        <v>-4741.6076600202359</v>
      </c>
      <c r="L17">
        <v>-41.222252416537231</v>
      </c>
      <c r="M17" cm="1">
        <f t="array" ref="M17">+MMULT(D18:G18,TRANSPOSE(_xlfn.ANCHORARRAY(I17)))</f>
        <v>51763.652811275613</v>
      </c>
      <c r="N17">
        <f t="shared" si="0"/>
        <v>-234.53484192321048</v>
      </c>
      <c r="O17" cm="1">
        <f t="array" ref="O17">1+MMULT(MMULT(D17:G17,MINVERSE(MMULT(TRANSPOSE(D12:G16),D12:G16))),TRANSPOSE(D17:G17))</f>
        <v>26.329806010703976</v>
      </c>
      <c r="P17">
        <f t="shared" si="1"/>
        <v>-45.70708659241793</v>
      </c>
      <c r="Q17">
        <f t="shared" si="2"/>
        <v>-45.70708659241793</v>
      </c>
      <c r="R17">
        <f t="shared" si="3"/>
        <v>-0.13297392895919632</v>
      </c>
      <c r="S17">
        <v>2008</v>
      </c>
      <c r="T17">
        <f>+SUM($R$7:R17)</f>
        <v>1.2612252180856822</v>
      </c>
      <c r="W17">
        <f t="shared" si="4"/>
        <v>1.7682065782845389E-2</v>
      </c>
      <c r="X17">
        <f>+SUM($W$7:W17)/$W$23</f>
        <v>0.62561053887426465</v>
      </c>
      <c r="Y17">
        <f t="shared" si="5"/>
        <v>-0.33333333333333337</v>
      </c>
      <c r="Z17">
        <f t="shared" si="6"/>
        <v>0.66666666666666663</v>
      </c>
      <c r="AA17">
        <f t="shared" si="7"/>
        <v>1.6666666666666665</v>
      </c>
    </row>
    <row r="18" spans="2:27" x14ac:dyDescent="0.25">
      <c r="B18" s="11">
        <v>2009</v>
      </c>
      <c r="C18" s="14">
        <v>33132</v>
      </c>
      <c r="D18" s="14">
        <v>1</v>
      </c>
      <c r="E18" s="14">
        <v>49436.3</v>
      </c>
      <c r="F18" s="14">
        <v>0.01</v>
      </c>
      <c r="G18" s="15">
        <v>90.6</v>
      </c>
      <c r="I18" cm="1">
        <f t="array" ref="I18:L18">+TRANSPOSE(MMULT(MINVERSE(MMULT(TRANSPOSE($D$3:G18),$D$3:G18)),MMULT(TRANSPOSE($D$3:G18),$C$3:C18)))</f>
        <v>-29175.182118577242</v>
      </c>
      <c r="J18">
        <v>1.2549975124070567</v>
      </c>
      <c r="K18">
        <v>-787.79080822080141</v>
      </c>
      <c r="L18">
        <v>5.2045541899860837</v>
      </c>
      <c r="M18" cm="1">
        <f t="array" ref="M18">+MMULT(D19:G19,TRANSPOSE(_xlfn.ANCHORARRAY(I18)))</f>
        <v>33733.735304798254</v>
      </c>
      <c r="N18">
        <f t="shared" si="0"/>
        <v>-18631.652811275613</v>
      </c>
      <c r="O18" cm="1">
        <f t="array" ref="O18">1+MMULT(MMULT(D18:G18,MINVERSE(MMULT(TRANSPOSE(D13:G17),D13:G17))),TRANSPOSE(D18:G18))</f>
        <v>579.62383592233471</v>
      </c>
      <c r="P18">
        <f t="shared" si="1"/>
        <v>-773.88827080001533</v>
      </c>
      <c r="Q18">
        <f t="shared" si="2"/>
        <v>-773.88827080001533</v>
      </c>
      <c r="R18">
        <f t="shared" si="3"/>
        <v>-2.2514443955127765</v>
      </c>
      <c r="S18">
        <v>2009</v>
      </c>
      <c r="T18">
        <f>+SUM($R$7:R18)</f>
        <v>-0.99021917742709431</v>
      </c>
      <c r="W18">
        <f t="shared" si="4"/>
        <v>5.069001866085892</v>
      </c>
      <c r="X18">
        <f>+SUM($W$7:W18)/$W$23</f>
        <v>0.98943177546897632</v>
      </c>
      <c r="Y18">
        <f t="shared" si="5"/>
        <v>-0.26666666666666672</v>
      </c>
      <c r="Z18">
        <f t="shared" si="6"/>
        <v>0.73333333333333328</v>
      </c>
      <c r="AA18">
        <f t="shared" si="7"/>
        <v>1.7333333333333334</v>
      </c>
    </row>
    <row r="19" spans="2:27" x14ac:dyDescent="0.25">
      <c r="B19" s="11">
        <v>2010</v>
      </c>
      <c r="C19" s="14">
        <v>33571.599999999999</v>
      </c>
      <c r="D19" s="14">
        <v>1</v>
      </c>
      <c r="E19" s="14">
        <v>51413</v>
      </c>
      <c r="F19" s="14">
        <v>2.83</v>
      </c>
      <c r="G19" s="15">
        <v>118.2</v>
      </c>
      <c r="I19" cm="1">
        <f t="array" ref="I19:L19">+TRANSPOSE(MMULT(MINVERSE(MMULT(TRANSPOSE($D$3:G19),$D$3:G19)),MMULT(TRANSPOSE($D$3:G19),$C$3:C19)))</f>
        <v>-29049.157327253371</v>
      </c>
      <c r="J19">
        <v>1.2509463916457388</v>
      </c>
      <c r="K19">
        <v>-791.8205733832292</v>
      </c>
      <c r="L19">
        <v>5.5631074966695451</v>
      </c>
      <c r="M19" cm="1">
        <f t="array" ref="M19">+MMULT(D20:G20,TRANSPOSE(_xlfn.ANCHORARRAY(I19)))</f>
        <v>35697.030337772943</v>
      </c>
      <c r="N19">
        <f t="shared" si="0"/>
        <v>-162.13530479825567</v>
      </c>
      <c r="O19" cm="1">
        <f t="array" ref="O19">1+MMULT(MMULT(D19:G19,MINVERSE(MMULT(TRANSPOSE(D14:G18),D14:G18))),TRANSPOSE(D19:G19))</f>
        <v>274.56952057955448</v>
      </c>
      <c r="P19">
        <f t="shared" si="1"/>
        <v>-9.784788204559435</v>
      </c>
      <c r="Q19">
        <f t="shared" si="2"/>
        <v>-9.784788204559435</v>
      </c>
      <c r="R19">
        <f t="shared" si="3"/>
        <v>-2.8466520808825814E-2</v>
      </c>
      <c r="S19">
        <v>2010</v>
      </c>
      <c r="T19">
        <f>+SUM($R$7:R19)</f>
        <v>-1.01868569823592</v>
      </c>
      <c r="W19">
        <f t="shared" si="4"/>
        <v>8.1034280695931309E-4</v>
      </c>
      <c r="X19">
        <f>+SUM($W$7:W19)/$W$23</f>
        <v>0.98948993680524766</v>
      </c>
      <c r="Y19">
        <f t="shared" si="5"/>
        <v>-0.19999999999999996</v>
      </c>
      <c r="Z19">
        <f t="shared" si="6"/>
        <v>0.8</v>
      </c>
      <c r="AA19">
        <f t="shared" si="7"/>
        <v>1.8</v>
      </c>
    </row>
    <row r="20" spans="2:27" x14ac:dyDescent="0.25">
      <c r="B20" s="11">
        <v>2011</v>
      </c>
      <c r="C20" s="14">
        <v>35893.800000000003</v>
      </c>
      <c r="D20" s="14">
        <v>1</v>
      </c>
      <c r="E20" s="14">
        <v>52859.4</v>
      </c>
      <c r="F20" s="14">
        <v>2.75</v>
      </c>
      <c r="G20" s="15">
        <v>143.69999999999999</v>
      </c>
      <c r="I20" cm="1">
        <f t="array" ref="I20:L20">+TRANSPOSE(MMULT(MINVERSE(MMULT(TRANSPOSE($D$3:G20),$D$3:G20)),MMULT(TRANSPOSE($D$3:G20),$C$3:C20)))</f>
        <v>-29167.673589328304</v>
      </c>
      <c r="J20">
        <v>1.254537877018528</v>
      </c>
      <c r="K20">
        <v>-790.39121470827376</v>
      </c>
      <c r="L20">
        <v>5.3484033013014596</v>
      </c>
      <c r="M20" cm="1">
        <f t="array" ref="M20">+MMULT(D21:G21,TRANSPOSE(_xlfn.ANCHORARRAY(I20)))</f>
        <v>37320.221882625767</v>
      </c>
      <c r="N20">
        <f t="shared" si="0"/>
        <v>196.7696622270596</v>
      </c>
      <c r="O20" cm="1">
        <f t="array" ref="O20">1+MMULT(MMULT(D20:G20,MINVERSE(MMULT(TRANSPOSE(D15:G19),D15:G19))),TRANSPOSE(D20:G20))</f>
        <v>2.5834640329158072</v>
      </c>
      <c r="P20">
        <f t="shared" si="1"/>
        <v>122.42128401621358</v>
      </c>
      <c r="Q20">
        <f t="shared" si="2"/>
        <v>122.42128401621358</v>
      </c>
      <c r="R20">
        <f t="shared" si="3"/>
        <v>0.35615569351484277</v>
      </c>
      <c r="S20">
        <v>2011</v>
      </c>
      <c r="T20">
        <f>+SUM($R$7:R20)</f>
        <v>-0.66253000472107726</v>
      </c>
      <c r="W20">
        <f t="shared" si="4"/>
        <v>0.12684687802303862</v>
      </c>
      <c r="X20">
        <f>+SUM($W$7:W20)/$W$23</f>
        <v>0.99859421201360443</v>
      </c>
      <c r="Y20">
        <f t="shared" si="5"/>
        <v>-0.1333333333333333</v>
      </c>
      <c r="Z20">
        <f t="shared" si="6"/>
        <v>0.8666666666666667</v>
      </c>
      <c r="AA20">
        <f t="shared" si="7"/>
        <v>1.8666666666666667</v>
      </c>
    </row>
    <row r="21" spans="2:27" x14ac:dyDescent="0.25">
      <c r="B21" s="11">
        <v>2012</v>
      </c>
      <c r="C21" s="14">
        <v>37228.699999999997</v>
      </c>
      <c r="D21" s="14">
        <v>1</v>
      </c>
      <c r="E21" s="14">
        <v>54062.2</v>
      </c>
      <c r="F21" s="14">
        <v>2.64</v>
      </c>
      <c r="G21" s="15">
        <v>140.5</v>
      </c>
      <c r="I21" cm="1">
        <f t="array" ref="I21:L21">+TRANSPOSE(MMULT(MINVERSE(MMULT(TRANSPOSE($D$3:G21),$D$3:G21)),MMULT(TRANSPOSE($D$3:G21),$C$3:C21)))</f>
        <v>-29120.018335922039</v>
      </c>
      <c r="J21">
        <v>1.2530387806798995</v>
      </c>
      <c r="K21">
        <v>-790.50110772232438</v>
      </c>
      <c r="L21">
        <v>5.4457326999863653</v>
      </c>
      <c r="M21" cm="1">
        <f t="array" ref="M21">+MMULT(D22:G22,TRANSPOSE(_xlfn.ANCHORARRAY(I21)))</f>
        <v>38246.366393012606</v>
      </c>
      <c r="N21">
        <f t="shared" si="0"/>
        <v>-91.521882625769649</v>
      </c>
      <c r="O21" cm="1">
        <f t="array" ref="O21">1+MMULT(MMULT(D21:G21,MINVERSE(MMULT(TRANSPOSE(D16:G20),D16:G20))),TRANSPOSE(D21:G21))</f>
        <v>3.6196083323730832</v>
      </c>
      <c r="P21">
        <f t="shared" si="1"/>
        <v>-48.105436025785288</v>
      </c>
      <c r="Q21">
        <f t="shared" si="2"/>
        <v>-48.105436025785288</v>
      </c>
      <c r="R21">
        <f t="shared" si="3"/>
        <v>-0.13995135786460425</v>
      </c>
      <c r="S21">
        <v>2012</v>
      </c>
      <c r="T21">
        <f>+SUM($R$7:R21)</f>
        <v>-0.80248136258568148</v>
      </c>
      <c r="U21">
        <f>-3*0.948*SQRT(2013-$B$7)</f>
        <v>-11.014764636613894</v>
      </c>
      <c r="V21">
        <f>3*0.948*SQRT(2013-$B$7)</f>
        <v>11.014764636613894</v>
      </c>
      <c r="W21">
        <f t="shared" si="4"/>
        <v>1.9586382568146526E-2</v>
      </c>
      <c r="X21">
        <f>+SUM($W$7:W21)/$W$23</f>
        <v>1</v>
      </c>
      <c r="Y21">
        <f t="shared" si="5"/>
        <v>-6.6666666666666652E-2</v>
      </c>
      <c r="Z21">
        <f t="shared" si="6"/>
        <v>0.93333333333333335</v>
      </c>
      <c r="AA21">
        <f t="shared" si="7"/>
        <v>1.9333333333333333</v>
      </c>
    </row>
    <row r="22" spans="2:27" ht="15.75" thickBot="1" x14ac:dyDescent="0.3">
      <c r="B22" s="16">
        <v>2013</v>
      </c>
      <c r="C22" s="17">
        <v>36886.5</v>
      </c>
      <c r="D22" s="17">
        <v>1</v>
      </c>
      <c r="E22" s="17">
        <v>54888.6</v>
      </c>
      <c r="F22" s="17">
        <v>2.7</v>
      </c>
      <c r="G22" s="18">
        <v>132.80000000000001</v>
      </c>
      <c r="I22" cm="1">
        <f t="array" ref="I22:L22">+TRANSPOSE(MMULT(MINVERSE(MMULT(TRANSPOSE($D$3:G22),$D$3:G22)),MMULT(TRANSPOSE($D$3:G22),$C$3:C22)))</f>
        <v>-28468.941950870067</v>
      </c>
      <c r="J22">
        <v>1.2326861559360536</v>
      </c>
      <c r="K22">
        <v>-803.30443100975026</v>
      </c>
      <c r="L22">
        <v>7.0493147085121564</v>
      </c>
      <c r="S22">
        <v>2013</v>
      </c>
    </row>
    <row r="23" spans="2:27" x14ac:dyDescent="0.25">
      <c r="P23">
        <f>+AVERAGE(P8:P21)</f>
        <v>-19.7026189460043</v>
      </c>
      <c r="Q23">
        <f>+SUMSQ(Q8:Q21)</f>
        <v>1654101.3400770479</v>
      </c>
      <c r="R23">
        <f>+SQRT(Q23/(2013-1998-1))</f>
        <v>343.72968408298567</v>
      </c>
      <c r="W23">
        <f>+SUM(W8:W21)</f>
        <v>13.932671752563587</v>
      </c>
      <c r="X2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FAC-4530-4B0E-8876-16D18CA08514}">
  <dimension ref="A1:O17"/>
  <sheetViews>
    <sheetView topLeftCell="B1" workbookViewId="0">
      <selection activeCell="M17" sqref="M17"/>
    </sheetView>
  </sheetViews>
  <sheetFormatPr baseColWidth="10" defaultRowHeight="15" x14ac:dyDescent="0.25"/>
  <cols>
    <col min="6" max="6" width="15" customWidth="1"/>
    <col min="7" max="7" width="13" customWidth="1"/>
    <col min="8" max="8" width="14" customWidth="1"/>
    <col min="9" max="9" width="12.85546875" customWidth="1"/>
    <col min="10" max="10" width="24.28515625" customWidth="1"/>
    <col min="11" max="12" width="11.28515625" customWidth="1"/>
    <col min="13" max="13" width="13.7109375" customWidth="1"/>
    <col min="14" max="14" width="11.28515625" customWidth="1"/>
    <col min="15" max="15" width="12" bestFit="1" customWidth="1"/>
  </cols>
  <sheetData>
    <row r="1" spans="1:15" x14ac:dyDescent="0.25">
      <c r="F1" s="7" t="s">
        <v>24</v>
      </c>
      <c r="G1" s="7"/>
      <c r="I1" s="3" t="s">
        <v>26</v>
      </c>
      <c r="N1" s="3" t="s">
        <v>31</v>
      </c>
      <c r="O1" s="3" t="s">
        <v>32</v>
      </c>
    </row>
    <row r="2" spans="1:15" ht="26.25" customHeight="1" x14ac:dyDescent="0.25">
      <c r="B2" s="1" t="s">
        <v>18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25</v>
      </c>
      <c r="I2" s="3" t="s">
        <v>27</v>
      </c>
      <c r="J2" s="4"/>
      <c r="K2" s="3" t="s">
        <v>28</v>
      </c>
      <c r="L2" s="3" t="s">
        <v>35</v>
      </c>
      <c r="M2" s="5" t="s">
        <v>33</v>
      </c>
      <c r="N2" s="3" t="s">
        <v>29</v>
      </c>
      <c r="O2" s="3" t="s">
        <v>30</v>
      </c>
    </row>
    <row r="3" spans="1:15" x14ac:dyDescent="0.25">
      <c r="B3">
        <v>1</v>
      </c>
      <c r="C3">
        <v>1</v>
      </c>
      <c r="D3">
        <v>14</v>
      </c>
      <c r="E3">
        <v>64.55</v>
      </c>
    </row>
    <row r="4" spans="1:15" x14ac:dyDescent="0.25">
      <c r="B4">
        <v>2</v>
      </c>
      <c r="C4">
        <v>1</v>
      </c>
      <c r="D4">
        <v>15</v>
      </c>
      <c r="E4">
        <v>64.56</v>
      </c>
    </row>
    <row r="5" spans="1:15" x14ac:dyDescent="0.25">
      <c r="B5">
        <v>3</v>
      </c>
      <c r="C5">
        <v>1</v>
      </c>
      <c r="D5">
        <v>17</v>
      </c>
      <c r="E5">
        <v>71.349999999999994</v>
      </c>
      <c r="F5">
        <v>29.6159</v>
      </c>
      <c r="G5">
        <v>2.4264999999999999</v>
      </c>
      <c r="H5">
        <v>0.83609999999999995</v>
      </c>
      <c r="I5">
        <f>+E6-(F5*C6+G5*D6)</f>
        <v>-0.72039999999999793</v>
      </c>
      <c r="J5" s="3">
        <v>2.5</v>
      </c>
      <c r="K5">
        <f>+I5/SQRT(J5)</f>
        <v>-0.45562096527705875</v>
      </c>
      <c r="L5">
        <f>+K5-$K$13</f>
        <v>10.923460487961282</v>
      </c>
      <c r="M5">
        <f>+K5/$K$14</f>
        <v>-3.0720464703534182E-2</v>
      </c>
      <c r="N5">
        <f>+SUM($M$4:M5)</f>
        <v>-3.0720464703534182E-2</v>
      </c>
      <c r="O5">
        <f>+SUMSQ($N$4:N5)/SUMSQ($N$5:$N$11)</f>
        <v>1.9416917983665044E-5</v>
      </c>
    </row>
    <row r="6" spans="1:15" x14ac:dyDescent="0.25">
      <c r="B6">
        <v>4</v>
      </c>
      <c r="C6">
        <v>1</v>
      </c>
      <c r="D6">
        <v>13</v>
      </c>
      <c r="E6">
        <v>60.44</v>
      </c>
      <c r="F6">
        <v>27.3003</v>
      </c>
      <c r="G6">
        <v>2.5712000000000002</v>
      </c>
      <c r="H6">
        <v>0.44540000000000002</v>
      </c>
      <c r="I6">
        <f t="shared" ref="I6:I11" si="0">+E7-(F6*C7+G6*D7)</f>
        <v>1.4980999999999938</v>
      </c>
      <c r="J6" s="3">
        <v>2.46</v>
      </c>
      <c r="K6">
        <f t="shared" ref="K6:K11" si="1">+I6/SQRT(J6)</f>
        <v>0.95515367384018313</v>
      </c>
      <c r="L6">
        <f t="shared" ref="L6:L11" si="2">+K6-$K$13</f>
        <v>12.334235127078523</v>
      </c>
      <c r="M6">
        <f t="shared" ref="M6:M11" si="3">+K6/$K$14</f>
        <v>6.4401700009162857E-2</v>
      </c>
      <c r="N6">
        <f>+SUM($M$4:M6)</f>
        <v>3.3681235305628679E-2</v>
      </c>
      <c r="O6">
        <f>+SUMSQ($N$4:N6)/SUMSQ($N$5:$N$11)</f>
        <v>4.2756912909035051E-5</v>
      </c>
    </row>
    <row r="7" spans="1:15" x14ac:dyDescent="0.25">
      <c r="B7">
        <v>5</v>
      </c>
      <c r="C7">
        <v>1</v>
      </c>
      <c r="D7">
        <v>18</v>
      </c>
      <c r="E7">
        <v>75.08</v>
      </c>
      <c r="F7">
        <v>24.107399999999998</v>
      </c>
      <c r="G7">
        <v>2.798</v>
      </c>
      <c r="H7">
        <v>0.29160000000000003</v>
      </c>
      <c r="I7">
        <f t="shared" si="0"/>
        <v>-0.38540000000000418</v>
      </c>
      <c r="J7" s="3">
        <v>1.22</v>
      </c>
      <c r="K7">
        <f t="shared" si="1"/>
        <v>-0.34892476524787019</v>
      </c>
      <c r="L7">
        <f t="shared" si="2"/>
        <v>11.03015668799047</v>
      </c>
      <c r="M7">
        <f t="shared" si="3"/>
        <v>-2.352642163529052E-2</v>
      </c>
      <c r="N7">
        <f>+SUM($M$4:M7)</f>
        <v>1.0154813670338159E-2</v>
      </c>
      <c r="O7">
        <f>+SUMSQ($N$4:N7)/SUMSQ($N$5:$N$11)</f>
        <v>4.4878538046290965E-5</v>
      </c>
    </row>
    <row r="8" spans="1:15" x14ac:dyDescent="0.25">
      <c r="B8">
        <v>6</v>
      </c>
      <c r="C8">
        <v>1</v>
      </c>
      <c r="D8">
        <v>16</v>
      </c>
      <c r="E8">
        <v>68.489999999999995</v>
      </c>
      <c r="F8">
        <v>24.214400000000001</v>
      </c>
      <c r="G8">
        <v>2.7869999999999999</v>
      </c>
      <c r="H8">
        <v>0.25390000000000001</v>
      </c>
      <c r="I8">
        <f t="shared" si="0"/>
        <v>1.3256000000000085</v>
      </c>
      <c r="J8" s="3">
        <v>2.3199999999999998</v>
      </c>
      <c r="K8">
        <f t="shared" si="1"/>
        <v>0.87029903699424682</v>
      </c>
      <c r="L8">
        <f t="shared" si="2"/>
        <v>12.249380490232587</v>
      </c>
      <c r="M8">
        <f t="shared" si="3"/>
        <v>5.8680334938590123E-2</v>
      </c>
      <c r="N8">
        <f>+SUM($M$4:M8)</f>
        <v>6.8835148608928282E-2</v>
      </c>
      <c r="O8">
        <f>+SUMSQ($N$4:N8)/SUMSQ($N$5:$N$11)</f>
        <v>1.4236520967816278E-4</v>
      </c>
    </row>
    <row r="9" spans="1:15" x14ac:dyDescent="0.25">
      <c r="B9">
        <v>7</v>
      </c>
      <c r="C9">
        <v>1</v>
      </c>
      <c r="D9">
        <v>20</v>
      </c>
      <c r="E9">
        <v>81.28</v>
      </c>
      <c r="F9">
        <v>22.040800000000001</v>
      </c>
      <c r="G9">
        <v>2.9333</v>
      </c>
      <c r="H9">
        <v>0.17380000000000001</v>
      </c>
      <c r="I9" s="2">
        <f t="shared" si="0"/>
        <v>-33.936900000000009</v>
      </c>
      <c r="J9" s="3">
        <v>1.1599999999999999</v>
      </c>
      <c r="K9" s="2">
        <f t="shared" si="1"/>
        <v>-31.509620610903966</v>
      </c>
      <c r="L9" s="2">
        <f t="shared" si="2"/>
        <v>-20.130539157665623</v>
      </c>
      <c r="M9">
        <f t="shared" si="3"/>
        <v>-2.1245514617844745</v>
      </c>
      <c r="N9">
        <f>+SUM($M$4:M9)</f>
        <v>-2.0557163131755463</v>
      </c>
      <c r="O9">
        <f>+SUMSQ($N$4:N9)/SUMSQ($N$5:$N$11)</f>
        <v>8.7088663911621678E-2</v>
      </c>
    </row>
    <row r="10" spans="1:15" x14ac:dyDescent="0.25">
      <c r="B10">
        <v>8</v>
      </c>
      <c r="C10">
        <v>1</v>
      </c>
      <c r="D10">
        <v>17</v>
      </c>
      <c r="E10">
        <v>37.97</v>
      </c>
      <c r="F10" s="2">
        <v>29.448899999999998</v>
      </c>
      <c r="G10">
        <v>2.2164000000000001</v>
      </c>
      <c r="H10">
        <v>2.1608999999999998</v>
      </c>
      <c r="I10" s="2">
        <f t="shared" si="0"/>
        <v>-31.501499999999997</v>
      </c>
      <c r="J10" s="3">
        <v>1.27</v>
      </c>
      <c r="K10" s="2">
        <f t="shared" si="1"/>
        <v>-27.953061081371708</v>
      </c>
      <c r="L10" s="2">
        <f t="shared" si="2"/>
        <v>-16.573979628133365</v>
      </c>
      <c r="M10">
        <f t="shared" si="3"/>
        <v>-1.8847487094537636</v>
      </c>
      <c r="N10">
        <f>+SUM($M$4:M10)</f>
        <v>-3.9404650226293096</v>
      </c>
      <c r="O10">
        <f>+SUMSQ($N$4:N10)/SUMSQ($N$5:$N$11)</f>
        <v>0.40655101834026058</v>
      </c>
    </row>
    <row r="11" spans="1:15" x14ac:dyDescent="0.25">
      <c r="B11">
        <v>9</v>
      </c>
      <c r="C11">
        <v>1</v>
      </c>
      <c r="D11">
        <v>14</v>
      </c>
      <c r="E11">
        <v>28.977</v>
      </c>
      <c r="F11" s="2">
        <v>0.74750000000000005</v>
      </c>
      <c r="G11" s="2">
        <v>3.7915000000000001</v>
      </c>
      <c r="H11">
        <v>2.5194999999999999</v>
      </c>
      <c r="I11" s="2">
        <f t="shared" si="0"/>
        <v>-22.648000000000003</v>
      </c>
      <c r="J11" s="3">
        <v>1.1399999999999999</v>
      </c>
      <c r="K11" s="2">
        <f t="shared" si="1"/>
        <v>-21.211795460702209</v>
      </c>
      <c r="L11" s="2">
        <f t="shared" si="2"/>
        <v>-9.8327140074638688</v>
      </c>
      <c r="M11">
        <f t="shared" si="3"/>
        <v>-1.4302156033422102</v>
      </c>
      <c r="N11">
        <f>+SUM($M$4:M11)</f>
        <v>-5.3706806259715201</v>
      </c>
      <c r="O11">
        <f>+SUMSQ($N$4:N11)/SUMSQ($N$5:$N$11)</f>
        <v>1</v>
      </c>
    </row>
    <row r="12" spans="1:15" x14ac:dyDescent="0.25">
      <c r="B12">
        <v>10</v>
      </c>
      <c r="C12">
        <v>1</v>
      </c>
      <c r="D12">
        <v>15</v>
      </c>
      <c r="E12">
        <v>34.972000000000001</v>
      </c>
      <c r="F12" s="2">
        <v>-9.4408999999999992</v>
      </c>
      <c r="G12" s="2">
        <v>4.2897999999999996</v>
      </c>
      <c r="H12">
        <v>2.61</v>
      </c>
      <c r="I12" s="6">
        <f>+E13-(F12*C13+G12*D13)</f>
        <v>0</v>
      </c>
      <c r="J12" s="6"/>
      <c r="K12" s="6"/>
      <c r="L12" s="6"/>
      <c r="M12" s="6"/>
      <c r="N12" s="6"/>
      <c r="O12" s="6"/>
    </row>
    <row r="13" spans="1:15" x14ac:dyDescent="0.25">
      <c r="A13" t="s">
        <v>34</v>
      </c>
      <c r="K13">
        <f>+AVERAGE(K5:K11)</f>
        <v>-11.37908145323834</v>
      </c>
    </row>
    <row r="14" spans="1:15" x14ac:dyDescent="0.25">
      <c r="J14" t="s">
        <v>11</v>
      </c>
      <c r="K14">
        <f>+SQRT(SUMSQ(L5:L11)/(B12-B5-1))</f>
        <v>14.831187277731598</v>
      </c>
    </row>
    <row r="16" spans="1:15" x14ac:dyDescent="0.25">
      <c r="F16" cm="1">
        <f t="array" ref="F16:F17">+MMULT(MINVERSE(MMULT(TRANSPOSE(C3:D5),C3:D5)),MMULT(TRANSPOSE(C3:D5),E3:E5))</f>
        <v>29.592857142855792</v>
      </c>
      <c r="H16" cm="1">
        <f t="array" ref="H16">1+MMULT(MMULT(C12:D12,MINVERSE(MMULT(TRANSPOSE(C3:D11),C3:D11))),TRANSPOSE(C12:D12))</f>
        <v>1.1361111111111106</v>
      </c>
    </row>
    <row r="17" spans="6:6" x14ac:dyDescent="0.25">
      <c r="F17">
        <v>2.4278571428570785</v>
      </c>
    </row>
  </sheetData>
  <mergeCells count="1"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</dc:creator>
  <cp:lastModifiedBy>Roberto Carlos</cp:lastModifiedBy>
  <dcterms:created xsi:type="dcterms:W3CDTF">2021-05-27T20:31:09Z</dcterms:created>
  <dcterms:modified xsi:type="dcterms:W3CDTF">2021-08-21T02:34:40Z</dcterms:modified>
</cp:coreProperties>
</file>