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60" yWindow="0" windowWidth="25260" windowHeight="15480" tabRatio="500"/>
  </bookViews>
  <sheets>
    <sheet name="02-17-16" sheetId="1" r:id="rId1"/>
    <sheet name="02-28-16" sheetId="9" r:id="rId2"/>
    <sheet name="02-20-16" sheetId="8" r:id="rId3"/>
    <sheet name="02-21-16" sheetId="10" r:id="rId4"/>
    <sheet name="02-22-16" sheetId="7" r:id="rId5"/>
    <sheet name="02-23-16" sheetId="6" r:id="rId6"/>
    <sheet name="02-24-16" sheetId="4" r:id="rId7"/>
    <sheet name="02-25-16" sheetId="5" r:id="rId8"/>
    <sheet name="02-26-16" sheetId="3" r:id="rId9"/>
    <sheet name="02-29-16" sheetId="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8" l="1"/>
  <c r="H26" i="8"/>
  <c r="H28" i="8"/>
  <c r="E24" i="8"/>
  <c r="E25" i="8"/>
  <c r="E26" i="8"/>
  <c r="E27" i="8"/>
  <c r="E28" i="8"/>
  <c r="D28" i="8"/>
  <c r="H27" i="8"/>
  <c r="C22" i="8"/>
  <c r="H20" i="8"/>
  <c r="H22" i="8"/>
  <c r="E18" i="8"/>
  <c r="E19" i="8"/>
  <c r="E20" i="8"/>
  <c r="E21" i="8"/>
  <c r="E22" i="8"/>
  <c r="D22" i="8"/>
  <c r="H21" i="8"/>
  <c r="C16" i="8"/>
  <c r="H14" i="8"/>
  <c r="H16" i="8"/>
  <c r="E12" i="8"/>
  <c r="E13" i="8"/>
  <c r="E14" i="8"/>
  <c r="E15" i="8"/>
  <c r="E16" i="8"/>
  <c r="D16" i="8"/>
  <c r="H15" i="8"/>
  <c r="C10" i="8"/>
  <c r="H8" i="8"/>
  <c r="H10" i="8"/>
  <c r="E6" i="8"/>
  <c r="E7" i="8"/>
  <c r="E8" i="8"/>
  <c r="E9" i="8"/>
  <c r="E10" i="8"/>
  <c r="D10" i="8"/>
  <c r="H9" i="8"/>
  <c r="E34" i="7"/>
  <c r="E35" i="7"/>
  <c r="E36" i="7"/>
  <c r="E37" i="7"/>
  <c r="E39" i="7"/>
  <c r="D39" i="7"/>
  <c r="C39" i="7"/>
  <c r="C38" i="7"/>
  <c r="H32" i="7"/>
  <c r="H33" i="7"/>
  <c r="H35" i="7"/>
  <c r="H36" i="7"/>
  <c r="H38" i="7"/>
  <c r="E30" i="7"/>
  <c r="E31" i="7"/>
  <c r="E32" i="7"/>
  <c r="E33" i="7"/>
  <c r="E38" i="7"/>
  <c r="D38" i="7"/>
  <c r="H37" i="7"/>
  <c r="C28" i="7"/>
  <c r="H26" i="7"/>
  <c r="H28" i="7"/>
  <c r="E24" i="7"/>
  <c r="E25" i="7"/>
  <c r="E26" i="7"/>
  <c r="E27" i="7"/>
  <c r="E28" i="7"/>
  <c r="D28" i="7"/>
  <c r="H27" i="7"/>
  <c r="C22" i="7"/>
  <c r="H20" i="7"/>
  <c r="H22" i="7"/>
  <c r="E18" i="7"/>
  <c r="E19" i="7"/>
  <c r="E20" i="7"/>
  <c r="E21" i="7"/>
  <c r="E22" i="7"/>
  <c r="D22" i="7"/>
  <c r="H21" i="7"/>
  <c r="E11" i="7"/>
  <c r="E12" i="7"/>
  <c r="E13" i="7"/>
  <c r="E14" i="7"/>
  <c r="E16" i="7"/>
  <c r="D16" i="7"/>
  <c r="C16" i="7"/>
  <c r="C15" i="7"/>
  <c r="H9" i="7"/>
  <c r="H10" i="7"/>
  <c r="H12" i="7"/>
  <c r="H13" i="7"/>
  <c r="H15" i="7"/>
  <c r="E7" i="7"/>
  <c r="E8" i="7"/>
  <c r="E9" i="7"/>
  <c r="E10" i="7"/>
  <c r="E15" i="7"/>
  <c r="D15" i="7"/>
  <c r="H14" i="7"/>
  <c r="E20" i="6"/>
  <c r="E19" i="6"/>
  <c r="E18" i="6"/>
  <c r="E30" i="5"/>
  <c r="E29" i="5"/>
  <c r="E28" i="5"/>
  <c r="O21" i="4"/>
  <c r="C47" i="4"/>
  <c r="H41" i="4"/>
  <c r="H42" i="4"/>
  <c r="C48" i="4"/>
  <c r="H44" i="4"/>
  <c r="H45" i="4"/>
  <c r="H48" i="4"/>
  <c r="E43" i="4"/>
  <c r="E44" i="4"/>
  <c r="E45" i="4"/>
  <c r="E46" i="4"/>
  <c r="E48" i="4"/>
  <c r="D48" i="4"/>
  <c r="E39" i="4"/>
  <c r="E40" i="4"/>
  <c r="E41" i="4"/>
  <c r="E42" i="4"/>
  <c r="E47" i="4"/>
  <c r="D47" i="4"/>
  <c r="H46" i="4"/>
  <c r="C36" i="4"/>
  <c r="H30" i="4"/>
  <c r="H31" i="4"/>
  <c r="C37" i="4"/>
  <c r="H33" i="4"/>
  <c r="H34" i="4"/>
  <c r="H37" i="4"/>
  <c r="E32" i="4"/>
  <c r="E33" i="4"/>
  <c r="E34" i="4"/>
  <c r="E35" i="4"/>
  <c r="E37" i="4"/>
  <c r="D37" i="4"/>
  <c r="E28" i="4"/>
  <c r="E29" i="4"/>
  <c r="E30" i="4"/>
  <c r="E31" i="4"/>
  <c r="E36" i="4"/>
  <c r="D36" i="4"/>
  <c r="H35" i="4"/>
  <c r="C25" i="4"/>
  <c r="H19" i="4"/>
  <c r="H20" i="4"/>
  <c r="C26" i="4"/>
  <c r="H22" i="4"/>
  <c r="H23" i="4"/>
  <c r="H26" i="4"/>
  <c r="E21" i="4"/>
  <c r="E23" i="4"/>
  <c r="E26" i="4"/>
  <c r="D26" i="4"/>
  <c r="H25" i="4"/>
  <c r="E17" i="4"/>
  <c r="E18" i="4"/>
  <c r="E19" i="4"/>
  <c r="E20" i="4"/>
  <c r="E25" i="4"/>
  <c r="D25" i="4"/>
  <c r="H24" i="4"/>
  <c r="C14" i="4"/>
  <c r="H8" i="4"/>
  <c r="H9" i="4"/>
  <c r="C15" i="4"/>
  <c r="H11" i="4"/>
  <c r="H12" i="4"/>
  <c r="H15" i="4"/>
  <c r="E10" i="4"/>
  <c r="E12" i="4"/>
  <c r="E15" i="4"/>
  <c r="D15" i="4"/>
  <c r="H14" i="4"/>
  <c r="E6" i="4"/>
  <c r="E7" i="4"/>
  <c r="E8" i="4"/>
  <c r="E9" i="4"/>
  <c r="E14" i="4"/>
  <c r="D14" i="4"/>
  <c r="H13" i="4"/>
  <c r="L24" i="2"/>
  <c r="L9" i="3"/>
  <c r="E11" i="3"/>
  <c r="E10" i="3"/>
  <c r="E9" i="3"/>
  <c r="E20" i="3"/>
  <c r="E19" i="3"/>
  <c r="E18" i="3"/>
  <c r="C43" i="3"/>
  <c r="H37" i="3"/>
  <c r="H43" i="3"/>
  <c r="C32" i="3"/>
  <c r="H26" i="3"/>
  <c r="H32" i="3"/>
  <c r="C21" i="3"/>
  <c r="H17" i="3"/>
  <c r="H21" i="3"/>
  <c r="D43" i="3"/>
  <c r="C44" i="3"/>
  <c r="E27" i="3"/>
  <c r="C33" i="3"/>
  <c r="D21" i="3"/>
  <c r="D22" i="3"/>
  <c r="E43" i="3"/>
  <c r="E37" i="3"/>
  <c r="E36" i="3"/>
  <c r="E35" i="3"/>
  <c r="D32" i="3"/>
  <c r="E32" i="3"/>
  <c r="E26" i="3"/>
  <c r="E25" i="3"/>
  <c r="E24" i="3"/>
  <c r="C22" i="3"/>
  <c r="E22" i="3"/>
  <c r="E21" i="3"/>
  <c r="E17" i="3"/>
  <c r="E16" i="3"/>
  <c r="E15" i="3"/>
  <c r="C12" i="3"/>
  <c r="H8" i="3"/>
  <c r="H12" i="3"/>
  <c r="C13" i="3"/>
  <c r="D13" i="3"/>
  <c r="E13" i="3"/>
  <c r="D12" i="3"/>
  <c r="E12" i="3"/>
  <c r="E8" i="3"/>
  <c r="E7" i="3"/>
  <c r="E6" i="3"/>
  <c r="C36" i="2"/>
  <c r="H32" i="2"/>
  <c r="H36" i="2"/>
  <c r="C28" i="2"/>
  <c r="H24" i="2"/>
  <c r="H25" i="2"/>
  <c r="H28" i="2"/>
  <c r="D28" i="2"/>
  <c r="E28" i="2"/>
  <c r="C20" i="2"/>
  <c r="D20" i="2"/>
  <c r="E20" i="2"/>
  <c r="C12" i="2"/>
  <c r="D12" i="2"/>
  <c r="E12" i="2"/>
  <c r="E10" i="2"/>
  <c r="E8" i="2"/>
  <c r="E7" i="2"/>
  <c r="E6" i="2"/>
  <c r="H16" i="2"/>
  <c r="H20" i="2"/>
  <c r="H8" i="2"/>
  <c r="H12" i="2"/>
  <c r="D36" i="2"/>
  <c r="E27" i="2"/>
  <c r="E22" i="2"/>
  <c r="E23" i="2"/>
  <c r="E24" i="2"/>
  <c r="E25" i="2"/>
  <c r="E26" i="2"/>
  <c r="E18" i="2"/>
  <c r="E34" i="2"/>
  <c r="E35" i="2"/>
  <c r="E30" i="2"/>
  <c r="E31" i="2"/>
  <c r="E32" i="2"/>
  <c r="E36" i="2"/>
  <c r="E14" i="2"/>
  <c r="E15" i="2"/>
  <c r="E16" i="2"/>
  <c r="E17" i="2"/>
  <c r="I22" i="1"/>
  <c r="I21" i="1"/>
  <c r="I19" i="1"/>
  <c r="I18" i="1"/>
  <c r="H9" i="1"/>
  <c r="I9" i="1"/>
  <c r="H8" i="1"/>
  <c r="I8" i="1"/>
  <c r="H6" i="1"/>
  <c r="I6" i="1"/>
  <c r="H5" i="1"/>
  <c r="I5" i="1"/>
</calcChain>
</file>

<file path=xl/sharedStrings.xml><?xml version="1.0" encoding="utf-8"?>
<sst xmlns="http://schemas.openxmlformats.org/spreadsheetml/2006/main" count="598" uniqueCount="212">
  <si>
    <t>n/a</t>
  </si>
  <si>
    <t>Tank #</t>
  </si>
  <si>
    <t xml:space="preserve">Schema: </t>
  </si>
  <si>
    <t>a</t>
  </si>
  <si>
    <t>b</t>
  </si>
  <si>
    <t>c</t>
  </si>
  <si>
    <t>d</t>
  </si>
  <si>
    <t>e</t>
  </si>
  <si>
    <t>Date:</t>
  </si>
  <si>
    <t>Ave</t>
  </si>
  <si>
    <t>Plunged culture tanks for ~30 seconds, pulled 500 uL  from top of the 25 gallon culture tanks, in replicates of 5</t>
  </si>
  <si>
    <t>Est. Larvae Per Tank</t>
  </si>
  <si>
    <t>Light duty day</t>
  </si>
  <si>
    <t>Algae Counts</t>
  </si>
  <si>
    <t>Plunge culture tanks for ~30 seconds, pull 2mL from top of the 25 gallon culture tanks, put into X for 10 minutes at max speed; pull off supernatant to 0.1mL line; vortex to mix; using pipette pull ~20uL and put into hemocytometer.</t>
  </si>
  <si>
    <t>Heavy duty day</t>
  </si>
  <si>
    <t>Live</t>
  </si>
  <si>
    <t>Dead</t>
  </si>
  <si>
    <t>Plunged tripours (filled to various volumes), pulled 100 uL in duplicates (A &amp; B), counted each well twice.</t>
  </si>
  <si>
    <t>Tank 1 A(1)</t>
  </si>
  <si>
    <t>Tank 1 A(2)</t>
  </si>
  <si>
    <t>Tank 1 B(1)</t>
  </si>
  <si>
    <t>Tank 1 B(2)</t>
  </si>
  <si>
    <t>Tank 2 A(1)</t>
  </si>
  <si>
    <t>Tank 2 A(2)</t>
  </si>
  <si>
    <t>Tank 2 B(1)</t>
  </si>
  <si>
    <t>Tank 2 B(2)</t>
  </si>
  <si>
    <t>Tank 4 A(1)</t>
  </si>
  <si>
    <t>Tank 4 A(2)</t>
  </si>
  <si>
    <t>Tank 4 B(1)</t>
  </si>
  <si>
    <t>Tank 4 B(2)</t>
  </si>
  <si>
    <t>Tank 5 A(1)</t>
  </si>
  <si>
    <t>Tank 5 A(2)</t>
  </si>
  <si>
    <t>Tank 5 B(1)</t>
  </si>
  <si>
    <t>Tank 5 B(2)</t>
  </si>
  <si>
    <t>% Live</t>
  </si>
  <si>
    <t xml:space="preserve">Live individuals/mL: </t>
  </si>
  <si>
    <t>mL needed for 10K</t>
  </si>
  <si>
    <t>Estimated total count:</t>
  </si>
  <si>
    <t xml:space="preserve"> Live individuals/mL:  </t>
  </si>
  <si>
    <t xml:space="preserve"> mL needed for 10K </t>
  </si>
  <si>
    <t xml:space="preserve"> Estimated total count: </t>
  </si>
  <si>
    <t>Tripour volume: 375mL</t>
  </si>
  <si>
    <t xml:space="preserve"> Tripour volume: 350mL </t>
  </si>
  <si>
    <t>Calculations &amp; Notes</t>
  </si>
  <si>
    <t>TANK 2 AVERAGES</t>
  </si>
  <si>
    <t>TANK 4 AVERAGES</t>
  </si>
  <si>
    <t>TANK 5 AVERAGES</t>
  </si>
  <si>
    <t>Tripour volume: 750mL during count, but too dilute so condensed tripour down to 350mL</t>
  </si>
  <si>
    <t>Sampled 11mL after concentrating</t>
  </si>
  <si>
    <t xml:space="preserve">TANK 1 AVERAGES </t>
  </si>
  <si>
    <t>Larvae Counts &amp; Calculations for Genomic Sampling</t>
  </si>
  <si>
    <t>Tank 1 A 100um (1)</t>
  </si>
  <si>
    <t>Tank 1 A 100um (2)</t>
  </si>
  <si>
    <t>Tank 1 B 100um (1)</t>
  </si>
  <si>
    <t>Tank 1 B 100um (2)</t>
  </si>
  <si>
    <t>Tank 1 C 60um (1)</t>
  </si>
  <si>
    <t>Tank 1 C 60um (2)</t>
  </si>
  <si>
    <t>Tank 1 D 60um (1)</t>
  </si>
  <si>
    <t>Tank 1 D 60um (2)</t>
  </si>
  <si>
    <t>Tank 5 A 100um (1)</t>
  </si>
  <si>
    <t>Tank 5 A 100um (2)</t>
  </si>
  <si>
    <t>Tank 5 B 100um (1)</t>
  </si>
  <si>
    <t>Tank 5 B 100um (2)</t>
  </si>
  <si>
    <t>Tank 5 C 60um (1)</t>
  </si>
  <si>
    <t>Tank 5 D 60um (1)</t>
  </si>
  <si>
    <t>Tank 5 D 60um (2)</t>
  </si>
  <si>
    <t>Discreet Water Chemistry Samples:</t>
  </si>
  <si>
    <t xml:space="preserve">Tank </t>
  </si>
  <si>
    <t>Salinity</t>
  </si>
  <si>
    <t>pH</t>
  </si>
  <si>
    <t>Time of Sample</t>
  </si>
  <si>
    <t>Time of HgCl added:</t>
  </si>
  <si>
    <t xml:space="preserve">Temperature </t>
  </si>
  <si>
    <t>Combined 60um &amp; 100um larvae to collect sample</t>
  </si>
  <si>
    <t>Tripour volume: 350mL</t>
  </si>
  <si>
    <t xml:space="preserve">TANK 1 100um AVERAGES </t>
  </si>
  <si>
    <t>TANK 1 60um AVERAGES</t>
  </si>
  <si>
    <t>100um tripour volume: 350</t>
  </si>
  <si>
    <t xml:space="preserve">100um live individuals/mL: </t>
  </si>
  <si>
    <t>100um live count:</t>
  </si>
  <si>
    <t>60um tripour volume: 350</t>
  </si>
  <si>
    <t xml:space="preserve">60um live individuals/mL: </t>
  </si>
  <si>
    <t>60um live count:</t>
  </si>
  <si>
    <t>mL needed for 10K:</t>
  </si>
  <si>
    <t>TANK 1 total live count:</t>
  </si>
  <si>
    <t>TANK 2 total live count:</t>
  </si>
  <si>
    <t>TANK 4 total live count:</t>
  </si>
  <si>
    <t>TANK 5 total live count:</t>
  </si>
  <si>
    <t>Tank 5 C 60um (2)</t>
  </si>
  <si>
    <t>Header 1</t>
  </si>
  <si>
    <t>Header 2</t>
  </si>
  <si>
    <t>-</t>
  </si>
  <si>
    <t>Time sample collected</t>
  </si>
  <si>
    <t>*7.541</t>
  </si>
  <si>
    <t>*I changed the CO2 relay set point range to 7.40-7.45 @ 1:40pm</t>
  </si>
  <si>
    <t>CONTROL GROUP</t>
  </si>
  <si>
    <t>LOW PH GROUP</t>
  </si>
  <si>
    <t>Start Time</t>
  </si>
  <si>
    <t>Header 2*</t>
  </si>
  <si>
    <t>Header 1*</t>
  </si>
  <si>
    <t xml:space="preserve">Total sampling time: </t>
  </si>
  <si>
    <t xml:space="preserve">Ave. time from Sample to HgCl </t>
  </si>
  <si>
    <t>CONTROL CULTURE TANKS</t>
  </si>
  <si>
    <t>LOW PH CULTURE TANKS</t>
  </si>
  <si>
    <t>HEADER TANKS</t>
  </si>
  <si>
    <t>Ave. time from measurements started to HgCl added:</t>
  </si>
  <si>
    <t>Ave. time from measurement start to HgCl:</t>
  </si>
  <si>
    <t>Total time:</t>
  </si>
  <si>
    <t>Measurements-&gt;HgCl</t>
  </si>
  <si>
    <t>Sample-&gt;HgCl</t>
  </si>
  <si>
    <t>100um tripour volume: 3250</t>
  </si>
  <si>
    <t>Tank 2 A 100um (1)</t>
  </si>
  <si>
    <t>Tank 2 B 100um (2)</t>
  </si>
  <si>
    <t>Tank 2 B 100um (1)</t>
  </si>
  <si>
    <t>Tank 2 A 100um (2)</t>
  </si>
  <si>
    <t>Tank 2 C 60um (1)</t>
  </si>
  <si>
    <t>Tank 2 C 60um (2)</t>
  </si>
  <si>
    <t>Tank 2 D 60um (1)</t>
  </si>
  <si>
    <t>Tank 2 D 60um (2)</t>
  </si>
  <si>
    <t xml:space="preserve">TANK 2 100um AVERAGES </t>
  </si>
  <si>
    <t>TANK 2 60um AVERAGES</t>
  </si>
  <si>
    <t>Tank 4 A 100um (1)</t>
  </si>
  <si>
    <t>Tank 4 A 100um (2)</t>
  </si>
  <si>
    <t>Tank 4 B 100um (1)</t>
  </si>
  <si>
    <t>Tank 4 B 100um (2)</t>
  </si>
  <si>
    <t>Tank 4 C 60um (1)</t>
  </si>
  <si>
    <t>Tank 4 C 60um (2)</t>
  </si>
  <si>
    <t>Tank 4 D 60um (1)</t>
  </si>
  <si>
    <t>Tank 4 D 60um (2)</t>
  </si>
  <si>
    <t xml:space="preserve">TANK 4 100um AVERAGES </t>
  </si>
  <si>
    <t>TANK 4 60um AVERAGES</t>
  </si>
  <si>
    <t xml:space="preserve">TANK 5 100um AVERAGES </t>
  </si>
  <si>
    <t>TANK 5 60um AVERAGES</t>
  </si>
  <si>
    <t>Condensed to 200mL, sampled:</t>
  </si>
  <si>
    <t xml:space="preserve">  Sampled:</t>
  </si>
  <si>
    <t xml:space="preserve">Condensed to 350mL, sampled: </t>
  </si>
  <si>
    <t>*28</t>
  </si>
  <si>
    <t>*Mis-calcuated # larvae, oversampled by 6.9mL, ~6,500 larvae</t>
  </si>
  <si>
    <t>100um tripour volume: 250</t>
  </si>
  <si>
    <t>60um tripour volume: 250</t>
  </si>
  <si>
    <t>100um tripour volume: 400</t>
  </si>
  <si>
    <t>Two/three at a time:</t>
  </si>
  <si>
    <t>All tanks at once:</t>
  </si>
  <si>
    <t>Individually:</t>
  </si>
  <si>
    <t>Plunged tripours (filled to various volumes), pulled 100 uL in triplicates (A, B, C), counted most well twice.</t>
  </si>
  <si>
    <t>Tank 1 C(1)</t>
  </si>
  <si>
    <t>Tank 1 C(2)</t>
  </si>
  <si>
    <t>Tripour volume: 800</t>
  </si>
  <si>
    <t>Tank 2 C(1)</t>
  </si>
  <si>
    <t>Tank 2 C(2)</t>
  </si>
  <si>
    <t>Tank 5 C(1)</t>
  </si>
  <si>
    <t>Tank 5 C(2)</t>
  </si>
  <si>
    <t>Tripour volume: 800mL</t>
  </si>
  <si>
    <t xml:space="preserve"> Tripour volume: 800mL </t>
  </si>
  <si>
    <t>Live Count</t>
  </si>
  <si>
    <t>Tank 4 C(1)</t>
  </si>
  <si>
    <t>Tank 4 C(2)</t>
  </si>
  <si>
    <t>*Sampled all remaining larvae</t>
  </si>
  <si>
    <t>Sample Time</t>
  </si>
  <si>
    <t>Time of HgCl added</t>
  </si>
  <si>
    <t>~2:50 PM</t>
  </si>
  <si>
    <t>~2:40 PM</t>
  </si>
  <si>
    <t>Tris Buffer</t>
  </si>
  <si>
    <t>Temperature</t>
  </si>
  <si>
    <t>pH Reading</t>
  </si>
  <si>
    <t>Calculated pH Standard</t>
  </si>
  <si>
    <t>Tank 1 A 100 um (2)</t>
  </si>
  <si>
    <t xml:space="preserve">Tank 1 C 60um </t>
  </si>
  <si>
    <t>Tank 1 D 60um</t>
  </si>
  <si>
    <t>Tripour volume: 250</t>
  </si>
  <si>
    <t>Tank 2 A 100 um (2)</t>
  </si>
  <si>
    <t xml:space="preserve">Tank 2 C 60um </t>
  </si>
  <si>
    <t>Tank 2 D 60um</t>
  </si>
  <si>
    <t>Tank 4 A 100 um (2)</t>
  </si>
  <si>
    <t>Tank 5 A 100 um (2)</t>
  </si>
  <si>
    <t>Tank 4 D 60uM (1)</t>
  </si>
  <si>
    <t>Tripour volume: 280</t>
  </si>
  <si>
    <t xml:space="preserve">*60um larvae appear recently dead </t>
  </si>
  <si>
    <t>*60um larvae appear recently dead</t>
  </si>
  <si>
    <t>~0%</t>
  </si>
  <si>
    <t xml:space="preserve">Most larvae </t>
  </si>
  <si>
    <t>Most larvae</t>
  </si>
  <si>
    <t>~3:25 PM</t>
  </si>
  <si>
    <t>~10:20 AM</t>
  </si>
  <si>
    <t>pH Offset</t>
  </si>
  <si>
    <t>PM Samples</t>
  </si>
  <si>
    <t>AM Samples</t>
  </si>
  <si>
    <t>Counts for estimates of tank density only, did not take genomic samples</t>
  </si>
  <si>
    <t xml:space="preserve">Tank #1 </t>
  </si>
  <si>
    <t xml:space="preserve">Tank #2: </t>
  </si>
  <si>
    <t>mL Sampled</t>
  </si>
  <si>
    <t>Tank #4:</t>
  </si>
  <si>
    <t>Live larvae/mL</t>
  </si>
  <si>
    <t>Larval counts and sample data, sent from Brent:</t>
  </si>
  <si>
    <t>Tank 1</t>
  </si>
  <si>
    <t>Tank 2</t>
  </si>
  <si>
    <t>Tank 3</t>
  </si>
  <si>
    <t>Tank 4</t>
  </si>
  <si>
    <t>Tank 5</t>
  </si>
  <si>
    <t>Tank 6</t>
  </si>
  <si>
    <t>Time A</t>
  </si>
  <si>
    <t>Time B</t>
  </si>
  <si>
    <t>Flow Rate mL/sec</t>
  </si>
  <si>
    <t>Flow Rate L/hr</t>
  </si>
  <si>
    <t xml:space="preserve">Tested flow rates with graduated cylinder, time to fill 500mL. </t>
  </si>
  <si>
    <t>Count A</t>
  </si>
  <si>
    <t>Count B</t>
  </si>
  <si>
    <t>cells/mL</t>
  </si>
  <si>
    <t>Schema:</t>
  </si>
  <si>
    <t>Algae Counts:</t>
  </si>
  <si>
    <t>Sampled 1.5mL from culture tanks; centrifuged; removed top 1mL; vortexed to mix and counted via hemocytometer. Counts are duplicate pulls from the same vial, and include cells found in the entire grid area (3mm x 3mm x 0.1mm):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</si>
</sst>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409]h:mm\ AM/PM;@"/>
    <numFmt numFmtId="167" formatCode="0.000"/>
    <numFmt numFmtId="168" formatCode="h:mm;@"/>
    <numFmt numFmtId="169" formatCode="_(* #,##0.0_);_(* \(#,##0.0\);_(* &quot;-&quot;??_);_(@_)"/>
    <numFmt numFmtId="170" formatCode="_(* #,##0.000_);_(* \(#,##0.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800000"/>
      <name val="Calibri"/>
      <scheme val="minor"/>
    </font>
    <font>
      <sz val="12"/>
      <color rgb="FF800000"/>
      <name val="Calibri"/>
      <scheme val="minor"/>
    </font>
    <font>
      <sz val="12"/>
      <name val="Calibri"/>
    </font>
    <font>
      <u/>
      <sz val="12"/>
      <color theme="1"/>
      <name val="Calibri"/>
      <scheme val="minor"/>
    </font>
    <font>
      <b/>
      <sz val="12"/>
      <color rgb="FF800000"/>
      <name val="Calibri"/>
    </font>
    <font>
      <sz val="15"/>
      <color rgb="FF333A42"/>
      <name val="Georgia"/>
    </font>
    <font>
      <sz val="12"/>
      <color rgb="FF333A42"/>
      <name val="Calibri"/>
      <scheme val="minor"/>
    </font>
    <font>
      <b/>
      <sz val="12"/>
      <color rgb="FF333A4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14" fontId="0" fillId="0" borderId="0" xfId="0" applyNumberFormat="1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1" fontId="0" fillId="0" borderId="2" xfId="0" applyNumberFormat="1" applyBorder="1"/>
    <xf numFmtId="0" fontId="2" fillId="0" borderId="0" xfId="0" applyFont="1" applyBorder="1"/>
    <xf numFmtId="0" fontId="0" fillId="0" borderId="0" xfId="0" applyBorder="1"/>
    <xf numFmtId="9" fontId="0" fillId="0" borderId="0" xfId="2" applyFont="1" applyBorder="1"/>
    <xf numFmtId="164" fontId="0" fillId="0" borderId="0" xfId="1" applyNumberFormat="1" applyFont="1" applyBorder="1"/>
    <xf numFmtId="165" fontId="0" fillId="0" borderId="0" xfId="0" applyNumberFormat="1" applyBorder="1"/>
    <xf numFmtId="1" fontId="0" fillId="0" borderId="0" xfId="0" applyNumberFormat="1" applyBorder="1"/>
    <xf numFmtId="0" fontId="6" fillId="0" borderId="0" xfId="0" applyFont="1" applyBorder="1"/>
    <xf numFmtId="164" fontId="7" fillId="0" borderId="0" xfId="0" applyNumberFormat="1" applyFont="1" applyBorder="1"/>
    <xf numFmtId="0" fontId="7" fillId="0" borderId="0" xfId="0" applyFont="1" applyBorder="1"/>
    <xf numFmtId="9" fontId="0" fillId="0" borderId="2" xfId="2" applyFont="1" applyBorder="1"/>
    <xf numFmtId="164" fontId="6" fillId="0" borderId="2" xfId="0" applyNumberFormat="1" applyFont="1" applyBorder="1"/>
    <xf numFmtId="164" fontId="7" fillId="0" borderId="2" xfId="0" applyNumberFormat="1" applyFont="1" applyBorder="1"/>
    <xf numFmtId="164" fontId="0" fillId="0" borderId="3" xfId="1" applyNumberFormat="1" applyFont="1" applyBorder="1"/>
    <xf numFmtId="164" fontId="2" fillId="0" borderId="2" xfId="1" applyNumberFormat="1" applyFont="1" applyBorder="1"/>
    <xf numFmtId="0" fontId="2" fillId="0" borderId="2" xfId="0" applyFont="1" applyBorder="1"/>
    <xf numFmtId="164" fontId="1" fillId="0" borderId="3" xfId="1" applyNumberFormat="1" applyFont="1" applyBorder="1"/>
    <xf numFmtId="0" fontId="0" fillId="0" borderId="0" xfId="0" applyFont="1" applyBorder="1"/>
    <xf numFmtId="0" fontId="0" fillId="0" borderId="0" xfId="0" applyFill="1" applyBorder="1"/>
    <xf numFmtId="0" fontId="2" fillId="0" borderId="4" xfId="0" applyFont="1" applyBorder="1"/>
    <xf numFmtId="1" fontId="0" fillId="0" borderId="5" xfId="0" applyNumberFormat="1" applyBorder="1"/>
    <xf numFmtId="0" fontId="0" fillId="0" borderId="5" xfId="0" applyBorder="1"/>
    <xf numFmtId="0" fontId="2" fillId="0" borderId="7" xfId="0" applyFont="1" applyBorder="1"/>
    <xf numFmtId="0" fontId="0" fillId="0" borderId="8" xfId="0" applyBorder="1"/>
    <xf numFmtId="165" fontId="0" fillId="0" borderId="9" xfId="0" applyNumberFormat="1" applyBorder="1"/>
    <xf numFmtId="9" fontId="1" fillId="0" borderId="8" xfId="2" applyFont="1" applyFill="1" applyBorder="1"/>
    <xf numFmtId="1" fontId="0" fillId="0" borderId="8" xfId="0" applyNumberFormat="1" applyFont="1" applyFill="1" applyBorder="1"/>
    <xf numFmtId="164" fontId="0" fillId="0" borderId="8" xfId="1" applyNumberFormat="1" applyFont="1" applyBorder="1"/>
    <xf numFmtId="0" fontId="0" fillId="0" borderId="9" xfId="0" applyBorder="1"/>
    <xf numFmtId="164" fontId="8" fillId="0" borderId="5" xfId="1" applyNumberFormat="1" applyFont="1" applyBorder="1"/>
    <xf numFmtId="0" fontId="9" fillId="0" borderId="5" xfId="0" applyFont="1" applyBorder="1"/>
    <xf numFmtId="164" fontId="8" fillId="0" borderId="6" xfId="1" applyNumberFormat="1" applyFont="1" applyBorder="1"/>
    <xf numFmtId="164" fontId="8" fillId="0" borderId="2" xfId="1" applyNumberFormat="1" applyFont="1" applyBorder="1"/>
    <xf numFmtId="164" fontId="8" fillId="0" borderId="3" xfId="1" applyNumberFormat="1" applyFont="1" applyBorder="1"/>
    <xf numFmtId="9" fontId="0" fillId="0" borderId="5" xfId="2" applyFont="1" applyBorder="1"/>
    <xf numFmtId="0" fontId="0" fillId="0" borderId="12" xfId="0" applyBorder="1" applyAlignment="1">
      <alignment horizontal="right"/>
    </xf>
    <xf numFmtId="20" fontId="0" fillId="0" borderId="12" xfId="0" applyNumberFormat="1" applyBorder="1" applyAlignment="1">
      <alignment horizontal="right"/>
    </xf>
    <xf numFmtId="20" fontId="0" fillId="0" borderId="14" xfId="0" applyNumberFormat="1" applyBorder="1" applyAlignment="1">
      <alignment horizontal="right"/>
    </xf>
    <xf numFmtId="18" fontId="0" fillId="0" borderId="13" xfId="0" applyNumberFormat="1" applyBorder="1" applyAlignment="1">
      <alignment horizontal="right"/>
    </xf>
    <xf numFmtId="18" fontId="0" fillId="0" borderId="15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18" fontId="10" fillId="0" borderId="13" xfId="0" applyNumberFormat="1" applyFont="1" applyBorder="1" applyAlignment="1">
      <alignment horizontal="right"/>
    </xf>
    <xf numFmtId="18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2" xfId="0" applyFont="1" applyBorder="1" applyAlignment="1">
      <alignment horizontal="right"/>
    </xf>
    <xf numFmtId="18" fontId="0" fillId="0" borderId="12" xfId="0" applyNumberFormat="1" applyFont="1" applyBorder="1" applyAlignment="1">
      <alignment horizontal="right"/>
    </xf>
    <xf numFmtId="166" fontId="0" fillId="0" borderId="12" xfId="0" applyNumberFormat="1" applyFont="1" applyBorder="1" applyAlignment="1">
      <alignment horizontal="right"/>
    </xf>
    <xf numFmtId="166" fontId="0" fillId="0" borderId="14" xfId="0" applyNumberFormat="1" applyFont="1" applyBorder="1" applyAlignment="1">
      <alignment horizontal="right"/>
    </xf>
    <xf numFmtId="0" fontId="2" fillId="0" borderId="10" xfId="0" applyFont="1" applyBorder="1" applyAlignment="1"/>
    <xf numFmtId="0" fontId="2" fillId="0" borderId="17" xfId="0" applyFont="1" applyBorder="1" applyAlignment="1"/>
    <xf numFmtId="0" fontId="0" fillId="0" borderId="18" xfId="0" applyFont="1" applyBorder="1" applyAlignment="1">
      <alignment horizontal="right"/>
    </xf>
    <xf numFmtId="166" fontId="0" fillId="0" borderId="18" xfId="0" applyNumberFormat="1" applyFont="1" applyBorder="1" applyAlignment="1">
      <alignment horizontal="right"/>
    </xf>
    <xf numFmtId="0" fontId="0" fillId="0" borderId="18" xfId="0" applyBorder="1" applyAlignment="1">
      <alignment horizontal="right"/>
    </xf>
    <xf numFmtId="18" fontId="0" fillId="0" borderId="18" xfId="0" applyNumberFormat="1" applyFont="1" applyBorder="1" applyAlignment="1">
      <alignment horizontal="right"/>
    </xf>
    <xf numFmtId="18" fontId="0" fillId="0" borderId="18" xfId="0" applyNumberFormat="1" applyBorder="1" applyAlignment="1">
      <alignment horizontal="right"/>
    </xf>
    <xf numFmtId="167" fontId="0" fillId="0" borderId="18" xfId="0" applyNumberFormat="1" applyFont="1" applyBorder="1" applyAlignment="1">
      <alignment horizontal="right"/>
    </xf>
    <xf numFmtId="18" fontId="0" fillId="0" borderId="12" xfId="0" applyNumberFormat="1" applyFont="1" applyBorder="1" applyAlignment="1"/>
    <xf numFmtId="18" fontId="0" fillId="0" borderId="12" xfId="0" applyNumberFormat="1" applyBorder="1" applyAlignment="1">
      <alignment horizontal="right"/>
    </xf>
    <xf numFmtId="18" fontId="0" fillId="0" borderId="14" xfId="0" applyNumberFormat="1" applyBorder="1" applyAlignment="1">
      <alignment horizontal="right"/>
    </xf>
    <xf numFmtId="167" fontId="0" fillId="0" borderId="12" xfId="0" applyNumberFormat="1" applyBorder="1" applyAlignment="1">
      <alignment horizontal="right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0" fontId="2" fillId="0" borderId="16" xfId="0" applyFont="1" applyBorder="1" applyAlignment="1"/>
    <xf numFmtId="14" fontId="2" fillId="0" borderId="5" xfId="0" applyNumberFormat="1" applyFont="1" applyBorder="1"/>
    <xf numFmtId="0" fontId="0" fillId="0" borderId="6" xfId="0" applyBorder="1"/>
    <xf numFmtId="0" fontId="2" fillId="0" borderId="21" xfId="0" applyFont="1" applyFill="1" applyBorder="1" applyAlignment="1">
      <alignment horizontal="center"/>
    </xf>
    <xf numFmtId="0" fontId="2" fillId="0" borderId="21" xfId="0" applyFont="1" applyBorder="1" applyAlignment="1">
      <alignment horizontal="right"/>
    </xf>
    <xf numFmtId="0" fontId="2" fillId="0" borderId="23" xfId="0" applyFont="1" applyBorder="1" applyAlignment="1"/>
    <xf numFmtId="18" fontId="0" fillId="0" borderId="24" xfId="0" applyNumberFormat="1" applyFont="1" applyBorder="1" applyAlignment="1">
      <alignment horizontal="right"/>
    </xf>
    <xf numFmtId="167" fontId="0" fillId="0" borderId="24" xfId="0" applyNumberFormat="1" applyFont="1" applyBorder="1" applyAlignment="1">
      <alignment horizontal="right"/>
    </xf>
    <xf numFmtId="0" fontId="0" fillId="0" borderId="24" xfId="0" applyFont="1" applyBorder="1" applyAlignment="1">
      <alignment horizontal="right"/>
    </xf>
    <xf numFmtId="166" fontId="0" fillId="0" borderId="24" xfId="0" applyNumberFormat="1" applyFont="1" applyBorder="1" applyAlignment="1">
      <alignment horizontal="right"/>
    </xf>
    <xf numFmtId="166" fontId="0" fillId="0" borderId="25" xfId="0" applyNumberFormat="1" applyFont="1" applyBorder="1" applyAlignment="1">
      <alignment horizontal="right"/>
    </xf>
    <xf numFmtId="18" fontId="0" fillId="0" borderId="24" xfId="0" applyNumberForma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1" xfId="0" applyBorder="1"/>
    <xf numFmtId="0" fontId="6" fillId="0" borderId="0" xfId="0" applyFont="1" applyBorder="1" applyAlignment="1">
      <alignment horizontal="right"/>
    </xf>
    <xf numFmtId="0" fontId="0" fillId="0" borderId="27" xfId="0" applyBorder="1"/>
    <xf numFmtId="0" fontId="0" fillId="0" borderId="7" xfId="0" applyBorder="1"/>
    <xf numFmtId="0" fontId="6" fillId="0" borderId="8" xfId="0" applyFont="1" applyBorder="1" applyAlignment="1">
      <alignment horizontal="right"/>
    </xf>
    <xf numFmtId="0" fontId="2" fillId="0" borderId="28" xfId="0" applyFont="1" applyBorder="1" applyAlignment="1"/>
    <xf numFmtId="0" fontId="0" fillId="0" borderId="27" xfId="0" applyFont="1" applyBorder="1" applyAlignment="1">
      <alignment horizontal="right"/>
    </xf>
    <xf numFmtId="166" fontId="0" fillId="0" borderId="27" xfId="0" applyNumberFormat="1" applyFont="1" applyBorder="1" applyAlignment="1">
      <alignment horizontal="right"/>
    </xf>
    <xf numFmtId="0" fontId="0" fillId="0" borderId="27" xfId="0" applyBorder="1" applyAlignment="1">
      <alignment horizontal="right"/>
    </xf>
    <xf numFmtId="18" fontId="0" fillId="0" borderId="27" xfId="0" applyNumberFormat="1" applyBorder="1" applyAlignment="1">
      <alignment horizontal="right"/>
    </xf>
    <xf numFmtId="168" fontId="6" fillId="0" borderId="0" xfId="0" applyNumberFormat="1" applyFont="1" applyBorder="1"/>
    <xf numFmtId="0" fontId="2" fillId="0" borderId="8" xfId="0" applyFont="1" applyBorder="1"/>
    <xf numFmtId="168" fontId="6" fillId="0" borderId="8" xfId="0" applyNumberFormat="1" applyFont="1" applyBorder="1"/>
    <xf numFmtId="0" fontId="2" fillId="0" borderId="0" xfId="0" applyFont="1" applyBorder="1" applyAlignment="1">
      <alignment horizontal="right"/>
    </xf>
    <xf numFmtId="168" fontId="2" fillId="0" borderId="0" xfId="0" applyNumberFormat="1" applyFont="1" applyBorder="1"/>
    <xf numFmtId="0" fontId="11" fillId="0" borderId="0" xfId="0" applyFont="1"/>
    <xf numFmtId="0" fontId="2" fillId="0" borderId="8" xfId="0" applyFont="1" applyBorder="1" applyAlignment="1">
      <alignment horizontal="right"/>
    </xf>
    <xf numFmtId="18" fontId="0" fillId="0" borderId="0" xfId="0" applyNumberFormat="1" applyFont="1" applyBorder="1" applyAlignment="1"/>
    <xf numFmtId="18" fontId="0" fillId="0" borderId="27" xfId="0" applyNumberFormat="1" applyFont="1" applyBorder="1" applyAlignment="1"/>
    <xf numFmtId="0" fontId="2" fillId="0" borderId="4" xfId="0" applyFont="1" applyFill="1" applyBorder="1"/>
    <xf numFmtId="0" fontId="2" fillId="0" borderId="27" xfId="0" applyFont="1" applyBorder="1"/>
    <xf numFmtId="0" fontId="2" fillId="0" borderId="7" xfId="0" applyFont="1" applyBorder="1" applyAlignment="1">
      <alignment horizontal="right"/>
    </xf>
    <xf numFmtId="0" fontId="0" fillId="0" borderId="4" xfId="0" applyBorder="1"/>
    <xf numFmtId="14" fontId="2" fillId="0" borderId="0" xfId="0" applyNumberFormat="1" applyFont="1" applyBorder="1"/>
    <xf numFmtId="18" fontId="0" fillId="0" borderId="22" xfId="0" applyNumberFormat="1" applyBorder="1" applyAlignment="1">
      <alignment horizontal="right"/>
    </xf>
    <xf numFmtId="168" fontId="2" fillId="0" borderId="8" xfId="0" applyNumberFormat="1" applyFont="1" applyBorder="1"/>
    <xf numFmtId="20" fontId="0" fillId="0" borderId="0" xfId="0" applyNumberFormat="1" applyBorder="1"/>
    <xf numFmtId="20" fontId="0" fillId="0" borderId="2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0" fontId="0" fillId="0" borderId="0" xfId="0" applyFill="1" applyBorder="1" applyAlignment="1">
      <alignment horizontal="right"/>
    </xf>
    <xf numFmtId="9" fontId="0" fillId="0" borderId="0" xfId="2" applyFont="1" applyBorder="1" applyAlignment="1">
      <alignment horizontal="right"/>
    </xf>
    <xf numFmtId="164" fontId="8" fillId="0" borderId="8" xfId="1" applyNumberFormat="1" applyFont="1" applyBorder="1"/>
    <xf numFmtId="0" fontId="9" fillId="0" borderId="8" xfId="0" applyFont="1" applyBorder="1"/>
    <xf numFmtId="164" fontId="8" fillId="0" borderId="9" xfId="1" applyNumberFormat="1" applyFont="1" applyBorder="1"/>
    <xf numFmtId="0" fontId="5" fillId="0" borderId="0" xfId="0" applyFont="1" applyBorder="1"/>
    <xf numFmtId="14" fontId="0" fillId="0" borderId="0" xfId="0" applyNumberFormat="1" applyFont="1" applyBorder="1"/>
    <xf numFmtId="164" fontId="0" fillId="0" borderId="5" xfId="1" applyNumberFormat="1" applyFont="1" applyFill="1" applyBorder="1"/>
    <xf numFmtId="165" fontId="5" fillId="0" borderId="6" xfId="0" applyNumberFormat="1" applyFont="1" applyBorder="1" applyAlignment="1">
      <alignment horizontal="right"/>
    </xf>
    <xf numFmtId="169" fontId="0" fillId="0" borderId="6" xfId="0" applyNumberFormat="1" applyBorder="1"/>
    <xf numFmtId="164" fontId="0" fillId="0" borderId="5" xfId="1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Alignment="1">
      <alignment horizontal="left" wrapText="1"/>
    </xf>
    <xf numFmtId="20" fontId="0" fillId="0" borderId="0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6" fontId="0" fillId="0" borderId="14" xfId="0" applyNumberFormat="1" applyFont="1" applyBorder="1" applyAlignment="1">
      <alignment horizontal="center"/>
    </xf>
    <xf numFmtId="166" fontId="0" fillId="0" borderId="15" xfId="0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166" fontId="0" fillId="0" borderId="20" xfId="0" applyNumberFormat="1" applyFont="1" applyBorder="1" applyAlignment="1">
      <alignment horizontal="center"/>
    </xf>
    <xf numFmtId="166" fontId="0" fillId="0" borderId="22" xfId="0" applyNumberFormat="1" applyFont="1" applyBorder="1" applyAlignment="1">
      <alignment horizontal="center"/>
    </xf>
    <xf numFmtId="18" fontId="0" fillId="0" borderId="14" xfId="0" applyNumberFormat="1" applyBorder="1" applyAlignment="1">
      <alignment horizontal="center"/>
    </xf>
    <xf numFmtId="18" fontId="0" fillId="0" borderId="20" xfId="0" applyNumberFormat="1" applyBorder="1" applyAlignment="1">
      <alignment horizontal="center"/>
    </xf>
    <xf numFmtId="18" fontId="0" fillId="0" borderId="22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9" fillId="0" borderId="2" xfId="0" applyFont="1" applyBorder="1"/>
    <xf numFmtId="164" fontId="8" fillId="0" borderId="3" xfId="1" applyNumberFormat="1" applyFont="1" applyBorder="1" applyAlignment="1">
      <alignment horizontal="left" indent="2"/>
    </xf>
    <xf numFmtId="164" fontId="12" fillId="0" borderId="3" xfId="1" applyNumberFormat="1" applyFont="1" applyBorder="1"/>
    <xf numFmtId="18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8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70" fontId="0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" fontId="0" fillId="0" borderId="8" xfId="0" applyNumberFormat="1" applyBorder="1"/>
    <xf numFmtId="9" fontId="0" fillId="0" borderId="8" xfId="2" applyFont="1" applyBorder="1"/>
    <xf numFmtId="1" fontId="0" fillId="0" borderId="8" xfId="0" applyNumberFormat="1" applyBorder="1" applyAlignment="1">
      <alignment horizontal="right"/>
    </xf>
    <xf numFmtId="9" fontId="0" fillId="0" borderId="8" xfId="2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7" xfId="0" applyFont="1" applyBorder="1" applyAlignment="1"/>
    <xf numFmtId="18" fontId="0" fillId="0" borderId="27" xfId="0" applyNumberFormat="1" applyFont="1" applyBorder="1" applyAlignment="1">
      <alignment horizontal="center"/>
    </xf>
    <xf numFmtId="166" fontId="0" fillId="0" borderId="27" xfId="0" applyNumberFormat="1" applyFont="1" applyBorder="1" applyAlignment="1">
      <alignment horizontal="center"/>
    </xf>
    <xf numFmtId="167" fontId="0" fillId="0" borderId="27" xfId="0" applyNumberFormat="1" applyFont="1" applyBorder="1" applyAlignment="1">
      <alignment horizontal="right"/>
    </xf>
    <xf numFmtId="165" fontId="0" fillId="0" borderId="27" xfId="0" applyNumberFormat="1" applyFont="1" applyBorder="1" applyAlignment="1">
      <alignment horizontal="right"/>
    </xf>
    <xf numFmtId="0" fontId="2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27" xfId="0" applyNumberFormat="1" applyBorder="1" applyAlignment="1">
      <alignment horizontal="right"/>
    </xf>
    <xf numFmtId="170" fontId="0" fillId="0" borderId="8" xfId="1" applyNumberFormat="1" applyFont="1" applyBorder="1" applyAlignment="1">
      <alignment horizontal="right"/>
    </xf>
    <xf numFmtId="170" fontId="0" fillId="0" borderId="9" xfId="1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5" xfId="0" applyFont="1" applyBorder="1"/>
    <xf numFmtId="0" fontId="2" fillId="0" borderId="21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left"/>
    </xf>
    <xf numFmtId="0" fontId="0" fillId="0" borderId="0" xfId="0" applyAlignment="1"/>
    <xf numFmtId="14" fontId="2" fillId="0" borderId="5" xfId="0" applyNumberFormat="1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27" xfId="0" applyBorder="1" applyAlignment="1"/>
    <xf numFmtId="0" fontId="11" fillId="0" borderId="0" xfId="0" applyFont="1" applyBorder="1" applyAlignment="1"/>
    <xf numFmtId="0" fontId="11" fillId="0" borderId="27" xfId="0" applyFont="1" applyBorder="1" applyAlignment="1"/>
    <xf numFmtId="0" fontId="0" fillId="0" borderId="0" xfId="0" applyBorder="1" applyAlignment="1"/>
    <xf numFmtId="168" fontId="2" fillId="0" borderId="27" xfId="0" applyNumberFormat="1" applyFont="1" applyBorder="1" applyAlignment="1"/>
    <xf numFmtId="168" fontId="6" fillId="0" borderId="27" xfId="0" applyNumberFormat="1" applyFont="1" applyBorder="1" applyAlignment="1"/>
    <xf numFmtId="0" fontId="0" fillId="0" borderId="7" xfId="0" applyBorder="1" applyAlignment="1"/>
    <xf numFmtId="0" fontId="0" fillId="0" borderId="8" xfId="0" applyBorder="1" applyAlignment="1"/>
    <xf numFmtId="168" fontId="2" fillId="0" borderId="9" xfId="0" applyNumberFormat="1" applyFont="1" applyBorder="1" applyAlignmen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3" fillId="0" borderId="0" xfId="0" applyFont="1"/>
    <xf numFmtId="3" fontId="0" fillId="0" borderId="0" xfId="0" applyNumberFormat="1" applyFont="1"/>
    <xf numFmtId="14" fontId="2" fillId="0" borderId="0" xfId="0" applyNumberFormat="1" applyFont="1"/>
    <xf numFmtId="20" fontId="0" fillId="0" borderId="0" xfId="0" applyNumberFormat="1" applyFont="1"/>
    <xf numFmtId="165" fontId="0" fillId="0" borderId="0" xfId="0" applyNumberFormat="1" applyFont="1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17" fillId="0" borderId="0" xfId="0" applyFont="1" applyAlignment="1">
      <alignment horizontal="right"/>
    </xf>
  </cellXfs>
  <cellStyles count="3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0"/>
  <sheetViews>
    <sheetView tabSelected="1" showRuler="0" workbookViewId="0">
      <selection activeCell="H17" sqref="H17"/>
    </sheetView>
  </sheetViews>
  <sheetFormatPr baseColWidth="10" defaultRowHeight="15" x14ac:dyDescent="0"/>
  <cols>
    <col min="2" max="2" width="27" customWidth="1"/>
    <col min="3" max="3" width="12.6640625" bestFit="1" customWidth="1"/>
    <col min="5" max="5" width="13.5" customWidth="1"/>
    <col min="6" max="6" width="13.1640625" customWidth="1"/>
    <col min="7" max="7" width="13.6640625" customWidth="1"/>
    <col min="8" max="8" width="18.6640625" customWidth="1"/>
    <col min="9" max="9" width="11.1640625" customWidth="1"/>
  </cols>
  <sheetData>
    <row r="1" spans="2:9">
      <c r="C1" s="1" t="s">
        <v>188</v>
      </c>
    </row>
    <row r="2" spans="2:9">
      <c r="B2" s="1" t="s">
        <v>8</v>
      </c>
      <c r="C2" s="2">
        <v>42417</v>
      </c>
      <c r="D2" s="4" t="s">
        <v>12</v>
      </c>
    </row>
    <row r="3" spans="2:9">
      <c r="B3" s="1" t="s">
        <v>2</v>
      </c>
      <c r="C3" t="s">
        <v>10</v>
      </c>
    </row>
    <row r="4" spans="2:9">
      <c r="B4" s="1" t="s">
        <v>1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9</v>
      </c>
      <c r="I4" s="1" t="s">
        <v>11</v>
      </c>
    </row>
    <row r="5" spans="2:9">
      <c r="B5" s="1">
        <v>1</v>
      </c>
      <c r="C5">
        <v>1</v>
      </c>
      <c r="D5">
        <v>4</v>
      </c>
      <c r="E5">
        <v>5</v>
      </c>
      <c r="F5">
        <v>6</v>
      </c>
      <c r="G5">
        <v>4</v>
      </c>
      <c r="H5">
        <f>AVERAGE(C5:G5)</f>
        <v>4</v>
      </c>
      <c r="I5" s="3">
        <f>H5*2*1000*3.785*25</f>
        <v>757000</v>
      </c>
    </row>
    <row r="6" spans="2:9">
      <c r="B6" s="1">
        <v>2</v>
      </c>
      <c r="C6">
        <v>6</v>
      </c>
      <c r="D6">
        <v>8</v>
      </c>
      <c r="E6">
        <v>5</v>
      </c>
      <c r="F6">
        <v>3</v>
      </c>
      <c r="G6">
        <v>8</v>
      </c>
      <c r="H6">
        <f>AVERAGE(C6:G6)</f>
        <v>6</v>
      </c>
      <c r="I6" s="3">
        <f>H6*2*1000*3.785*25</f>
        <v>1135500</v>
      </c>
    </row>
    <row r="7" spans="2:9">
      <c r="B7" s="1">
        <v>3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I7" s="3"/>
    </row>
    <row r="8" spans="2:9">
      <c r="B8" s="1">
        <v>4</v>
      </c>
      <c r="C8">
        <v>6</v>
      </c>
      <c r="D8">
        <v>3</v>
      </c>
      <c r="E8">
        <v>3</v>
      </c>
      <c r="F8">
        <v>3</v>
      </c>
      <c r="G8">
        <v>3</v>
      </c>
      <c r="H8">
        <f>AVERAGE(C8:G8)</f>
        <v>3.6</v>
      </c>
      <c r="I8" s="3">
        <f>H8*2*1000*3.785*25</f>
        <v>681300</v>
      </c>
    </row>
    <row r="9" spans="2:9">
      <c r="B9" s="1">
        <v>5</v>
      </c>
      <c r="C9">
        <v>8</v>
      </c>
      <c r="D9">
        <v>10</v>
      </c>
      <c r="E9">
        <v>7</v>
      </c>
      <c r="F9">
        <v>4</v>
      </c>
      <c r="G9">
        <v>7</v>
      </c>
      <c r="H9">
        <f>AVERAGE(C9:G9)</f>
        <v>7.2</v>
      </c>
      <c r="I9" s="3">
        <f>H9*2*1000*3.785*25</f>
        <v>1362600</v>
      </c>
    </row>
    <row r="10" spans="2:9">
      <c r="B10" s="1">
        <v>6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</row>
    <row r="14" spans="2:9">
      <c r="C14" s="1" t="s">
        <v>13</v>
      </c>
    </row>
    <row r="15" spans="2:9">
      <c r="B15" s="1" t="s">
        <v>8</v>
      </c>
      <c r="C15" s="2">
        <v>42417</v>
      </c>
      <c r="D15" s="4" t="s">
        <v>12</v>
      </c>
    </row>
    <row r="16" spans="2:9" ht="46" customHeight="1">
      <c r="B16" s="1" t="s">
        <v>2</v>
      </c>
      <c r="C16" s="129" t="s">
        <v>14</v>
      </c>
      <c r="D16" s="129"/>
      <c r="E16" s="129"/>
      <c r="F16" s="129"/>
      <c r="G16" s="129"/>
      <c r="H16" s="129"/>
      <c r="I16" s="129"/>
    </row>
    <row r="17" spans="2:9">
      <c r="B17" s="1" t="s">
        <v>1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9</v>
      </c>
      <c r="I17" s="1" t="s">
        <v>11</v>
      </c>
    </row>
    <row r="18" spans="2:9">
      <c r="B18" s="1">
        <v>1</v>
      </c>
      <c r="I18" s="3">
        <f>H18*2*1000*3.785*25</f>
        <v>0</v>
      </c>
    </row>
    <row r="19" spans="2:9">
      <c r="B19" s="1">
        <v>2</v>
      </c>
      <c r="I19" s="3">
        <f>H19*2*1000*3.785*25</f>
        <v>0</v>
      </c>
    </row>
    <row r="20" spans="2:9">
      <c r="B20" s="1">
        <v>3</v>
      </c>
      <c r="I20" s="3"/>
    </row>
    <row r="21" spans="2:9">
      <c r="B21" s="1">
        <v>4</v>
      </c>
      <c r="I21" s="3">
        <f>H21*2*1000*3.785*25</f>
        <v>0</v>
      </c>
    </row>
    <row r="22" spans="2:9">
      <c r="B22" s="1">
        <v>5</v>
      </c>
      <c r="I22" s="3">
        <f>H22*2*1000*3.785*25</f>
        <v>0</v>
      </c>
    </row>
    <row r="23" spans="2:9">
      <c r="B23" s="1">
        <v>6</v>
      </c>
    </row>
    <row r="25" spans="2:9" ht="16" thickBot="1"/>
    <row r="26" spans="2:9">
      <c r="B26" s="107"/>
      <c r="C26" s="30" t="s">
        <v>108</v>
      </c>
      <c r="D26" s="30" t="s">
        <v>109</v>
      </c>
      <c r="E26" s="30"/>
      <c r="F26" s="74" t="s">
        <v>110</v>
      </c>
    </row>
    <row r="27" spans="2:9">
      <c r="B27" s="85" t="s">
        <v>143</v>
      </c>
      <c r="C27" s="111">
        <v>4.7916666666666663E-2</v>
      </c>
      <c r="D27" s="111">
        <v>3.4722222222222224E-2</v>
      </c>
      <c r="E27" s="11"/>
      <c r="F27" s="112">
        <v>1.0416666666666666E-2</v>
      </c>
    </row>
    <row r="28" spans="2:9">
      <c r="B28" s="85" t="s">
        <v>144</v>
      </c>
      <c r="C28" s="111">
        <v>7.9166666666666663E-2</v>
      </c>
      <c r="D28" s="111">
        <v>7.6388888888888886E-3</v>
      </c>
      <c r="E28" s="11"/>
      <c r="F28" s="112">
        <v>3.472222222222222E-3</v>
      </c>
    </row>
    <row r="29" spans="2:9" ht="16" thickBot="1">
      <c r="B29" s="88" t="s">
        <v>142</v>
      </c>
      <c r="C29" s="113">
        <v>5.6250000000000001E-2</v>
      </c>
      <c r="D29" s="113">
        <v>1.3194444444444444E-2</v>
      </c>
      <c r="E29" s="32"/>
      <c r="F29" s="114">
        <v>9.7222222222222224E-3</v>
      </c>
    </row>
    <row r="119" spans="3:7">
      <c r="C119" s="10"/>
      <c r="D119" s="98"/>
      <c r="E119" s="99"/>
    </row>
    <row r="120" spans="3:7" ht="12" customHeight="1"/>
    <row r="121" spans="3:7" ht="31" customHeight="1"/>
    <row r="122" spans="3:7">
      <c r="F122" s="69"/>
    </row>
    <row r="125" spans="3:7">
      <c r="F125" s="11"/>
      <c r="G125" s="11"/>
    </row>
    <row r="126" spans="3:7">
      <c r="F126" s="11"/>
      <c r="G126" s="11"/>
    </row>
    <row r="127" spans="3:7">
      <c r="F127" s="11"/>
      <c r="G127" s="11"/>
    </row>
    <row r="128" spans="3:7">
      <c r="F128" s="11"/>
      <c r="G128" s="11"/>
    </row>
    <row r="129" spans="6:7">
      <c r="F129" s="11"/>
      <c r="G129" s="11"/>
    </row>
    <row r="130" spans="6:7">
      <c r="F130" s="69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49" spans="2:8">
      <c r="H149" s="100"/>
    </row>
    <row r="150" spans="2:8">
      <c r="B150" s="11"/>
      <c r="C150" s="11"/>
      <c r="D150" s="98"/>
      <c r="E150" s="99"/>
      <c r="H150" s="100"/>
    </row>
  </sheetData>
  <mergeCells count="1">
    <mergeCell ref="C16:I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showRuler="0" zoomScale="95" zoomScaleNormal="95" zoomScalePageLayoutView="95" workbookViewId="0">
      <selection activeCell="N28" sqref="N28"/>
    </sheetView>
  </sheetViews>
  <sheetFormatPr baseColWidth="10" defaultRowHeight="15" x14ac:dyDescent="0"/>
  <cols>
    <col min="2" max="2" width="17.5" customWidth="1"/>
    <col min="8" max="8" width="15.6640625" bestFit="1" customWidth="1"/>
    <col min="11" max="11" width="20.1640625" customWidth="1"/>
  </cols>
  <sheetData>
    <row r="2" spans="2:16">
      <c r="B2" s="5" t="s">
        <v>51</v>
      </c>
      <c r="C2" s="1"/>
      <c r="K2" s="161" t="s">
        <v>67</v>
      </c>
      <c r="L2" s="108"/>
      <c r="M2" s="11"/>
      <c r="N2" s="11"/>
      <c r="O2" s="11"/>
      <c r="P2" s="11"/>
    </row>
    <row r="3" spans="2:16">
      <c r="B3" s="1" t="s">
        <v>8</v>
      </c>
      <c r="C3" s="2">
        <v>42429</v>
      </c>
      <c r="D3" s="4" t="s">
        <v>15</v>
      </c>
      <c r="K3" s="151" t="s">
        <v>8</v>
      </c>
      <c r="L3" s="108">
        <v>42429</v>
      </c>
      <c r="M3" s="11"/>
      <c r="N3" s="11"/>
      <c r="O3" s="11"/>
      <c r="P3" s="11"/>
    </row>
    <row r="4" spans="2:16">
      <c r="B4" s="1" t="s">
        <v>2</v>
      </c>
      <c r="C4" t="s">
        <v>145</v>
      </c>
      <c r="K4" s="98" t="s">
        <v>68</v>
      </c>
      <c r="L4" s="152" t="s">
        <v>96</v>
      </c>
      <c r="M4" s="152"/>
      <c r="N4" s="152"/>
      <c r="O4" s="152"/>
      <c r="P4" s="11"/>
    </row>
    <row r="5" spans="2:16">
      <c r="B5" s="1" t="s">
        <v>1</v>
      </c>
      <c r="C5" s="1" t="s">
        <v>16</v>
      </c>
      <c r="D5" s="1" t="s">
        <v>17</v>
      </c>
      <c r="E5" s="1" t="s">
        <v>35</v>
      </c>
      <c r="F5" s="1" t="s">
        <v>44</v>
      </c>
      <c r="K5" s="98" t="s">
        <v>159</v>
      </c>
      <c r="L5" s="69">
        <v>1</v>
      </c>
      <c r="M5" s="69">
        <v>2</v>
      </c>
      <c r="N5" s="69">
        <v>3</v>
      </c>
      <c r="O5" s="69" t="s">
        <v>99</v>
      </c>
      <c r="P5" s="11"/>
    </row>
    <row r="6" spans="2:16">
      <c r="B6" s="10" t="s">
        <v>19</v>
      </c>
      <c r="C6" s="11">
        <v>2</v>
      </c>
      <c r="D6" s="11">
        <v>23</v>
      </c>
      <c r="E6" s="12">
        <f>C6/(C6+D6)</f>
        <v>0.08</v>
      </c>
      <c r="F6" s="26"/>
      <c r="G6" s="11"/>
      <c r="H6" s="11"/>
      <c r="K6" s="98" t="s">
        <v>160</v>
      </c>
      <c r="L6" s="153" t="s">
        <v>162</v>
      </c>
      <c r="M6" s="153"/>
      <c r="N6" s="153"/>
      <c r="O6" s="153"/>
      <c r="P6" s="11"/>
    </row>
    <row r="7" spans="2:16">
      <c r="B7" s="10" t="s">
        <v>20</v>
      </c>
      <c r="C7" s="11">
        <v>2</v>
      </c>
      <c r="D7" s="11">
        <v>23</v>
      </c>
      <c r="E7" s="12">
        <f>C7/(C7+D7)</f>
        <v>0.08</v>
      </c>
      <c r="F7" s="13" t="s">
        <v>148</v>
      </c>
      <c r="G7" s="11"/>
      <c r="H7" s="11"/>
      <c r="K7" s="98" t="s">
        <v>73</v>
      </c>
      <c r="L7" s="154" t="s">
        <v>161</v>
      </c>
      <c r="M7" s="154"/>
      <c r="N7" s="154"/>
      <c r="O7" s="154"/>
      <c r="P7" s="11"/>
    </row>
    <row r="8" spans="2:16">
      <c r="B8" s="10" t="s">
        <v>21</v>
      </c>
      <c r="C8" s="27">
        <v>3</v>
      </c>
      <c r="D8" s="11">
        <v>24</v>
      </c>
      <c r="E8" s="12">
        <f>C8/(C8+D8)</f>
        <v>0.1111111111111111</v>
      </c>
      <c r="F8" s="13" t="s">
        <v>36</v>
      </c>
      <c r="G8" s="11"/>
      <c r="H8" s="11">
        <f>10*C12</f>
        <v>20</v>
      </c>
      <c r="K8" s="98" t="s">
        <v>69</v>
      </c>
      <c r="L8" s="70">
        <v>15.846</v>
      </c>
      <c r="M8" s="70">
        <v>15.797000000000001</v>
      </c>
      <c r="N8" s="70">
        <v>15.768000000000001</v>
      </c>
      <c r="O8" s="155">
        <v>15.711</v>
      </c>
      <c r="P8" s="11"/>
    </row>
    <row r="9" spans="2:16">
      <c r="B9" s="10" t="s">
        <v>22</v>
      </c>
      <c r="C9" s="115" t="s">
        <v>92</v>
      </c>
      <c r="D9" s="115" t="s">
        <v>92</v>
      </c>
      <c r="E9" s="116" t="s">
        <v>92</v>
      </c>
      <c r="F9" s="13" t="s">
        <v>158</v>
      </c>
      <c r="G9" s="11"/>
      <c r="H9" s="13"/>
      <c r="K9" s="98" t="s">
        <v>70</v>
      </c>
      <c r="L9" s="70">
        <v>27.2</v>
      </c>
      <c r="M9" s="70">
        <v>27.1</v>
      </c>
      <c r="N9" s="156">
        <v>27</v>
      </c>
      <c r="O9" s="156">
        <v>27</v>
      </c>
      <c r="P9" s="11"/>
    </row>
    <row r="10" spans="2:16">
      <c r="B10" s="10" t="s">
        <v>146</v>
      </c>
      <c r="C10" s="27">
        <v>1</v>
      </c>
      <c r="D10" s="27">
        <v>31</v>
      </c>
      <c r="E10" s="12">
        <f>C10/(C10+D10)</f>
        <v>3.125E-2</v>
      </c>
      <c r="G10" s="11"/>
      <c r="H10" s="11"/>
      <c r="K10" s="151"/>
      <c r="L10" s="70">
        <v>7.8380000000000001</v>
      </c>
      <c r="M10" s="70">
        <v>7.8449999999999998</v>
      </c>
      <c r="N10" s="70">
        <v>7.8460000000000001</v>
      </c>
      <c r="O10" s="70">
        <v>7.8449999999999998</v>
      </c>
      <c r="P10" s="11"/>
    </row>
    <row r="11" spans="2:16" ht="16" thickBot="1">
      <c r="B11" s="10" t="s">
        <v>147</v>
      </c>
      <c r="C11" s="115" t="s">
        <v>92</v>
      </c>
      <c r="D11" s="115" t="s">
        <v>92</v>
      </c>
      <c r="E11" s="116" t="s">
        <v>92</v>
      </c>
      <c r="F11" s="13"/>
      <c r="G11" s="11"/>
      <c r="H11" s="15"/>
      <c r="K11" s="98" t="s">
        <v>68</v>
      </c>
      <c r="L11" s="152" t="s">
        <v>97</v>
      </c>
      <c r="M11" s="152"/>
      <c r="N11" s="152"/>
      <c r="O11" s="152"/>
      <c r="P11" s="11"/>
    </row>
    <row r="12" spans="2:16" ht="16" thickBot="1">
      <c r="B12" s="6" t="s">
        <v>50</v>
      </c>
      <c r="C12" s="9">
        <f>AVERAGE(C6:C8,C10)</f>
        <v>2</v>
      </c>
      <c r="D12" s="9">
        <f>AVERAGE(D6:D8,D10)</f>
        <v>25.25</v>
      </c>
      <c r="E12" s="19">
        <f>C12/(C12+D12)</f>
        <v>7.3394495412844041E-2</v>
      </c>
      <c r="F12" s="41" t="s">
        <v>85</v>
      </c>
      <c r="G12" s="147"/>
      <c r="H12" s="42">
        <f>H8*800</f>
        <v>16000</v>
      </c>
      <c r="K12" s="98" t="s">
        <v>159</v>
      </c>
      <c r="L12" s="69">
        <v>4</v>
      </c>
      <c r="M12" s="69">
        <v>5</v>
      </c>
      <c r="N12" s="69">
        <v>6</v>
      </c>
      <c r="O12" s="69" t="s">
        <v>100</v>
      </c>
      <c r="P12" s="11"/>
    </row>
    <row r="13" spans="2:16">
      <c r="B13" s="11"/>
      <c r="C13" s="11"/>
      <c r="D13" s="11"/>
      <c r="E13" s="11"/>
      <c r="F13" s="13"/>
      <c r="G13" s="11"/>
      <c r="H13" s="11"/>
      <c r="K13" s="98" t="s">
        <v>160</v>
      </c>
      <c r="L13" s="153" t="s">
        <v>162</v>
      </c>
      <c r="M13" s="153"/>
      <c r="N13" s="153"/>
      <c r="O13" s="153"/>
      <c r="P13" s="11"/>
    </row>
    <row r="14" spans="2:16">
      <c r="B14" s="10" t="s">
        <v>23</v>
      </c>
      <c r="C14" s="27">
        <v>2</v>
      </c>
      <c r="D14" s="11">
        <v>45</v>
      </c>
      <c r="E14" s="12">
        <f t="shared" ref="E14:E18" si="0">C14/(C14+D14)</f>
        <v>4.2553191489361701E-2</v>
      </c>
      <c r="F14" s="11"/>
      <c r="G14" s="11"/>
      <c r="H14" s="11"/>
      <c r="K14" s="98" t="s">
        <v>73</v>
      </c>
      <c r="L14" s="157" t="s">
        <v>161</v>
      </c>
      <c r="M14" s="157"/>
      <c r="N14" s="157"/>
      <c r="O14" s="157"/>
      <c r="P14" s="11"/>
    </row>
    <row r="15" spans="2:16">
      <c r="B15" s="10" t="s">
        <v>24</v>
      </c>
      <c r="C15" s="27">
        <v>2</v>
      </c>
      <c r="D15" s="11">
        <v>45</v>
      </c>
      <c r="E15" s="12">
        <f t="shared" si="0"/>
        <v>4.2553191489361701E-2</v>
      </c>
      <c r="F15" s="13" t="s">
        <v>153</v>
      </c>
      <c r="G15" s="11"/>
      <c r="H15" s="11"/>
      <c r="K15" s="98" t="s">
        <v>69</v>
      </c>
      <c r="L15" s="52">
        <v>15.885</v>
      </c>
      <c r="M15" s="158">
        <v>15.92</v>
      </c>
      <c r="N15" s="52">
        <v>15.907</v>
      </c>
      <c r="O15" s="52">
        <v>15.614000000000001</v>
      </c>
      <c r="P15" s="11"/>
    </row>
    <row r="16" spans="2:16">
      <c r="B16" s="10" t="s">
        <v>25</v>
      </c>
      <c r="C16" s="27">
        <v>0</v>
      </c>
      <c r="D16" s="11">
        <v>40</v>
      </c>
      <c r="E16" s="12">
        <f t="shared" si="0"/>
        <v>0</v>
      </c>
      <c r="F16" s="13" t="s">
        <v>36</v>
      </c>
      <c r="G16" s="11"/>
      <c r="H16" s="13">
        <f>10*C20</f>
        <v>10</v>
      </c>
      <c r="K16" s="98" t="s">
        <v>70</v>
      </c>
      <c r="L16" s="159">
        <v>27</v>
      </c>
      <c r="M16" s="52">
        <v>26.8</v>
      </c>
      <c r="N16" s="159">
        <v>27</v>
      </c>
      <c r="O16" s="159">
        <v>27</v>
      </c>
      <c r="P16" s="11"/>
    </row>
    <row r="17" spans="2:16">
      <c r="B17" s="10" t="s">
        <v>26</v>
      </c>
      <c r="C17" s="27">
        <v>0</v>
      </c>
      <c r="D17" s="27">
        <v>41</v>
      </c>
      <c r="E17" s="12">
        <f t="shared" si="0"/>
        <v>0</v>
      </c>
      <c r="F17" s="13" t="s">
        <v>158</v>
      </c>
      <c r="G17" s="11"/>
      <c r="H17" s="14"/>
      <c r="K17" s="98"/>
      <c r="L17" s="160">
        <v>6.9649999999999999</v>
      </c>
      <c r="M17" s="160">
        <v>6.944</v>
      </c>
      <c r="N17" s="160">
        <v>6.6719999999999997</v>
      </c>
      <c r="O17" s="160">
        <v>6.6719999999999997</v>
      </c>
      <c r="P17" s="11"/>
    </row>
    <row r="18" spans="2:16">
      <c r="B18" s="10" t="s">
        <v>149</v>
      </c>
      <c r="C18" s="27">
        <v>1</v>
      </c>
      <c r="D18" s="27">
        <v>33</v>
      </c>
      <c r="E18" s="12">
        <f t="shared" si="0"/>
        <v>2.9411764705882353E-2</v>
      </c>
      <c r="F18" s="13"/>
      <c r="G18" s="11"/>
      <c r="H18" s="14"/>
      <c r="K18" s="98"/>
      <c r="L18" s="51"/>
      <c r="M18" s="51"/>
      <c r="N18" s="51"/>
      <c r="O18" s="71"/>
      <c r="P18" s="11"/>
    </row>
    <row r="19" spans="2:16" ht="16" thickBot="1">
      <c r="B19" s="10" t="s">
        <v>150</v>
      </c>
      <c r="C19" s="115" t="s">
        <v>92</v>
      </c>
      <c r="D19" s="115" t="s">
        <v>92</v>
      </c>
      <c r="E19" s="12"/>
      <c r="F19" s="13"/>
      <c r="G19" s="11"/>
      <c r="H19" s="14"/>
      <c r="K19" s="98"/>
      <c r="L19" s="150" t="s">
        <v>163</v>
      </c>
      <c r="M19" s="51"/>
      <c r="N19" s="51"/>
      <c r="O19" s="71"/>
      <c r="P19" s="11"/>
    </row>
    <row r="20" spans="2:16" ht="16" thickBot="1">
      <c r="B20" s="6" t="s">
        <v>45</v>
      </c>
      <c r="C20" s="9">
        <f>AVERAGE(C14:C18)</f>
        <v>1</v>
      </c>
      <c r="D20" s="9">
        <f>AVERAGE(D14:D17)</f>
        <v>42.75</v>
      </c>
      <c r="E20" s="19">
        <f>C20/(C20+D20)</f>
        <v>2.2857142857142857E-2</v>
      </c>
      <c r="F20" s="41" t="s">
        <v>86</v>
      </c>
      <c r="G20" s="24"/>
      <c r="H20" s="42">
        <f>H16*800</f>
        <v>8000</v>
      </c>
      <c r="K20" s="98" t="s">
        <v>164</v>
      </c>
      <c r="L20" s="11">
        <v>15.292</v>
      </c>
      <c r="M20" s="86"/>
      <c r="N20" s="95"/>
      <c r="O20" s="11"/>
      <c r="P20" s="11"/>
    </row>
    <row r="21" spans="2:16">
      <c r="B21" s="11"/>
      <c r="C21" s="11"/>
      <c r="D21" s="11"/>
      <c r="E21" s="11"/>
      <c r="F21" s="11"/>
      <c r="G21" s="11"/>
      <c r="H21" s="11"/>
      <c r="K21" s="98" t="s">
        <v>69</v>
      </c>
      <c r="L21" s="11">
        <v>25.6</v>
      </c>
      <c r="M21" s="86"/>
      <c r="N21" s="95"/>
      <c r="O21" s="11"/>
      <c r="P21" s="11"/>
    </row>
    <row r="22" spans="2:16">
      <c r="B22" s="16" t="s">
        <v>27</v>
      </c>
      <c r="C22" s="27">
        <v>26</v>
      </c>
      <c r="D22" s="27">
        <v>10</v>
      </c>
      <c r="E22" s="12">
        <f t="shared" ref="E22:E27" si="1">C22/(C22+D22)</f>
        <v>0.72222222222222221</v>
      </c>
      <c r="F22" s="11"/>
      <c r="G22" s="11"/>
      <c r="H22" s="11"/>
      <c r="K22" s="98" t="s">
        <v>165</v>
      </c>
      <c r="L22" s="11">
        <v>8.282</v>
      </c>
      <c r="M22" s="86"/>
      <c r="N22" s="95"/>
      <c r="O22" s="11"/>
      <c r="P22" s="11"/>
    </row>
    <row r="23" spans="2:16">
      <c r="B23" s="16" t="s">
        <v>28</v>
      </c>
      <c r="C23" s="27">
        <v>27</v>
      </c>
      <c r="D23" s="27">
        <v>10</v>
      </c>
      <c r="E23" s="12">
        <f t="shared" si="1"/>
        <v>0.72972972972972971</v>
      </c>
      <c r="F23" s="17" t="s">
        <v>154</v>
      </c>
      <c r="G23" s="17"/>
      <c r="H23" s="18"/>
      <c r="K23" s="98" t="s">
        <v>166</v>
      </c>
      <c r="L23" s="11">
        <v>8.3829999999999991</v>
      </c>
      <c r="M23" s="86"/>
      <c r="N23" s="95"/>
      <c r="O23" s="11"/>
      <c r="P23" s="11"/>
    </row>
    <row r="24" spans="2:16">
      <c r="B24" s="16" t="s">
        <v>29</v>
      </c>
      <c r="C24" s="27">
        <v>25</v>
      </c>
      <c r="D24" s="27">
        <v>4</v>
      </c>
      <c r="E24" s="12">
        <f t="shared" si="1"/>
        <v>0.86206896551724133</v>
      </c>
      <c r="F24" s="17" t="s">
        <v>39</v>
      </c>
      <c r="G24" s="17"/>
      <c r="H24" s="13">
        <f>10*C28</f>
        <v>296.66666666666669</v>
      </c>
      <c r="K24" s="166" t="s">
        <v>185</v>
      </c>
      <c r="L24" s="11">
        <f>L22-L23</f>
        <v>-0.10099999999999909</v>
      </c>
      <c r="M24" s="11"/>
      <c r="N24" s="11"/>
      <c r="O24" s="11"/>
    </row>
    <row r="25" spans="2:16">
      <c r="B25" s="16" t="s">
        <v>30</v>
      </c>
      <c r="C25" s="27">
        <v>25</v>
      </c>
      <c r="D25" s="27">
        <v>4</v>
      </c>
      <c r="E25" s="12">
        <f t="shared" si="1"/>
        <v>0.86206896551724133</v>
      </c>
      <c r="F25" s="17" t="s">
        <v>40</v>
      </c>
      <c r="G25" s="17"/>
      <c r="H25" s="14">
        <f>10000/H24</f>
        <v>33.707865168539321</v>
      </c>
    </row>
    <row r="26" spans="2:16">
      <c r="B26" s="16" t="s">
        <v>156</v>
      </c>
      <c r="C26" s="27">
        <v>37</v>
      </c>
      <c r="D26" s="27">
        <v>6</v>
      </c>
      <c r="E26" s="12">
        <f t="shared" si="1"/>
        <v>0.86046511627906974</v>
      </c>
      <c r="F26" s="17"/>
      <c r="G26" s="17"/>
      <c r="H26" s="14"/>
    </row>
    <row r="27" spans="2:16" ht="16" thickBot="1">
      <c r="B27" s="16" t="s">
        <v>157</v>
      </c>
      <c r="C27" s="27">
        <v>38</v>
      </c>
      <c r="D27" s="27">
        <v>4</v>
      </c>
      <c r="E27" s="12">
        <f t="shared" si="1"/>
        <v>0.90476190476190477</v>
      </c>
      <c r="F27" s="17"/>
      <c r="G27" s="17"/>
      <c r="H27" s="14"/>
    </row>
    <row r="28" spans="2:16" ht="16" thickBot="1">
      <c r="B28" s="6" t="s">
        <v>46</v>
      </c>
      <c r="C28" s="9">
        <f>AVERAGE(C22:C27)</f>
        <v>29.666666666666668</v>
      </c>
      <c r="D28" s="9">
        <f>AVERAGE(D22:D27)</f>
        <v>6.333333333333333</v>
      </c>
      <c r="E28" s="19">
        <f>C28/(D28+C28)</f>
        <v>0.82407407407407407</v>
      </c>
      <c r="F28" s="41" t="s">
        <v>87</v>
      </c>
      <c r="G28" s="21"/>
      <c r="H28" s="148">
        <f>H24*800</f>
        <v>237333.33333333334</v>
      </c>
    </row>
    <row r="29" spans="2:16">
      <c r="B29" s="11"/>
      <c r="C29" s="11"/>
      <c r="D29" s="11"/>
      <c r="E29" s="11"/>
      <c r="F29" s="11"/>
      <c r="G29" s="11"/>
      <c r="H29" s="11"/>
    </row>
    <row r="30" spans="2:16">
      <c r="B30" s="10" t="s">
        <v>31</v>
      </c>
      <c r="C30" s="27">
        <v>13</v>
      </c>
      <c r="D30" s="27">
        <v>2</v>
      </c>
      <c r="E30" s="12">
        <f>C30/(C30+D30)</f>
        <v>0.8666666666666667</v>
      </c>
      <c r="F30" s="26"/>
      <c r="G30" s="11"/>
      <c r="H30" s="11"/>
    </row>
    <row r="31" spans="2:16">
      <c r="B31" s="10" t="s">
        <v>32</v>
      </c>
      <c r="C31" s="27">
        <v>13</v>
      </c>
      <c r="D31" s="27">
        <v>2</v>
      </c>
      <c r="E31" s="12">
        <f t="shared" ref="E31:E35" si="2">C31/(C31+D31)</f>
        <v>0.8666666666666667</v>
      </c>
      <c r="F31" s="13" t="s">
        <v>153</v>
      </c>
      <c r="G31" s="11"/>
      <c r="H31" s="11"/>
    </row>
    <row r="32" spans="2:16">
      <c r="B32" s="10" t="s">
        <v>33</v>
      </c>
      <c r="C32" s="27">
        <v>16</v>
      </c>
      <c r="D32" s="27">
        <v>2</v>
      </c>
      <c r="E32" s="12">
        <f t="shared" si="2"/>
        <v>0.88888888888888884</v>
      </c>
      <c r="F32" s="13" t="s">
        <v>155</v>
      </c>
      <c r="G32" s="11"/>
      <c r="H32" s="11">
        <f>10*C36</f>
        <v>176</v>
      </c>
    </row>
    <row r="33" spans="2:8">
      <c r="B33" s="10" t="s">
        <v>34</v>
      </c>
      <c r="C33" s="115" t="s">
        <v>92</v>
      </c>
      <c r="D33" s="115" t="s">
        <v>92</v>
      </c>
      <c r="E33" s="116" t="s">
        <v>92</v>
      </c>
      <c r="F33" s="13"/>
      <c r="G33" s="11"/>
      <c r="H33" s="13"/>
    </row>
    <row r="34" spans="2:8">
      <c r="B34" s="10" t="s">
        <v>151</v>
      </c>
      <c r="C34" s="27">
        <v>24</v>
      </c>
      <c r="D34" s="27">
        <v>10</v>
      </c>
      <c r="E34" s="12">
        <f>C34/(C34+D34)</f>
        <v>0.70588235294117652</v>
      </c>
      <c r="F34" s="13"/>
      <c r="G34" s="11"/>
      <c r="H34" s="11"/>
    </row>
    <row r="35" spans="2:8" ht="16" thickBot="1">
      <c r="B35" s="10" t="s">
        <v>152</v>
      </c>
      <c r="C35" s="27">
        <v>22</v>
      </c>
      <c r="D35" s="27">
        <v>9</v>
      </c>
      <c r="E35" s="12">
        <f t="shared" si="2"/>
        <v>0.70967741935483875</v>
      </c>
      <c r="F35" s="13"/>
      <c r="G35" s="11"/>
      <c r="H35" s="15"/>
    </row>
    <row r="36" spans="2:8" ht="16" thickBot="1">
      <c r="B36" s="6" t="s">
        <v>47</v>
      </c>
      <c r="C36" s="9">
        <f>AVERAGE(C30:C35)</f>
        <v>17.600000000000001</v>
      </c>
      <c r="D36" s="9">
        <f>AVERAGE(D30:D35)</f>
        <v>5</v>
      </c>
      <c r="E36" s="19">
        <f>AVERAGE(E30:E33)</f>
        <v>0.87407407407407411</v>
      </c>
      <c r="F36" s="41" t="s">
        <v>88</v>
      </c>
      <c r="G36" s="7"/>
      <c r="H36" s="149">
        <f>H32*800</f>
        <v>140800</v>
      </c>
    </row>
  </sheetData>
  <mergeCells count="6">
    <mergeCell ref="L4:O4"/>
    <mergeCell ref="L11:O11"/>
    <mergeCell ref="L6:O6"/>
    <mergeCell ref="L13:O13"/>
    <mergeCell ref="L7:O7"/>
    <mergeCell ref="L14:O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Ruler="0" workbookViewId="0">
      <selection activeCell="E28" sqref="E28"/>
    </sheetView>
  </sheetViews>
  <sheetFormatPr baseColWidth="10" defaultRowHeight="15" x14ac:dyDescent="0"/>
  <cols>
    <col min="1" max="2" width="10.83203125" style="199"/>
    <col min="3" max="3" width="15" style="199" customWidth="1"/>
    <col min="4" max="16384" width="10.83203125" style="199"/>
  </cols>
  <sheetData>
    <row r="2" spans="2:4">
      <c r="B2" s="203">
        <v>42428</v>
      </c>
    </row>
    <row r="3" spans="2:4">
      <c r="B3" s="199" t="s">
        <v>194</v>
      </c>
    </row>
    <row r="4" spans="2:4">
      <c r="C4" s="1" t="s">
        <v>193</v>
      </c>
      <c r="D4" s="1" t="s">
        <v>191</v>
      </c>
    </row>
    <row r="5" spans="2:4">
      <c r="B5" s="200" t="s">
        <v>189</v>
      </c>
      <c r="C5" s="202">
        <v>1500</v>
      </c>
      <c r="D5" s="199">
        <v>6.75</v>
      </c>
    </row>
    <row r="6" spans="2:4">
      <c r="B6" s="200" t="s">
        <v>190</v>
      </c>
      <c r="C6" s="199">
        <v>450</v>
      </c>
      <c r="D6" s="199">
        <v>22</v>
      </c>
    </row>
    <row r="7" spans="2:4">
      <c r="B7" s="1" t="s">
        <v>192</v>
      </c>
      <c r="C7" s="202">
        <v>1090</v>
      </c>
      <c r="D7" s="199">
        <v>2</v>
      </c>
    </row>
    <row r="8" spans="2:4">
      <c r="B8" s="1" t="s">
        <v>192</v>
      </c>
      <c r="C8" s="199">
        <v>870</v>
      </c>
      <c r="D8" s="199">
        <v>11.5</v>
      </c>
    </row>
    <row r="9" spans="2:4" ht="18">
      <c r="B9" s="1"/>
      <c r="C9" s="201"/>
    </row>
    <row r="10" spans="2:4" ht="18">
      <c r="C10" s="20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showRuler="0" workbookViewId="0">
      <selection activeCell="K25" sqref="K25"/>
    </sheetView>
  </sheetViews>
  <sheetFormatPr baseColWidth="10" defaultRowHeight="15" x14ac:dyDescent="0"/>
  <cols>
    <col min="2" max="2" width="16.6640625" customWidth="1"/>
  </cols>
  <sheetData>
    <row r="2" spans="2:9">
      <c r="B2" s="5" t="s">
        <v>51</v>
      </c>
      <c r="C2" s="1"/>
    </row>
    <row r="3" spans="2:9">
      <c r="B3" s="1" t="s">
        <v>8</v>
      </c>
      <c r="C3" s="2">
        <v>42420</v>
      </c>
      <c r="D3" s="4" t="s">
        <v>15</v>
      </c>
    </row>
    <row r="4" spans="2:9">
      <c r="B4" s="1" t="s">
        <v>2</v>
      </c>
      <c r="C4" t="s">
        <v>18</v>
      </c>
    </row>
    <row r="5" spans="2:9">
      <c r="B5" s="1" t="s">
        <v>1</v>
      </c>
      <c r="C5" s="1" t="s">
        <v>16</v>
      </c>
      <c r="D5" s="1" t="s">
        <v>17</v>
      </c>
      <c r="E5" s="1" t="s">
        <v>35</v>
      </c>
      <c r="F5" s="1" t="s">
        <v>44</v>
      </c>
    </row>
    <row r="6" spans="2:9">
      <c r="B6" s="10" t="s">
        <v>19</v>
      </c>
      <c r="C6" s="11">
        <v>41</v>
      </c>
      <c r="D6" s="11">
        <v>89</v>
      </c>
      <c r="E6" s="12">
        <f>C6/(C6+D6)</f>
        <v>0.31538461538461537</v>
      </c>
      <c r="F6" s="10"/>
      <c r="G6" s="11"/>
      <c r="H6" s="11"/>
    </row>
    <row r="7" spans="2:9">
      <c r="B7" s="10" t="s">
        <v>20</v>
      </c>
      <c r="C7" s="11">
        <v>40</v>
      </c>
      <c r="D7" s="11">
        <v>90</v>
      </c>
      <c r="E7" s="12">
        <f>C7/(C7+D7)</f>
        <v>0.30769230769230771</v>
      </c>
      <c r="F7" s="13" t="s">
        <v>48</v>
      </c>
      <c r="G7" s="11"/>
      <c r="H7" s="11"/>
    </row>
    <row r="8" spans="2:9">
      <c r="B8" s="10" t="s">
        <v>21</v>
      </c>
      <c r="C8" s="11">
        <v>41</v>
      </c>
      <c r="D8" s="11">
        <v>98</v>
      </c>
      <c r="E8" s="12">
        <f>C8/(C8+D8)</f>
        <v>0.29496402877697842</v>
      </c>
      <c r="F8" s="13" t="s">
        <v>36</v>
      </c>
      <c r="G8" s="11"/>
      <c r="H8" s="11">
        <f>10*C10</f>
        <v>420</v>
      </c>
    </row>
    <row r="9" spans="2:9" ht="16" thickBot="1">
      <c r="B9" s="10" t="s">
        <v>22</v>
      </c>
      <c r="C9" s="11">
        <v>46</v>
      </c>
      <c r="D9" s="11">
        <v>86</v>
      </c>
      <c r="E9" s="12">
        <f>C9/(C9+D9)</f>
        <v>0.34848484848484851</v>
      </c>
      <c r="F9" s="13" t="s">
        <v>37</v>
      </c>
      <c r="G9" s="11"/>
      <c r="H9" s="14">
        <f>10000/H8</f>
        <v>23.80952380952381</v>
      </c>
      <c r="I9" s="4" t="s">
        <v>49</v>
      </c>
    </row>
    <row r="10" spans="2:9" ht="16" thickBot="1">
      <c r="B10" s="6" t="s">
        <v>50</v>
      </c>
      <c r="C10" s="7">
        <f>AVERAGE(C6:C9)</f>
        <v>42</v>
      </c>
      <c r="D10" s="8">
        <f>AVERAGE(D6:D9)</f>
        <v>90.75</v>
      </c>
      <c r="E10" s="19">
        <f>AVERAGE(E6:E9)</f>
        <v>0.31663145008468752</v>
      </c>
      <c r="F10" s="23" t="s">
        <v>38</v>
      </c>
      <c r="G10" s="7"/>
      <c r="H10" s="25">
        <f>H8*750</f>
        <v>315000</v>
      </c>
    </row>
    <row r="11" spans="2:9">
      <c r="B11" s="11"/>
      <c r="C11" s="11"/>
      <c r="D11" s="11"/>
      <c r="E11" s="11"/>
      <c r="F11" s="13"/>
      <c r="G11" s="11"/>
      <c r="H11" s="11"/>
    </row>
    <row r="12" spans="2:9">
      <c r="B12" s="10" t="s">
        <v>23</v>
      </c>
      <c r="C12" s="11">
        <v>122</v>
      </c>
      <c r="D12" s="11">
        <v>221</v>
      </c>
      <c r="E12" s="12">
        <f>C12/(C12+D12)</f>
        <v>0.35568513119533529</v>
      </c>
      <c r="F12" s="11"/>
      <c r="G12" s="11"/>
      <c r="H12" s="11"/>
    </row>
    <row r="13" spans="2:9">
      <c r="B13" s="10" t="s">
        <v>24</v>
      </c>
      <c r="C13" s="11">
        <v>125</v>
      </c>
      <c r="D13" s="11">
        <v>225</v>
      </c>
      <c r="E13" s="12">
        <f>C13/(C13+D13)</f>
        <v>0.35714285714285715</v>
      </c>
      <c r="F13" s="13" t="s">
        <v>42</v>
      </c>
      <c r="G13" s="11"/>
      <c r="H13" s="11"/>
    </row>
    <row r="14" spans="2:9">
      <c r="B14" s="10" t="s">
        <v>25</v>
      </c>
      <c r="C14" s="11">
        <v>117</v>
      </c>
      <c r="D14" s="11">
        <v>230</v>
      </c>
      <c r="E14" s="12">
        <f>C14/(C14+D14)</f>
        <v>0.33717579250720459</v>
      </c>
      <c r="F14" s="13" t="s">
        <v>36</v>
      </c>
      <c r="G14" s="11"/>
      <c r="H14" s="13">
        <f>10*C16</f>
        <v>1172.5</v>
      </c>
    </row>
    <row r="15" spans="2:9" ht="16" thickBot="1">
      <c r="B15" s="10" t="s">
        <v>26</v>
      </c>
      <c r="C15" s="11">
        <v>105</v>
      </c>
      <c r="D15" s="11">
        <v>232</v>
      </c>
      <c r="E15" s="12">
        <f>C15/(C15+D15)</f>
        <v>0.31157270029673589</v>
      </c>
      <c r="F15" s="13" t="s">
        <v>37</v>
      </c>
      <c r="G15" s="11"/>
      <c r="H15" s="14">
        <f>10000/H14</f>
        <v>8.5287846481876333</v>
      </c>
    </row>
    <row r="16" spans="2:9" ht="16" thickBot="1">
      <c r="B16" s="6" t="s">
        <v>45</v>
      </c>
      <c r="C16" s="9">
        <f>AVERAGE(C12:C15)</f>
        <v>117.25</v>
      </c>
      <c r="D16" s="7">
        <f>AVERAGE(D12:D15)</f>
        <v>227</v>
      </c>
      <c r="E16" s="19">
        <f>AVERAGE(E12:E15)</f>
        <v>0.34039412028553323</v>
      </c>
      <c r="F16" s="23" t="s">
        <v>38</v>
      </c>
      <c r="G16" s="24"/>
      <c r="H16" s="25">
        <f>H14*375</f>
        <v>439687.5</v>
      </c>
    </row>
    <row r="17" spans="2:8">
      <c r="B17" s="11"/>
      <c r="C17" s="11"/>
      <c r="D17" s="11"/>
      <c r="E17" s="11"/>
      <c r="F17" s="11"/>
      <c r="G17" s="11"/>
      <c r="H17" s="11"/>
    </row>
    <row r="18" spans="2:8">
      <c r="B18" s="16" t="s">
        <v>27</v>
      </c>
      <c r="C18" s="11">
        <v>141</v>
      </c>
      <c r="D18" s="11">
        <v>210</v>
      </c>
      <c r="E18" s="12">
        <f>C18/(C18+D18)</f>
        <v>0.40170940170940173</v>
      </c>
      <c r="F18" s="11"/>
      <c r="G18" s="11"/>
      <c r="H18" s="11"/>
    </row>
    <row r="19" spans="2:8">
      <c r="B19" s="16" t="s">
        <v>28</v>
      </c>
      <c r="C19" s="11">
        <v>128</v>
      </c>
      <c r="D19" s="11">
        <v>198</v>
      </c>
      <c r="E19" s="12">
        <f>C19/(C19+D19)</f>
        <v>0.39263803680981596</v>
      </c>
      <c r="F19" s="17" t="s">
        <v>43</v>
      </c>
      <c r="G19" s="17"/>
      <c r="H19" s="18"/>
    </row>
    <row r="20" spans="2:8">
      <c r="B20" s="16" t="s">
        <v>29</v>
      </c>
      <c r="C20" s="11">
        <v>127</v>
      </c>
      <c r="D20" s="11">
        <v>173</v>
      </c>
      <c r="E20" s="12">
        <f>C20/(C20+D20)</f>
        <v>0.42333333333333334</v>
      </c>
      <c r="F20" s="17" t="s">
        <v>39</v>
      </c>
      <c r="G20" s="17"/>
      <c r="H20" s="13">
        <f>10*C22</f>
        <v>1315</v>
      </c>
    </row>
    <row r="21" spans="2:8" ht="16" thickBot="1">
      <c r="B21" s="16" t="s">
        <v>30</v>
      </c>
      <c r="C21" s="11">
        <v>130</v>
      </c>
      <c r="D21" s="11">
        <v>156</v>
      </c>
      <c r="E21" s="12">
        <f>C21/(C21+D21)</f>
        <v>0.45454545454545453</v>
      </c>
      <c r="F21" s="17" t="s">
        <v>40</v>
      </c>
      <c r="G21" s="17"/>
      <c r="H21" s="14">
        <f>10000/H20</f>
        <v>7.6045627376425857</v>
      </c>
    </row>
    <row r="22" spans="2:8" ht="16" thickBot="1">
      <c r="B22" s="6" t="s">
        <v>46</v>
      </c>
      <c r="C22" s="9">
        <f>AVERAGE(C18:C21)</f>
        <v>131.5</v>
      </c>
      <c r="D22" s="9">
        <f>AVERAGE(D18:D21)</f>
        <v>184.25</v>
      </c>
      <c r="E22" s="19">
        <f>AVERAGE(E18:E21)</f>
        <v>0.41805655659950142</v>
      </c>
      <c r="F22" s="20" t="s">
        <v>41</v>
      </c>
      <c r="G22" s="21"/>
      <c r="H22" s="22">
        <f>H20*350</f>
        <v>460250</v>
      </c>
    </row>
    <row r="23" spans="2:8">
      <c r="B23" s="11"/>
      <c r="C23" s="11"/>
      <c r="D23" s="11"/>
      <c r="E23" s="11"/>
      <c r="F23" s="11"/>
      <c r="G23" s="11"/>
      <c r="H23" s="11"/>
    </row>
    <row r="24" spans="2:8">
      <c r="B24" s="16" t="s">
        <v>31</v>
      </c>
      <c r="C24" s="11">
        <v>111</v>
      </c>
      <c r="D24" s="11">
        <v>227</v>
      </c>
      <c r="E24" s="12">
        <f>C24/(C24+D24)</f>
        <v>0.32840236686390534</v>
      </c>
      <c r="F24" s="11"/>
      <c r="G24" s="11"/>
      <c r="H24" s="11"/>
    </row>
    <row r="25" spans="2:8">
      <c r="B25" s="16" t="s">
        <v>32</v>
      </c>
      <c r="C25" s="11">
        <v>109</v>
      </c>
      <c r="D25" s="11">
        <v>248</v>
      </c>
      <c r="E25" s="12">
        <f>C25/(C25+D25)</f>
        <v>0.30532212885154064</v>
      </c>
      <c r="F25" s="17" t="s">
        <v>43</v>
      </c>
      <c r="G25" s="17"/>
      <c r="H25" s="18"/>
    </row>
    <row r="26" spans="2:8">
      <c r="B26" s="16" t="s">
        <v>33</v>
      </c>
      <c r="C26" s="11">
        <v>95</v>
      </c>
      <c r="D26" s="11">
        <v>268</v>
      </c>
      <c r="E26" s="12">
        <f>C26/(C26+D26)</f>
        <v>0.26170798898071623</v>
      </c>
      <c r="F26" s="17" t="s">
        <v>39</v>
      </c>
      <c r="G26" s="17"/>
      <c r="H26" s="13">
        <f>10*C28</f>
        <v>1022.5</v>
      </c>
    </row>
    <row r="27" spans="2:8" ht="16" thickBot="1">
      <c r="B27" s="16" t="s">
        <v>34</v>
      </c>
      <c r="C27" s="11">
        <v>94</v>
      </c>
      <c r="D27" s="11">
        <v>252</v>
      </c>
      <c r="E27" s="12">
        <f>C27/(C27+D27)</f>
        <v>0.27167630057803466</v>
      </c>
      <c r="F27" s="17" t="s">
        <v>40</v>
      </c>
      <c r="G27" s="17"/>
      <c r="H27" s="14">
        <f>10000/H26</f>
        <v>9.7799511002444994</v>
      </c>
    </row>
    <row r="28" spans="2:8" ht="16" thickBot="1">
      <c r="B28" s="6" t="s">
        <v>47</v>
      </c>
      <c r="C28" s="9">
        <f>AVERAGE(C24:C27)</f>
        <v>102.25</v>
      </c>
      <c r="D28" s="9">
        <f>AVERAGE(D24:D27)</f>
        <v>248.75</v>
      </c>
      <c r="E28" s="19">
        <f>AVERAGE(E24:E27)</f>
        <v>0.2917771963185492</v>
      </c>
      <c r="F28" s="20" t="s">
        <v>41</v>
      </c>
      <c r="G28" s="21"/>
      <c r="H28" s="22">
        <f>H26*350</f>
        <v>357875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showRuler="0" workbookViewId="0">
      <selection activeCell="D20" sqref="D20"/>
    </sheetView>
  </sheetViews>
  <sheetFormatPr baseColWidth="10" defaultRowHeight="15" x14ac:dyDescent="0"/>
  <cols>
    <col min="1" max="4" width="10.83203125" style="199"/>
    <col min="5" max="5" width="15.5" style="199" bestFit="1" customWidth="1"/>
    <col min="6" max="6" width="13" style="199" bestFit="1" customWidth="1"/>
    <col min="7" max="16384" width="10.83203125" style="199"/>
  </cols>
  <sheetData>
    <row r="2" spans="2:6">
      <c r="B2" s="200" t="s">
        <v>205</v>
      </c>
    </row>
    <row r="3" spans="2:6">
      <c r="C3" s="199" t="s">
        <v>201</v>
      </c>
      <c r="D3" s="199" t="s">
        <v>202</v>
      </c>
      <c r="E3" s="199" t="s">
        <v>203</v>
      </c>
      <c r="F3" s="199" t="s">
        <v>204</v>
      </c>
    </row>
    <row r="4" spans="2:6">
      <c r="B4" s="199" t="s">
        <v>195</v>
      </c>
      <c r="C4" s="204">
        <v>4.7222222222222221E-2</v>
      </c>
      <c r="D4" s="204">
        <v>4.7916666666666663E-2</v>
      </c>
      <c r="E4" s="199">
        <v>7.3</v>
      </c>
      <c r="F4" s="199">
        <v>26.3</v>
      </c>
    </row>
    <row r="5" spans="2:6">
      <c r="B5" s="199" t="s">
        <v>196</v>
      </c>
      <c r="C5" s="204">
        <v>5.2083333333333336E-2</v>
      </c>
      <c r="D5" s="204">
        <v>5.6250000000000001E-2</v>
      </c>
      <c r="E5" s="199">
        <v>6.41</v>
      </c>
      <c r="F5" s="199">
        <v>23.1</v>
      </c>
    </row>
    <row r="6" spans="2:6">
      <c r="B6" s="199" t="s">
        <v>197</v>
      </c>
      <c r="C6" s="204">
        <v>4.7916666666666663E-2</v>
      </c>
      <c r="D6" s="204">
        <v>4.9305555555555554E-2</v>
      </c>
      <c r="E6" s="199">
        <v>7.14</v>
      </c>
      <c r="F6" s="199">
        <v>25.6</v>
      </c>
    </row>
    <row r="7" spans="2:6">
      <c r="B7" s="199" t="s">
        <v>198</v>
      </c>
      <c r="C7" s="204">
        <v>5.6944444444444443E-2</v>
      </c>
      <c r="D7" s="204">
        <v>5.2083333333333336E-2</v>
      </c>
      <c r="E7" s="199">
        <v>6.13</v>
      </c>
      <c r="F7" s="205">
        <v>22</v>
      </c>
    </row>
    <row r="8" spans="2:6">
      <c r="B8" s="199" t="s">
        <v>199</v>
      </c>
      <c r="C8" s="204">
        <v>4.7916666666666663E-2</v>
      </c>
      <c r="D8" s="204">
        <v>4.7916666666666663E-2</v>
      </c>
      <c r="E8" s="199">
        <v>7.25</v>
      </c>
      <c r="F8" s="199">
        <v>26.1</v>
      </c>
    </row>
    <row r="9" spans="2:6">
      <c r="B9" s="199" t="s">
        <v>200</v>
      </c>
      <c r="C9" s="204">
        <v>5.1388888888888894E-2</v>
      </c>
      <c r="D9" s="204">
        <v>4.9999999999999996E-2</v>
      </c>
      <c r="E9" s="199">
        <v>6.85</v>
      </c>
      <c r="F9" s="199">
        <v>24.7</v>
      </c>
    </row>
    <row r="11" spans="2:6">
      <c r="B11" s="198"/>
    </row>
    <row r="12" spans="2:6">
      <c r="B12" s="198"/>
    </row>
    <row r="13" spans="2:6">
      <c r="B13" s="198"/>
    </row>
    <row r="14" spans="2:6">
      <c r="B14" s="198"/>
    </row>
    <row r="15" spans="2:6">
      <c r="B15" s="198"/>
    </row>
    <row r="16" spans="2:6">
      <c r="B16" s="1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9"/>
  <sheetViews>
    <sheetView showRuler="0" topLeftCell="A15" workbookViewId="0">
      <selection activeCell="K18" sqref="K18"/>
    </sheetView>
  </sheetViews>
  <sheetFormatPr baseColWidth="10" defaultRowHeight="15" x14ac:dyDescent="0"/>
  <cols>
    <col min="1" max="1" width="6.83203125" customWidth="1"/>
    <col min="2" max="2" width="25.6640625" customWidth="1"/>
    <col min="11" max="11" width="17.83203125" customWidth="1"/>
    <col min="12" max="12" width="13" customWidth="1"/>
  </cols>
  <sheetData>
    <row r="3" spans="2:17">
      <c r="B3" s="5" t="s">
        <v>51</v>
      </c>
      <c r="C3" s="1"/>
    </row>
    <row r="4" spans="2:17" ht="16" thickBot="1">
      <c r="B4" s="1" t="s">
        <v>8</v>
      </c>
      <c r="C4" s="2">
        <v>42422</v>
      </c>
      <c r="D4" s="4" t="s">
        <v>15</v>
      </c>
    </row>
    <row r="5" spans="2:17">
      <c r="B5" s="1" t="s">
        <v>2</v>
      </c>
      <c r="C5" t="s">
        <v>18</v>
      </c>
      <c r="K5" s="104" t="s">
        <v>67</v>
      </c>
      <c r="L5" s="30"/>
      <c r="M5" s="73">
        <v>42422</v>
      </c>
      <c r="N5" s="30"/>
      <c r="O5" s="30"/>
      <c r="P5" s="30"/>
      <c r="Q5" s="74"/>
    </row>
    <row r="6" spans="2:17">
      <c r="B6" s="1" t="s">
        <v>1</v>
      </c>
      <c r="C6" s="1" t="s">
        <v>16</v>
      </c>
      <c r="D6" s="1" t="s">
        <v>17</v>
      </c>
      <c r="E6" s="1" t="s">
        <v>35</v>
      </c>
      <c r="F6" s="1" t="s">
        <v>44</v>
      </c>
      <c r="K6" s="76" t="s">
        <v>68</v>
      </c>
      <c r="L6" s="10">
        <v>1</v>
      </c>
      <c r="M6" s="10">
        <v>2</v>
      </c>
      <c r="N6" s="10">
        <v>3</v>
      </c>
      <c r="O6" s="10">
        <v>4</v>
      </c>
      <c r="P6" s="10">
        <v>5</v>
      </c>
      <c r="Q6" s="105">
        <v>6</v>
      </c>
    </row>
    <row r="7" spans="2:17">
      <c r="B7" s="10" t="s">
        <v>52</v>
      </c>
      <c r="C7" s="11">
        <v>59</v>
      </c>
      <c r="D7" s="11">
        <v>22</v>
      </c>
      <c r="E7" s="12">
        <f>C7/(C7+D7)</f>
        <v>0.72839506172839508</v>
      </c>
      <c r="F7" s="26" t="s">
        <v>74</v>
      </c>
      <c r="G7" s="11"/>
      <c r="H7" s="11"/>
      <c r="K7" s="76" t="s">
        <v>73</v>
      </c>
      <c r="L7" s="11">
        <v>15.113</v>
      </c>
      <c r="M7" s="11">
        <v>15.023999999999999</v>
      </c>
      <c r="N7" s="11">
        <v>15.069000000000001</v>
      </c>
      <c r="O7" s="11">
        <v>15.023</v>
      </c>
      <c r="P7" s="11">
        <v>14.978</v>
      </c>
      <c r="Q7" s="87">
        <v>15.028</v>
      </c>
    </row>
    <row r="8" spans="2:17">
      <c r="B8" s="10" t="s">
        <v>53</v>
      </c>
      <c r="C8" s="11">
        <v>62</v>
      </c>
      <c r="D8" s="11">
        <v>22</v>
      </c>
      <c r="E8" s="12">
        <f>C8/(C8+D8)</f>
        <v>0.73809523809523814</v>
      </c>
      <c r="F8" s="13" t="s">
        <v>78</v>
      </c>
      <c r="G8" s="11"/>
      <c r="H8" s="11"/>
      <c r="K8" s="76" t="s">
        <v>69</v>
      </c>
      <c r="L8" s="11">
        <v>27.5</v>
      </c>
      <c r="M8" s="11">
        <v>27.6</v>
      </c>
      <c r="N8" s="11">
        <v>27.6</v>
      </c>
      <c r="O8" s="11">
        <v>27.6</v>
      </c>
      <c r="P8" s="11">
        <v>27.6</v>
      </c>
      <c r="Q8" s="87">
        <v>27.6</v>
      </c>
    </row>
    <row r="9" spans="2:17">
      <c r="B9" s="10" t="s">
        <v>54</v>
      </c>
      <c r="C9" s="27">
        <v>51</v>
      </c>
      <c r="D9" s="11">
        <v>26</v>
      </c>
      <c r="E9" s="12">
        <f>C9/(C9+D9)</f>
        <v>0.66233766233766234</v>
      </c>
      <c r="F9" s="13" t="s">
        <v>79</v>
      </c>
      <c r="G9" s="11"/>
      <c r="H9" s="11">
        <f>10*C15</f>
        <v>550</v>
      </c>
      <c r="K9" s="76" t="s">
        <v>70</v>
      </c>
      <c r="L9" s="11">
        <v>7.8159999999999998</v>
      </c>
      <c r="M9" s="11">
        <v>7.83</v>
      </c>
      <c r="N9" s="11">
        <v>7.8319999999999999</v>
      </c>
      <c r="O9" s="11">
        <v>7.62</v>
      </c>
      <c r="P9" s="11">
        <v>7.625</v>
      </c>
      <c r="Q9" s="87">
        <v>7.6159999999999997</v>
      </c>
    </row>
    <row r="10" spans="2:17">
      <c r="B10" s="10" t="s">
        <v>55</v>
      </c>
      <c r="C10" s="27">
        <v>48</v>
      </c>
      <c r="D10" s="27">
        <v>28</v>
      </c>
      <c r="E10" s="12">
        <f>C10/(C10+D10)</f>
        <v>0.63157894736842102</v>
      </c>
      <c r="F10" s="13" t="s">
        <v>80</v>
      </c>
      <c r="G10" s="11"/>
      <c r="H10" s="13">
        <f>H9*350</f>
        <v>192500</v>
      </c>
      <c r="I10" s="4"/>
      <c r="K10" s="76" t="s">
        <v>71</v>
      </c>
      <c r="L10" s="130">
        <v>0.625</v>
      </c>
      <c r="M10" s="130"/>
      <c r="N10" s="130"/>
      <c r="O10" s="130"/>
      <c r="P10" s="130"/>
      <c r="Q10" s="131"/>
    </row>
    <row r="11" spans="2:17" ht="16" thickBot="1">
      <c r="B11" s="10" t="s">
        <v>56</v>
      </c>
      <c r="C11" s="27">
        <v>16</v>
      </c>
      <c r="D11" s="27">
        <v>143</v>
      </c>
      <c r="E11" s="12">
        <f>C11/(C11+D11)</f>
        <v>0.10062893081761007</v>
      </c>
      <c r="F11" s="13" t="s">
        <v>81</v>
      </c>
      <c r="G11" s="11"/>
      <c r="H11" s="11"/>
      <c r="I11" s="4"/>
      <c r="K11" s="106" t="s">
        <v>72</v>
      </c>
      <c r="L11" s="132">
        <v>0.63888888888888895</v>
      </c>
      <c r="M11" s="132"/>
      <c r="N11" s="132"/>
      <c r="O11" s="132"/>
      <c r="P11" s="132"/>
      <c r="Q11" s="133"/>
    </row>
    <row r="12" spans="2:17">
      <c r="B12" s="10" t="s">
        <v>57</v>
      </c>
      <c r="C12" s="27">
        <v>20</v>
      </c>
      <c r="D12" s="27">
        <v>172</v>
      </c>
      <c r="E12" s="12">
        <f>C12/(C12+D12)</f>
        <v>0.10416666666666667</v>
      </c>
      <c r="F12" s="13" t="s">
        <v>82</v>
      </c>
      <c r="G12" s="11"/>
      <c r="H12" s="15">
        <f>10*C16</f>
        <v>172.5</v>
      </c>
      <c r="I12" s="4"/>
    </row>
    <row r="13" spans="2:17">
      <c r="B13" s="10" t="s">
        <v>58</v>
      </c>
      <c r="C13" s="27">
        <v>17</v>
      </c>
      <c r="D13" s="27">
        <v>171</v>
      </c>
      <c r="E13" s="12">
        <f>C13/(C13+D13)</f>
        <v>9.0425531914893623E-2</v>
      </c>
      <c r="F13" s="13" t="s">
        <v>83</v>
      </c>
      <c r="G13" s="11"/>
      <c r="H13" s="13">
        <f>H12*350</f>
        <v>60375</v>
      </c>
      <c r="I13" s="4"/>
    </row>
    <row r="14" spans="2:17" ht="16" thickBot="1">
      <c r="B14" s="10" t="s">
        <v>59</v>
      </c>
      <c r="C14" s="27">
        <v>16</v>
      </c>
      <c r="D14" s="27">
        <v>167</v>
      </c>
      <c r="E14" s="12">
        <f>C14/(C14+D14)</f>
        <v>8.7431693989071038E-2</v>
      </c>
      <c r="F14" s="36" t="s">
        <v>84</v>
      </c>
      <c r="G14" s="11"/>
      <c r="H14" s="33">
        <f>10000/(H15/700)</f>
        <v>27.681660899653981</v>
      </c>
      <c r="I14" s="4"/>
    </row>
    <row r="15" spans="2:17">
      <c r="B15" s="28" t="s">
        <v>76</v>
      </c>
      <c r="C15" s="29">
        <f>AVERAGE(C7:C10)</f>
        <v>55</v>
      </c>
      <c r="D15" s="29">
        <f>AVERAGE(D7:D10)</f>
        <v>24.5</v>
      </c>
      <c r="E15" s="43">
        <f>AVERAGE(E7:E10)</f>
        <v>0.69010172738242925</v>
      </c>
      <c r="F15" s="38" t="s">
        <v>85</v>
      </c>
      <c r="G15" s="39"/>
      <c r="H15" s="40">
        <f>SUM(H10,H13)</f>
        <v>252875</v>
      </c>
    </row>
    <row r="16" spans="2:17" ht="16" thickBot="1">
      <c r="B16" s="31" t="s">
        <v>77</v>
      </c>
      <c r="C16" s="35">
        <f>AVERAGE(C11:C14)</f>
        <v>17.25</v>
      </c>
      <c r="D16" s="35">
        <f>AVERAGE(D11:D14)</f>
        <v>163.25</v>
      </c>
      <c r="E16" s="34">
        <f>AVERAGE(E11:E14)</f>
        <v>9.566320584706034E-2</v>
      </c>
      <c r="F16" s="32"/>
      <c r="G16" s="32"/>
      <c r="H16" s="37"/>
      <c r="I16" s="4"/>
    </row>
    <row r="17" spans="2:8">
      <c r="B17" s="11"/>
      <c r="C17" s="11"/>
      <c r="D17" s="11"/>
      <c r="E17" s="11"/>
      <c r="F17" s="13"/>
      <c r="G17" s="11"/>
      <c r="H17" s="11"/>
    </row>
    <row r="18" spans="2:8">
      <c r="B18" s="10" t="s">
        <v>23</v>
      </c>
      <c r="C18" s="27">
        <v>83</v>
      </c>
      <c r="D18" s="27">
        <v>171</v>
      </c>
      <c r="E18" s="12">
        <f>C18/(C18+D18)</f>
        <v>0.32677165354330706</v>
      </c>
      <c r="F18" s="11"/>
      <c r="G18" s="11"/>
      <c r="H18" s="11"/>
    </row>
    <row r="19" spans="2:8">
      <c r="B19" s="10" t="s">
        <v>24</v>
      </c>
      <c r="C19" s="27">
        <v>86</v>
      </c>
      <c r="D19" s="27">
        <v>188</v>
      </c>
      <c r="E19" s="12">
        <f>C19/(C19+D19)</f>
        <v>0.31386861313868614</v>
      </c>
      <c r="F19" s="13" t="s">
        <v>75</v>
      </c>
      <c r="G19" s="11"/>
      <c r="H19" s="11"/>
    </row>
    <row r="20" spans="2:8">
      <c r="B20" s="10" t="s">
        <v>25</v>
      </c>
      <c r="C20" s="27">
        <v>114</v>
      </c>
      <c r="D20" s="27">
        <v>222</v>
      </c>
      <c r="E20" s="12">
        <f>C20/(C20+D20)</f>
        <v>0.3392857142857143</v>
      </c>
      <c r="F20" s="13" t="s">
        <v>36</v>
      </c>
      <c r="G20" s="11"/>
      <c r="H20" s="13">
        <f>10*C22</f>
        <v>992.5</v>
      </c>
    </row>
    <row r="21" spans="2:8" ht="16" thickBot="1">
      <c r="B21" s="10" t="s">
        <v>26</v>
      </c>
      <c r="C21" s="27">
        <v>114</v>
      </c>
      <c r="D21" s="27">
        <v>197</v>
      </c>
      <c r="E21" s="12">
        <f>C21/(C21+D21)</f>
        <v>0.36655948553054662</v>
      </c>
      <c r="F21" s="13" t="s">
        <v>37</v>
      </c>
      <c r="G21" s="11"/>
      <c r="H21" s="14">
        <f>10000/H20</f>
        <v>10.075566750629722</v>
      </c>
    </row>
    <row r="22" spans="2:8" ht="16" thickBot="1">
      <c r="B22" s="6" t="s">
        <v>45</v>
      </c>
      <c r="C22" s="9">
        <f>AVERAGE(C18:C21)</f>
        <v>99.25</v>
      </c>
      <c r="D22" s="9">
        <f>AVERAGE(D18:D21)</f>
        <v>194.5</v>
      </c>
      <c r="E22" s="19">
        <f>AVERAGE(E18:E21)</f>
        <v>0.33662136662456354</v>
      </c>
      <c r="F22" s="41" t="s">
        <v>86</v>
      </c>
      <c r="G22" s="24"/>
      <c r="H22" s="42">
        <f>H20*350</f>
        <v>347375</v>
      </c>
    </row>
    <row r="23" spans="2:8">
      <c r="B23" s="11"/>
      <c r="C23" s="11"/>
      <c r="D23" s="11"/>
      <c r="E23" s="11"/>
      <c r="F23" s="11"/>
      <c r="G23" s="11"/>
      <c r="H23" s="11"/>
    </row>
    <row r="24" spans="2:8">
      <c r="B24" s="16" t="s">
        <v>27</v>
      </c>
      <c r="C24" s="27">
        <v>122</v>
      </c>
      <c r="D24" s="27">
        <v>197</v>
      </c>
      <c r="E24" s="12">
        <f>C24/(C24+D24)</f>
        <v>0.38244514106583072</v>
      </c>
      <c r="F24" s="11"/>
      <c r="G24" s="11"/>
      <c r="H24" s="11"/>
    </row>
    <row r="25" spans="2:8">
      <c r="B25" s="16" t="s">
        <v>28</v>
      </c>
      <c r="C25" s="27">
        <v>137</v>
      </c>
      <c r="D25" s="27">
        <v>188</v>
      </c>
      <c r="E25" s="12">
        <f>C25/(C25+D25)</f>
        <v>0.42153846153846153</v>
      </c>
      <c r="F25" s="17" t="s">
        <v>43</v>
      </c>
      <c r="G25" s="17"/>
      <c r="H25" s="18"/>
    </row>
    <row r="26" spans="2:8">
      <c r="B26" s="16" t="s">
        <v>29</v>
      </c>
      <c r="C26" s="27">
        <v>96</v>
      </c>
      <c r="D26" s="27">
        <v>185</v>
      </c>
      <c r="E26" s="12">
        <f>C26/(C26+D26)</f>
        <v>0.34163701067615659</v>
      </c>
      <c r="F26" s="17" t="s">
        <v>39</v>
      </c>
      <c r="G26" s="17"/>
      <c r="H26" s="13">
        <f>10*C28</f>
        <v>1115</v>
      </c>
    </row>
    <row r="27" spans="2:8" ht="16" thickBot="1">
      <c r="B27" s="16" t="s">
        <v>30</v>
      </c>
      <c r="C27" s="27">
        <v>91</v>
      </c>
      <c r="D27" s="27">
        <v>205</v>
      </c>
      <c r="E27" s="12">
        <f>C27/(C27+D27)</f>
        <v>0.30743243243243246</v>
      </c>
      <c r="F27" s="17" t="s">
        <v>40</v>
      </c>
      <c r="G27" s="17"/>
      <c r="H27" s="14">
        <f>10000/H26</f>
        <v>8.9686098654708513</v>
      </c>
    </row>
    <row r="28" spans="2:8" ht="16" thickBot="1">
      <c r="B28" s="6" t="s">
        <v>46</v>
      </c>
      <c r="C28" s="9">
        <f>AVERAGE(C24:C27)</f>
        <v>111.5</v>
      </c>
      <c r="D28" s="9">
        <f>AVERAGE(D24:D27)</f>
        <v>193.75</v>
      </c>
      <c r="E28" s="19">
        <f>AVERAGE(E24:E27)</f>
        <v>0.3632632614282203</v>
      </c>
      <c r="F28" s="41" t="s">
        <v>87</v>
      </c>
      <c r="G28" s="21"/>
      <c r="H28" s="42">
        <f>H26*350</f>
        <v>390250</v>
      </c>
    </row>
    <row r="29" spans="2:8">
      <c r="B29" s="11"/>
      <c r="C29" s="11"/>
      <c r="D29" s="11"/>
      <c r="E29" s="11"/>
      <c r="F29" s="11"/>
      <c r="G29" s="11"/>
      <c r="H29" s="11"/>
    </row>
    <row r="30" spans="2:8">
      <c r="B30" s="10" t="s">
        <v>60</v>
      </c>
      <c r="C30" s="27">
        <v>72</v>
      </c>
      <c r="D30" s="27">
        <v>57</v>
      </c>
      <c r="E30" s="12">
        <f>C30/(C30+D30)</f>
        <v>0.55813953488372092</v>
      </c>
      <c r="F30" s="26" t="s">
        <v>74</v>
      </c>
      <c r="G30" s="11"/>
      <c r="H30" s="11"/>
    </row>
    <row r="31" spans="2:8">
      <c r="B31" s="10" t="s">
        <v>61</v>
      </c>
      <c r="C31" s="27">
        <v>80</v>
      </c>
      <c r="D31" s="27">
        <v>64</v>
      </c>
      <c r="E31" s="12">
        <f>C31/(C31+D31)</f>
        <v>0.55555555555555558</v>
      </c>
      <c r="F31" s="13" t="s">
        <v>78</v>
      </c>
      <c r="G31" s="11"/>
      <c r="H31" s="11"/>
    </row>
    <row r="32" spans="2:8">
      <c r="B32" s="10" t="s">
        <v>62</v>
      </c>
      <c r="C32" s="27">
        <v>85</v>
      </c>
      <c r="D32" s="27">
        <v>56</v>
      </c>
      <c r="E32" s="12">
        <f>C32/(C32+D32)</f>
        <v>0.6028368794326241</v>
      </c>
      <c r="F32" s="13" t="s">
        <v>79</v>
      </c>
      <c r="G32" s="11"/>
      <c r="H32" s="11">
        <f>10*C38</f>
        <v>830</v>
      </c>
    </row>
    <row r="33" spans="2:9">
      <c r="B33" s="10" t="s">
        <v>63</v>
      </c>
      <c r="C33" s="27">
        <v>95</v>
      </c>
      <c r="D33" s="27">
        <v>49</v>
      </c>
      <c r="E33" s="12">
        <f>C33/(C33+D33)</f>
        <v>0.65972222222222221</v>
      </c>
      <c r="F33" s="13" t="s">
        <v>80</v>
      </c>
      <c r="G33" s="11"/>
      <c r="H33" s="13">
        <f>H32*350</f>
        <v>290500</v>
      </c>
    </row>
    <row r="34" spans="2:9">
      <c r="B34" s="10" t="s">
        <v>64</v>
      </c>
      <c r="C34" s="27">
        <v>8</v>
      </c>
      <c r="D34" s="27">
        <v>192</v>
      </c>
      <c r="E34" s="12">
        <f>C34/(C34+D34)</f>
        <v>0.04</v>
      </c>
      <c r="F34" s="13" t="s">
        <v>81</v>
      </c>
      <c r="G34" s="11"/>
      <c r="H34" s="11"/>
    </row>
    <row r="35" spans="2:9">
      <c r="B35" s="10" t="s">
        <v>89</v>
      </c>
      <c r="C35" s="27">
        <v>7</v>
      </c>
      <c r="D35" s="27">
        <v>178</v>
      </c>
      <c r="E35" s="12">
        <f>C35/(C35+D35)</f>
        <v>3.783783783783784E-2</v>
      </c>
      <c r="F35" s="13" t="s">
        <v>82</v>
      </c>
      <c r="G35" s="11"/>
      <c r="H35" s="15">
        <f>10*C39</f>
        <v>80</v>
      </c>
    </row>
    <row r="36" spans="2:9">
      <c r="B36" s="10" t="s">
        <v>65</v>
      </c>
      <c r="C36" s="27">
        <v>8</v>
      </c>
      <c r="D36" s="27">
        <v>209</v>
      </c>
      <c r="E36" s="12">
        <f>C36/(C36+D36)</f>
        <v>3.6866359447004608E-2</v>
      </c>
      <c r="F36" s="13" t="s">
        <v>83</v>
      </c>
      <c r="G36" s="11"/>
      <c r="H36" s="13">
        <f>H35*350</f>
        <v>28000</v>
      </c>
    </row>
    <row r="37" spans="2:9" ht="16" thickBot="1">
      <c r="B37" s="10" t="s">
        <v>66</v>
      </c>
      <c r="C37" s="27">
        <v>9</v>
      </c>
      <c r="D37" s="27">
        <v>230</v>
      </c>
      <c r="E37" s="12">
        <f>C37/(C37+D37)</f>
        <v>3.7656903765690378E-2</v>
      </c>
      <c r="F37" s="13" t="s">
        <v>84</v>
      </c>
      <c r="G37" s="11"/>
      <c r="H37" s="14">
        <f>10000/(H38/700)</f>
        <v>21.978021978021978</v>
      </c>
    </row>
    <row r="38" spans="2:9">
      <c r="B38" s="28" t="s">
        <v>76</v>
      </c>
      <c r="C38" s="29">
        <f>AVERAGE(C30:C33)</f>
        <v>83</v>
      </c>
      <c r="D38" s="29">
        <f>AVERAGE(D30:D33)</f>
        <v>56.5</v>
      </c>
      <c r="E38" s="43">
        <f>AVERAGE(E30:E33)</f>
        <v>0.59406354802353067</v>
      </c>
      <c r="F38" s="38" t="s">
        <v>88</v>
      </c>
      <c r="G38" s="30"/>
      <c r="H38" s="40">
        <f>SUM(H33,H36)</f>
        <v>318500</v>
      </c>
    </row>
    <row r="39" spans="2:9" ht="16" thickBot="1">
      <c r="B39" s="31" t="s">
        <v>77</v>
      </c>
      <c r="C39" s="35">
        <f>AVERAGE(C34:C37)</f>
        <v>8</v>
      </c>
      <c r="D39" s="35">
        <f>AVERAGE(D34:D37)</f>
        <v>202.25</v>
      </c>
      <c r="E39" s="34">
        <f>AVERAGE(E34:E37)</f>
        <v>3.8090275262633214E-2</v>
      </c>
      <c r="F39" s="32"/>
      <c r="G39" s="32"/>
      <c r="H39" s="37"/>
      <c r="I39" s="4"/>
    </row>
  </sheetData>
  <mergeCells count="2">
    <mergeCell ref="L10:Q10"/>
    <mergeCell ref="L11:Q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Ruler="0" workbookViewId="0">
      <selection activeCell="M11" sqref="M11"/>
    </sheetView>
  </sheetViews>
  <sheetFormatPr baseColWidth="10" defaultRowHeight="15" x14ac:dyDescent="0"/>
  <cols>
    <col min="2" max="2" width="24" customWidth="1"/>
  </cols>
  <sheetData>
    <row r="1" spans="2:10" ht="16" thickBot="1"/>
    <row r="2" spans="2:10">
      <c r="B2" s="104" t="s">
        <v>67</v>
      </c>
      <c r="C2" s="30"/>
      <c r="D2" s="73">
        <v>42423</v>
      </c>
      <c r="E2" s="30"/>
      <c r="F2" s="30"/>
      <c r="G2" s="30"/>
      <c r="H2" s="30"/>
      <c r="I2" s="30"/>
      <c r="J2" s="74"/>
    </row>
    <row r="3" spans="2:10">
      <c r="B3" s="75" t="s">
        <v>96</v>
      </c>
      <c r="C3" s="11"/>
      <c r="D3" s="108"/>
      <c r="E3" s="11"/>
      <c r="F3" s="11"/>
      <c r="G3" s="11"/>
      <c r="H3" s="11"/>
      <c r="I3" s="11"/>
      <c r="J3" s="87"/>
    </row>
    <row r="4" spans="2:10">
      <c r="B4" s="76" t="s">
        <v>68</v>
      </c>
      <c r="C4" s="126">
        <v>1</v>
      </c>
      <c r="D4" s="127"/>
      <c r="E4" s="126">
        <v>2</v>
      </c>
      <c r="F4" s="127"/>
      <c r="G4" s="126">
        <v>3</v>
      </c>
      <c r="H4" s="127"/>
      <c r="I4" s="126" t="s">
        <v>91</v>
      </c>
      <c r="J4" s="128"/>
    </row>
    <row r="5" spans="2:10">
      <c r="B5" s="76" t="s">
        <v>73</v>
      </c>
      <c r="C5" s="44">
        <v>14.305999999999999</v>
      </c>
      <c r="D5" s="50">
        <v>0.62708333333333333</v>
      </c>
      <c r="E5" s="44">
        <v>14.327</v>
      </c>
      <c r="F5" s="47">
        <v>0.62777777777777777</v>
      </c>
      <c r="G5" s="44">
        <v>14.374000000000001</v>
      </c>
      <c r="H5" s="47">
        <v>0.62916666666666665</v>
      </c>
      <c r="I5" s="44">
        <v>13.944000000000001</v>
      </c>
      <c r="J5" s="94">
        <v>0.64236111111111105</v>
      </c>
    </row>
    <row r="6" spans="2:10">
      <c r="B6" s="76" t="s">
        <v>69</v>
      </c>
      <c r="C6" s="44">
        <v>27.6</v>
      </c>
      <c r="D6" s="47">
        <v>0.63472222222222219</v>
      </c>
      <c r="E6" s="44">
        <v>27.5</v>
      </c>
      <c r="F6" s="47">
        <v>0.63472222222222219</v>
      </c>
      <c r="G6" s="44">
        <v>27.4</v>
      </c>
      <c r="H6" s="47">
        <v>0.63680555555555551</v>
      </c>
      <c r="I6" s="44">
        <v>27.6</v>
      </c>
      <c r="J6" s="94">
        <v>0.64097222222222217</v>
      </c>
    </row>
    <row r="7" spans="2:10">
      <c r="B7" s="76" t="s">
        <v>70</v>
      </c>
      <c r="C7" s="44">
        <v>7.8019999999999996</v>
      </c>
      <c r="D7" s="47">
        <v>0.64374999999999993</v>
      </c>
      <c r="E7" s="44">
        <v>7.8129999999999997</v>
      </c>
      <c r="F7" s="47">
        <v>0.64444444444444449</v>
      </c>
      <c r="G7" s="44">
        <v>7.8150000000000004</v>
      </c>
      <c r="H7" s="47">
        <v>0.64513888888888882</v>
      </c>
      <c r="I7" s="44">
        <v>7.8179999999999996</v>
      </c>
      <c r="J7" s="94">
        <v>0.6479166666666667</v>
      </c>
    </row>
    <row r="8" spans="2:10">
      <c r="B8" s="76" t="s">
        <v>93</v>
      </c>
      <c r="C8" s="45" t="s">
        <v>92</v>
      </c>
      <c r="D8" s="47">
        <v>0.65972222222222221</v>
      </c>
      <c r="E8" s="45" t="s">
        <v>92</v>
      </c>
      <c r="F8" s="47">
        <v>0.66041666666666665</v>
      </c>
      <c r="G8" s="45" t="s">
        <v>92</v>
      </c>
      <c r="H8" s="47">
        <v>0.66111111111111109</v>
      </c>
      <c r="I8" s="44" t="s">
        <v>92</v>
      </c>
      <c r="J8" s="94">
        <v>0.6645833333333333</v>
      </c>
    </row>
    <row r="9" spans="2:10">
      <c r="B9" s="76" t="s">
        <v>72</v>
      </c>
      <c r="C9" s="46" t="s">
        <v>92</v>
      </c>
      <c r="D9" s="48">
        <v>0.67013888888888884</v>
      </c>
      <c r="E9" s="46" t="s">
        <v>92</v>
      </c>
      <c r="F9" s="48">
        <v>0.67083333333333339</v>
      </c>
      <c r="G9" s="46" t="s">
        <v>92</v>
      </c>
      <c r="H9" s="48">
        <v>0.67152777777777783</v>
      </c>
      <c r="I9" s="49" t="s">
        <v>92</v>
      </c>
      <c r="J9" s="109">
        <v>0.67499999999999993</v>
      </c>
    </row>
    <row r="10" spans="2:10">
      <c r="B10" s="75" t="s">
        <v>97</v>
      </c>
      <c r="C10" s="11"/>
      <c r="D10" s="11"/>
      <c r="E10" s="11"/>
      <c r="F10" s="11"/>
      <c r="G10" s="11"/>
      <c r="H10" s="11"/>
      <c r="I10" s="11"/>
      <c r="J10" s="87"/>
    </row>
    <row r="11" spans="2:10">
      <c r="B11" s="76" t="s">
        <v>68</v>
      </c>
      <c r="C11" s="126">
        <v>4</v>
      </c>
      <c r="D11" s="127"/>
      <c r="E11" s="126">
        <v>5</v>
      </c>
      <c r="F11" s="127"/>
      <c r="G11" s="126">
        <v>6</v>
      </c>
      <c r="H11" s="127"/>
      <c r="I11" s="126" t="s">
        <v>90</v>
      </c>
      <c r="J11" s="128"/>
    </row>
    <row r="12" spans="2:10">
      <c r="B12" s="76" t="s">
        <v>73</v>
      </c>
      <c r="C12" s="44">
        <v>14.26</v>
      </c>
      <c r="D12" s="47">
        <v>0.62986111111111109</v>
      </c>
      <c r="E12" s="44">
        <v>14.238</v>
      </c>
      <c r="F12" s="47">
        <v>0.63055555555555554</v>
      </c>
      <c r="G12" s="44">
        <v>14.346</v>
      </c>
      <c r="H12" s="47">
        <v>0.63194444444444442</v>
      </c>
      <c r="I12" s="44">
        <v>13.914999999999999</v>
      </c>
      <c r="J12" s="94">
        <v>0.64166666666666672</v>
      </c>
    </row>
    <row r="13" spans="2:10">
      <c r="B13" s="76" t="s">
        <v>69</v>
      </c>
      <c r="C13" s="44">
        <v>27.4</v>
      </c>
      <c r="D13" s="47">
        <v>0.63750000000000007</v>
      </c>
      <c r="E13" s="44">
        <v>27.5</v>
      </c>
      <c r="F13" s="47">
        <v>0.6381944444444444</v>
      </c>
      <c r="G13" s="44">
        <v>27.4</v>
      </c>
      <c r="H13" s="47">
        <v>0.63888888888888895</v>
      </c>
      <c r="I13" s="44">
        <v>27.4</v>
      </c>
      <c r="J13" s="94">
        <v>0.63958333333333328</v>
      </c>
    </row>
    <row r="14" spans="2:10">
      <c r="B14" s="76" t="s">
        <v>70</v>
      </c>
      <c r="C14" s="44">
        <v>7.6059999999999999</v>
      </c>
      <c r="D14" s="47">
        <v>0.64583333333333337</v>
      </c>
      <c r="E14" s="44">
        <v>7.609</v>
      </c>
      <c r="F14" s="47">
        <v>0.64652777777777781</v>
      </c>
      <c r="G14" s="44">
        <v>7.6029999999999998</v>
      </c>
      <c r="H14" s="47">
        <v>0.64722222222222225</v>
      </c>
      <c r="I14" s="44" t="s">
        <v>94</v>
      </c>
      <c r="J14" s="94">
        <v>0.6479166666666667</v>
      </c>
    </row>
    <row r="15" spans="2:10">
      <c r="B15" s="76" t="s">
        <v>93</v>
      </c>
      <c r="C15" s="44" t="s">
        <v>92</v>
      </c>
      <c r="D15" s="47">
        <v>0.66180555555555554</v>
      </c>
      <c r="E15" s="44" t="s">
        <v>92</v>
      </c>
      <c r="F15" s="47">
        <v>0.66249999999999998</v>
      </c>
      <c r="G15" s="44" t="s">
        <v>92</v>
      </c>
      <c r="H15" s="47">
        <v>0.66319444444444442</v>
      </c>
      <c r="I15" s="44" t="s">
        <v>92</v>
      </c>
      <c r="J15" s="94">
        <v>0.66388888888888886</v>
      </c>
    </row>
    <row r="16" spans="2:10">
      <c r="B16" s="76" t="s">
        <v>72</v>
      </c>
      <c r="C16" s="49" t="s">
        <v>92</v>
      </c>
      <c r="D16" s="48">
        <v>0.67222222222222217</v>
      </c>
      <c r="E16" s="49" t="s">
        <v>92</v>
      </c>
      <c r="F16" s="48">
        <v>0.67291666666666661</v>
      </c>
      <c r="G16" s="49" t="s">
        <v>92</v>
      </c>
      <c r="H16" s="48">
        <v>0.67361111111111116</v>
      </c>
      <c r="I16" s="49" t="s">
        <v>92</v>
      </c>
      <c r="J16" s="109">
        <v>0.6743055555555556</v>
      </c>
    </row>
    <row r="17" spans="2:10">
      <c r="B17" s="85"/>
      <c r="C17" s="11" t="s">
        <v>95</v>
      </c>
      <c r="D17" s="11"/>
      <c r="E17" s="11"/>
      <c r="F17" s="11"/>
      <c r="G17" s="11"/>
      <c r="H17" s="11"/>
      <c r="I17" s="11"/>
      <c r="J17" s="87"/>
    </row>
    <row r="18" spans="2:10">
      <c r="B18" s="85"/>
      <c r="C18" s="10"/>
      <c r="D18" s="86" t="s">
        <v>101</v>
      </c>
      <c r="E18" s="95">
        <f>J9-D5</f>
        <v>4.7916666666666607E-2</v>
      </c>
      <c r="F18" s="11"/>
      <c r="G18" s="11"/>
      <c r="H18" s="11"/>
      <c r="I18" s="11"/>
      <c r="J18" s="87"/>
    </row>
    <row r="19" spans="2:10">
      <c r="B19" s="85"/>
      <c r="C19" s="10"/>
      <c r="D19" s="86" t="s">
        <v>102</v>
      </c>
      <c r="E19" s="95">
        <f>AVERAGE((D9-D8),(F9-F8),(H9-H8),(J9-J8),(D16-D15),(F16-F15),(H16-H15),(J16-J15))</f>
        <v>1.0416666666666685E-2</v>
      </c>
      <c r="F19" s="11"/>
      <c r="G19" s="11"/>
      <c r="H19" s="11"/>
      <c r="I19" s="11"/>
      <c r="J19" s="87"/>
    </row>
    <row r="20" spans="2:10" ht="16" thickBot="1">
      <c r="B20" s="88"/>
      <c r="C20" s="96"/>
      <c r="D20" s="101" t="s">
        <v>106</v>
      </c>
      <c r="E20" s="110">
        <f>AVERAGE((D9-D5),(F9-F5),(H9-H5),(J9-J5)*(D16-D12),(F16-F12),(H16-H12),(J16-J12))</f>
        <v>3.5217358355379209E-2</v>
      </c>
      <c r="F20" s="32"/>
      <c r="G20" s="32"/>
      <c r="H20" s="32"/>
      <c r="I20" s="32"/>
      <c r="J20" s="37"/>
    </row>
    <row r="21" spans="2:10">
      <c r="B21" s="199"/>
    </row>
    <row r="22" spans="2:10" s="207" customFormat="1">
      <c r="B22" s="210" t="s">
        <v>210</v>
      </c>
    </row>
    <row r="23" spans="2:10" s="207" customFormat="1" ht="50" customHeight="1">
      <c r="B23" s="210" t="s">
        <v>209</v>
      </c>
      <c r="C23" s="208" t="s">
        <v>211</v>
      </c>
      <c r="D23" s="208"/>
      <c r="E23" s="208"/>
      <c r="F23" s="208"/>
      <c r="G23" s="208"/>
      <c r="H23" s="208"/>
      <c r="I23" s="208"/>
      <c r="J23" s="208"/>
    </row>
    <row r="24" spans="2:10">
      <c r="B24" s="1"/>
      <c r="C24" s="1" t="s">
        <v>206</v>
      </c>
      <c r="D24" s="1" t="s">
        <v>207</v>
      </c>
      <c r="E24" s="1" t="s">
        <v>208</v>
      </c>
    </row>
    <row r="25" spans="2:10">
      <c r="B25" s="209" t="s">
        <v>195</v>
      </c>
      <c r="C25">
        <v>92</v>
      </c>
      <c r="D25">
        <v>98</v>
      </c>
      <c r="E25" s="206">
        <v>35000</v>
      </c>
    </row>
    <row r="26" spans="2:10">
      <c r="B26" s="209" t="s">
        <v>196</v>
      </c>
      <c r="C26">
        <v>107</v>
      </c>
      <c r="D26">
        <v>130</v>
      </c>
      <c r="E26" s="206">
        <v>44000</v>
      </c>
    </row>
    <row r="27" spans="2:10">
      <c r="B27" s="209" t="s">
        <v>197</v>
      </c>
      <c r="C27">
        <v>119</v>
      </c>
      <c r="D27">
        <v>138</v>
      </c>
      <c r="E27" s="206">
        <v>48000</v>
      </c>
    </row>
    <row r="28" spans="2:10">
      <c r="B28" s="209" t="s">
        <v>198</v>
      </c>
      <c r="C28">
        <v>138</v>
      </c>
      <c r="D28">
        <v>104</v>
      </c>
      <c r="E28" s="206">
        <v>45000</v>
      </c>
    </row>
    <row r="29" spans="2:10">
      <c r="B29" s="209" t="s">
        <v>199</v>
      </c>
      <c r="C29">
        <v>136</v>
      </c>
      <c r="D29">
        <v>132</v>
      </c>
      <c r="E29" s="206">
        <v>50000</v>
      </c>
    </row>
    <row r="30" spans="2:10">
      <c r="B30" s="209" t="s">
        <v>200</v>
      </c>
      <c r="C30">
        <v>131</v>
      </c>
      <c r="D30">
        <v>122</v>
      </c>
      <c r="E30" s="206">
        <v>47000</v>
      </c>
    </row>
  </sheetData>
  <mergeCells count="9">
    <mergeCell ref="C23:J23"/>
    <mergeCell ref="E11:F11"/>
    <mergeCell ref="G11:H11"/>
    <mergeCell ref="I11:J11"/>
    <mergeCell ref="I4:J4"/>
    <mergeCell ref="C4:D4"/>
    <mergeCell ref="E4:F4"/>
    <mergeCell ref="G4:H4"/>
    <mergeCell ref="C11:D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showRuler="0" topLeftCell="A26" workbookViewId="0">
      <selection activeCell="M26" sqref="M26"/>
    </sheetView>
  </sheetViews>
  <sheetFormatPr baseColWidth="10" defaultRowHeight="15" x14ac:dyDescent="0"/>
  <cols>
    <col min="2" max="2" width="22.83203125" customWidth="1"/>
    <col min="11" max="11" width="10.83203125" customWidth="1"/>
    <col min="12" max="12" width="21.1640625" customWidth="1"/>
  </cols>
  <sheetData>
    <row r="1" spans="2:16" ht="16" thickBot="1"/>
    <row r="2" spans="2:16">
      <c r="B2" s="16" t="s">
        <v>51</v>
      </c>
      <c r="C2" s="10"/>
      <c r="D2" s="11"/>
      <c r="E2" s="11"/>
      <c r="F2" s="11"/>
      <c r="G2" s="11"/>
      <c r="H2" s="11"/>
      <c r="L2" s="183" t="s">
        <v>67</v>
      </c>
      <c r="M2" s="73"/>
      <c r="N2" s="30"/>
      <c r="O2" s="30"/>
      <c r="P2" s="74"/>
    </row>
    <row r="3" spans="2:16">
      <c r="B3" s="10" t="s">
        <v>8</v>
      </c>
      <c r="C3" s="121">
        <v>42424</v>
      </c>
      <c r="D3" s="120" t="s">
        <v>15</v>
      </c>
      <c r="E3" s="11"/>
      <c r="F3" s="11"/>
      <c r="G3" s="11"/>
      <c r="H3" s="11"/>
      <c r="L3" s="182" t="s">
        <v>8</v>
      </c>
      <c r="M3" s="108">
        <v>42424</v>
      </c>
      <c r="N3" s="11"/>
      <c r="O3" s="11"/>
      <c r="P3" s="87"/>
    </row>
    <row r="4" spans="2:16">
      <c r="B4" s="10" t="s">
        <v>2</v>
      </c>
      <c r="C4" s="11" t="s">
        <v>18</v>
      </c>
      <c r="D4" s="11"/>
      <c r="E4" s="11"/>
      <c r="F4" s="11"/>
      <c r="G4" s="11"/>
      <c r="H4" s="11"/>
      <c r="L4" s="75"/>
      <c r="M4" s="136" t="s">
        <v>96</v>
      </c>
      <c r="N4" s="136"/>
      <c r="O4" s="136"/>
      <c r="P4" s="137"/>
    </row>
    <row r="5" spans="2:16">
      <c r="B5" s="10" t="s">
        <v>1</v>
      </c>
      <c r="C5" s="10" t="s">
        <v>16</v>
      </c>
      <c r="D5" s="10" t="s">
        <v>17</v>
      </c>
      <c r="E5" s="10" t="s">
        <v>35</v>
      </c>
      <c r="F5" s="10" t="s">
        <v>44</v>
      </c>
      <c r="G5" s="11"/>
      <c r="H5" s="11"/>
      <c r="L5" s="76" t="s">
        <v>68</v>
      </c>
      <c r="M5" s="57">
        <v>1</v>
      </c>
      <c r="N5" s="57">
        <v>2</v>
      </c>
      <c r="O5" s="57">
        <v>3</v>
      </c>
      <c r="P5" s="77" t="s">
        <v>99</v>
      </c>
    </row>
    <row r="6" spans="2:16">
      <c r="B6" s="10" t="s">
        <v>52</v>
      </c>
      <c r="C6" s="11">
        <v>75</v>
      </c>
      <c r="D6" s="11">
        <v>33</v>
      </c>
      <c r="E6" s="12">
        <f>C6/(C6+D6)</f>
        <v>0.69444444444444442</v>
      </c>
      <c r="F6" s="26" t="s">
        <v>74</v>
      </c>
      <c r="G6" s="11"/>
      <c r="H6" s="11"/>
      <c r="L6" s="76" t="s">
        <v>98</v>
      </c>
      <c r="M6" s="54">
        <v>0.58333333333333337</v>
      </c>
      <c r="N6" s="54">
        <v>0.60138888888888886</v>
      </c>
      <c r="O6" s="54">
        <v>0.61249999999999993</v>
      </c>
      <c r="P6" s="78">
        <v>0.65208333333333335</v>
      </c>
    </row>
    <row r="7" spans="2:16">
      <c r="B7" s="10" t="s">
        <v>53</v>
      </c>
      <c r="C7" s="11">
        <v>79</v>
      </c>
      <c r="D7" s="11">
        <v>35</v>
      </c>
      <c r="E7" s="12">
        <f>C7/(C7+D7)</f>
        <v>0.69298245614035092</v>
      </c>
      <c r="F7" s="13" t="s">
        <v>139</v>
      </c>
      <c r="G7" s="11"/>
      <c r="H7" s="11"/>
      <c r="L7" s="76" t="s">
        <v>73</v>
      </c>
      <c r="M7" s="53">
        <v>15.163</v>
      </c>
      <c r="N7" s="53">
        <v>15.262</v>
      </c>
      <c r="O7" s="53">
        <v>15.257999999999999</v>
      </c>
      <c r="P7" s="79">
        <v>14.76</v>
      </c>
    </row>
    <row r="8" spans="2:16">
      <c r="B8" s="10" t="s">
        <v>54</v>
      </c>
      <c r="C8" s="27">
        <v>90</v>
      </c>
      <c r="D8" s="11">
        <v>37</v>
      </c>
      <c r="E8" s="12">
        <f>C8/(C8+D8)</f>
        <v>0.70866141732283461</v>
      </c>
      <c r="F8" s="13" t="s">
        <v>79</v>
      </c>
      <c r="G8" s="11"/>
      <c r="H8" s="15">
        <f>10*C14</f>
        <v>837.5</v>
      </c>
      <c r="L8" s="76" t="s">
        <v>69</v>
      </c>
      <c r="M8" s="53">
        <v>27.4</v>
      </c>
      <c r="N8" s="53">
        <v>27.5</v>
      </c>
      <c r="O8" s="53">
        <v>27.5</v>
      </c>
      <c r="P8" s="80">
        <v>27.4</v>
      </c>
    </row>
    <row r="9" spans="2:16">
      <c r="B9" s="10" t="s">
        <v>55</v>
      </c>
      <c r="C9" s="27">
        <v>91</v>
      </c>
      <c r="D9" s="27">
        <v>36</v>
      </c>
      <c r="E9" s="12">
        <f>C9/(C9+D9)</f>
        <v>0.71653543307086609</v>
      </c>
      <c r="F9" s="13" t="s">
        <v>80</v>
      </c>
      <c r="G9" s="11"/>
      <c r="H9" s="13">
        <f>H8*250</f>
        <v>209375</v>
      </c>
      <c r="I9" s="4"/>
      <c r="L9" s="76" t="s">
        <v>70</v>
      </c>
      <c r="M9" s="53">
        <v>7.806</v>
      </c>
      <c r="N9" s="53">
        <v>7.8049999999999997</v>
      </c>
      <c r="O9" s="53">
        <v>7.8209999999999997</v>
      </c>
      <c r="P9" s="80">
        <v>7.8250000000000002</v>
      </c>
    </row>
    <row r="10" spans="2:16">
      <c r="B10" s="10" t="s">
        <v>56</v>
      </c>
      <c r="C10" s="27">
        <v>1</v>
      </c>
      <c r="D10" s="27">
        <v>186</v>
      </c>
      <c r="E10" s="12">
        <f>C10/(C10+D10)</f>
        <v>5.3475935828877002E-3</v>
      </c>
      <c r="F10" s="13" t="s">
        <v>140</v>
      </c>
      <c r="G10" s="11"/>
      <c r="H10" s="11"/>
      <c r="I10" s="4"/>
      <c r="L10" s="76" t="s">
        <v>93</v>
      </c>
      <c r="M10" s="55">
        <v>0.58611111111111114</v>
      </c>
      <c r="N10" s="55">
        <v>0.60416666666666663</v>
      </c>
      <c r="O10" s="55">
        <v>0.61597222222222225</v>
      </c>
      <c r="P10" s="81">
        <v>0.65763888888888888</v>
      </c>
    </row>
    <row r="11" spans="2:16">
      <c r="B11" s="10" t="s">
        <v>57</v>
      </c>
      <c r="C11" s="115" t="s">
        <v>92</v>
      </c>
      <c r="D11" s="115" t="s">
        <v>92</v>
      </c>
      <c r="E11" s="116" t="s">
        <v>92</v>
      </c>
      <c r="F11" s="13" t="s">
        <v>82</v>
      </c>
      <c r="G11" s="11"/>
      <c r="H11" s="15">
        <f>10*C15</f>
        <v>30</v>
      </c>
      <c r="I11" s="4"/>
      <c r="L11" s="76" t="s">
        <v>72</v>
      </c>
      <c r="M11" s="56">
        <v>0.59027777777777779</v>
      </c>
      <c r="N11" s="56">
        <v>0.60833333333333328</v>
      </c>
      <c r="O11" s="56">
        <v>0.61875000000000002</v>
      </c>
      <c r="P11" s="82">
        <v>0.66249999999999998</v>
      </c>
    </row>
    <row r="12" spans="2:16">
      <c r="B12" s="10" t="s">
        <v>58</v>
      </c>
      <c r="C12" s="27">
        <v>5</v>
      </c>
      <c r="D12" s="27">
        <v>187</v>
      </c>
      <c r="E12" s="116">
        <f>C12/(C12+D12)</f>
        <v>2.6041666666666668E-2</v>
      </c>
      <c r="F12" s="13" t="s">
        <v>83</v>
      </c>
      <c r="G12" s="11"/>
      <c r="H12" s="13">
        <f>H11*250</f>
        <v>7500</v>
      </c>
      <c r="I12" s="4"/>
      <c r="L12" s="75"/>
      <c r="M12" s="134" t="s">
        <v>97</v>
      </c>
      <c r="N12" s="134"/>
      <c r="O12" s="134"/>
      <c r="P12" s="135"/>
    </row>
    <row r="13" spans="2:16" ht="16" thickBot="1">
      <c r="B13" s="10" t="s">
        <v>59</v>
      </c>
      <c r="C13" s="115" t="s">
        <v>92</v>
      </c>
      <c r="D13" s="115" t="s">
        <v>92</v>
      </c>
      <c r="E13" s="116" t="s">
        <v>92</v>
      </c>
      <c r="F13" s="13" t="s">
        <v>84</v>
      </c>
      <c r="G13" s="11"/>
      <c r="H13" s="14">
        <f>10000/(H15/500)</f>
        <v>23.054755043227665</v>
      </c>
      <c r="I13" s="120"/>
      <c r="L13" s="76" t="s">
        <v>68</v>
      </c>
      <c r="M13" s="57">
        <v>4</v>
      </c>
      <c r="N13" s="57">
        <v>5</v>
      </c>
      <c r="O13" s="57">
        <v>6</v>
      </c>
      <c r="P13" s="77" t="s">
        <v>100</v>
      </c>
    </row>
    <row r="14" spans="2:16">
      <c r="B14" s="28" t="s">
        <v>76</v>
      </c>
      <c r="C14" s="29">
        <f>AVERAGE(C6:C9)</f>
        <v>83.75</v>
      </c>
      <c r="D14" s="29">
        <f>AVERAGE(D6:D10)</f>
        <v>65.400000000000006</v>
      </c>
      <c r="E14" s="43">
        <f>AVERAGE(E6:E9)</f>
        <v>0.70315593774462404</v>
      </c>
      <c r="F14" s="125" t="s">
        <v>134</v>
      </c>
      <c r="G14" s="30"/>
      <c r="H14" s="124">
        <f>10000/(H15/200)</f>
        <v>9.2219020172910664</v>
      </c>
      <c r="L14" s="76" t="s">
        <v>98</v>
      </c>
      <c r="M14" s="65">
        <v>0.62291666666666667</v>
      </c>
      <c r="N14" s="65">
        <v>0.63263888888888886</v>
      </c>
      <c r="O14" s="65">
        <v>0.64236111111111105</v>
      </c>
      <c r="P14" s="83">
        <v>0.65208333333333335</v>
      </c>
    </row>
    <row r="15" spans="2:16" ht="16" thickBot="1">
      <c r="B15" s="31" t="s">
        <v>77</v>
      </c>
      <c r="C15" s="35">
        <f>AVERAGE(C10:C13)</f>
        <v>3</v>
      </c>
      <c r="D15" s="35">
        <f>AVERAGE(D10:D13)</f>
        <v>186.5</v>
      </c>
      <c r="E15" s="34">
        <f>AVERAGE(E10:E13)</f>
        <v>1.5694630124777183E-2</v>
      </c>
      <c r="F15" s="117" t="s">
        <v>85</v>
      </c>
      <c r="G15" s="118"/>
      <c r="H15" s="119">
        <f>SUM(H9,H12)</f>
        <v>216875</v>
      </c>
      <c r="I15" s="4"/>
      <c r="L15" s="76" t="s">
        <v>73</v>
      </c>
      <c r="M15" s="44">
        <v>15.167999999999999</v>
      </c>
      <c r="N15" s="44">
        <v>15.201000000000001</v>
      </c>
      <c r="O15" s="44">
        <v>15.250999999999999</v>
      </c>
      <c r="P15" s="84">
        <v>14.731</v>
      </c>
    </row>
    <row r="16" spans="2:16">
      <c r="B16" s="11"/>
      <c r="C16" s="11"/>
      <c r="D16" s="11"/>
      <c r="E16" s="11"/>
      <c r="F16" s="13"/>
      <c r="G16" s="11"/>
      <c r="H16" s="11"/>
      <c r="L16" s="76" t="s">
        <v>69</v>
      </c>
      <c r="M16" s="44">
        <v>27.5</v>
      </c>
      <c r="N16" s="44">
        <v>27.4</v>
      </c>
      <c r="O16" s="44">
        <v>27.4</v>
      </c>
      <c r="P16" s="84">
        <v>27.4</v>
      </c>
    </row>
    <row r="17" spans="2:16">
      <c r="B17" s="10" t="s">
        <v>112</v>
      </c>
      <c r="C17" s="11">
        <v>93</v>
      </c>
      <c r="D17" s="11">
        <v>77</v>
      </c>
      <c r="E17" s="12">
        <f>C17/(C17+D17)</f>
        <v>0.54705882352941182</v>
      </c>
      <c r="F17" s="26" t="s">
        <v>74</v>
      </c>
      <c r="G17" s="11"/>
      <c r="H17" s="11"/>
      <c r="L17" s="76" t="s">
        <v>70</v>
      </c>
      <c r="M17" s="44">
        <v>7.4450000000000003</v>
      </c>
      <c r="N17" s="44">
        <v>7.4429999999999996</v>
      </c>
      <c r="O17" s="44">
        <v>7.4809999999999999</v>
      </c>
      <c r="P17" s="84">
        <v>7.4809999999999999</v>
      </c>
    </row>
    <row r="18" spans="2:16">
      <c r="B18" s="10" t="s">
        <v>115</v>
      </c>
      <c r="C18" s="11">
        <v>86</v>
      </c>
      <c r="D18" s="11">
        <v>78</v>
      </c>
      <c r="E18" s="12">
        <f>C18/(C18+D18)</f>
        <v>0.52439024390243905</v>
      </c>
      <c r="F18" s="13" t="s">
        <v>139</v>
      </c>
      <c r="G18" s="11"/>
      <c r="H18" s="11"/>
      <c r="L18" s="76" t="s">
        <v>93</v>
      </c>
      <c r="M18" s="66">
        <v>0.62638888888888888</v>
      </c>
      <c r="N18" s="66">
        <v>0.63541666666666663</v>
      </c>
      <c r="O18" s="66">
        <v>0.64513888888888882</v>
      </c>
      <c r="P18" s="81">
        <v>0.65763888888888888</v>
      </c>
    </row>
    <row r="19" spans="2:16">
      <c r="B19" s="10" t="s">
        <v>114</v>
      </c>
      <c r="C19" s="27">
        <v>101</v>
      </c>
      <c r="D19" s="11">
        <v>105</v>
      </c>
      <c r="E19" s="12">
        <f>C19/(C19+D19)</f>
        <v>0.49029126213592233</v>
      </c>
      <c r="F19" s="13" t="s">
        <v>79</v>
      </c>
      <c r="G19" s="11"/>
      <c r="H19" s="15">
        <f>10*C25</f>
        <v>942.5</v>
      </c>
      <c r="L19" s="76" t="s">
        <v>72</v>
      </c>
      <c r="M19" s="67">
        <v>0.62986111111111109</v>
      </c>
      <c r="N19" s="67">
        <v>0.64027777777777783</v>
      </c>
      <c r="O19" s="67">
        <v>0.64861111111111114</v>
      </c>
      <c r="P19" s="82">
        <v>0.66249999999999998</v>
      </c>
    </row>
    <row r="20" spans="2:16">
      <c r="B20" s="10" t="s">
        <v>113</v>
      </c>
      <c r="C20" s="27">
        <v>97</v>
      </c>
      <c r="D20" s="27">
        <v>100</v>
      </c>
      <c r="E20" s="12">
        <f>C20/(C20+D20)</f>
        <v>0.49238578680203043</v>
      </c>
      <c r="F20" s="13" t="s">
        <v>80</v>
      </c>
      <c r="G20" s="11"/>
      <c r="H20" s="13">
        <f>H19*250</f>
        <v>235625</v>
      </c>
      <c r="L20" s="85"/>
      <c r="M20" s="11"/>
      <c r="N20" s="86" t="s">
        <v>101</v>
      </c>
      <c r="O20" s="95">
        <v>7.9166666666666663E-2</v>
      </c>
      <c r="P20" s="87"/>
    </row>
    <row r="21" spans="2:16">
      <c r="B21" s="10" t="s">
        <v>116</v>
      </c>
      <c r="C21" s="27">
        <v>6</v>
      </c>
      <c r="D21" s="27">
        <v>164</v>
      </c>
      <c r="E21" s="12">
        <f>C21/(C21+D21)</f>
        <v>3.5294117647058823E-2</v>
      </c>
      <c r="F21" s="13" t="s">
        <v>140</v>
      </c>
      <c r="G21" s="11"/>
      <c r="H21" s="11"/>
      <c r="L21" s="85"/>
      <c r="M21" s="11"/>
      <c r="N21" s="86" t="s">
        <v>107</v>
      </c>
      <c r="O21" s="95">
        <f>AVERAGE((M11-M6),(N11-N6),(O11-O6),(P11-P6),(M19-M14),(N19-N14),(O19-O14),(P19-P14))</f>
        <v>7.7256944444444586E-3</v>
      </c>
      <c r="P21" s="87"/>
    </row>
    <row r="22" spans="2:16" ht="16" thickBot="1">
      <c r="B22" s="10" t="s">
        <v>117</v>
      </c>
      <c r="C22" s="115" t="s">
        <v>92</v>
      </c>
      <c r="D22" s="115" t="s">
        <v>92</v>
      </c>
      <c r="E22" s="116" t="s">
        <v>92</v>
      </c>
      <c r="F22" s="13" t="s">
        <v>82</v>
      </c>
      <c r="G22" s="11"/>
      <c r="H22" s="15">
        <f>10*C26</f>
        <v>50</v>
      </c>
      <c r="L22" s="88"/>
      <c r="M22" s="32"/>
      <c r="N22" s="89" t="s">
        <v>102</v>
      </c>
      <c r="O22" s="97">
        <v>3.472222222222222E-3</v>
      </c>
      <c r="P22" s="37"/>
    </row>
    <row r="23" spans="2:16">
      <c r="B23" s="10" t="s">
        <v>118</v>
      </c>
      <c r="C23" s="27">
        <v>4</v>
      </c>
      <c r="D23" s="27">
        <v>156</v>
      </c>
      <c r="E23" s="116">
        <f>C23/(C23+D23)</f>
        <v>2.5000000000000001E-2</v>
      </c>
      <c r="F23" s="13" t="s">
        <v>83</v>
      </c>
      <c r="G23" s="11"/>
      <c r="H23" s="13">
        <f>H22*250</f>
        <v>12500</v>
      </c>
    </row>
    <row r="24" spans="2:16" ht="16" thickBot="1">
      <c r="B24" s="10" t="s">
        <v>119</v>
      </c>
      <c r="C24" s="115" t="s">
        <v>92</v>
      </c>
      <c r="D24" s="115" t="s">
        <v>92</v>
      </c>
      <c r="E24" s="116" t="s">
        <v>92</v>
      </c>
      <c r="F24" s="13" t="s">
        <v>84</v>
      </c>
      <c r="G24" s="11"/>
      <c r="H24" s="14">
        <f>10000/(H26/700)</f>
        <v>28.211586901763223</v>
      </c>
    </row>
    <row r="25" spans="2:16">
      <c r="B25" s="28" t="s">
        <v>120</v>
      </c>
      <c r="C25" s="29">
        <f>AVERAGE(C17:C20)</f>
        <v>94.25</v>
      </c>
      <c r="D25" s="29">
        <f>AVERAGE(D17:D21)</f>
        <v>104.8</v>
      </c>
      <c r="E25" s="43">
        <f>AVERAGE(E17:E20)</f>
        <v>0.51353152909245092</v>
      </c>
      <c r="F25" s="122" t="s">
        <v>134</v>
      </c>
      <c r="G25" s="30"/>
      <c r="H25" s="124">
        <f>10000/(H26/200)</f>
        <v>8.0604534005037785</v>
      </c>
    </row>
    <row r="26" spans="2:16" ht="16" thickBot="1">
      <c r="B26" s="31" t="s">
        <v>121</v>
      </c>
      <c r="C26" s="35">
        <f>AVERAGE(C21:C24)</f>
        <v>5</v>
      </c>
      <c r="D26" s="35">
        <f>AVERAGE(D21:D24)</f>
        <v>160</v>
      </c>
      <c r="E26" s="34">
        <f>AVERAGE(E21:E24)</f>
        <v>3.0147058823529412E-2</v>
      </c>
      <c r="F26" s="117" t="s">
        <v>86</v>
      </c>
      <c r="G26" s="118"/>
      <c r="H26" s="119">
        <f>SUM(H20,H23)</f>
        <v>248125</v>
      </c>
    </row>
    <row r="27" spans="2:16">
      <c r="B27" s="11"/>
      <c r="C27" s="11"/>
      <c r="D27" s="11"/>
      <c r="E27" s="11"/>
      <c r="F27" s="11"/>
      <c r="G27" s="11"/>
      <c r="H27" s="11"/>
    </row>
    <row r="28" spans="2:16">
      <c r="B28" s="10" t="s">
        <v>122</v>
      </c>
      <c r="C28" s="11">
        <v>88</v>
      </c>
      <c r="D28" s="11">
        <v>43</v>
      </c>
      <c r="E28" s="12">
        <f>C28/(C28+D28)</f>
        <v>0.6717557251908397</v>
      </c>
      <c r="F28" s="26" t="s">
        <v>74</v>
      </c>
      <c r="G28" s="11"/>
      <c r="H28" s="11"/>
    </row>
    <row r="29" spans="2:16">
      <c r="B29" s="10" t="s">
        <v>123</v>
      </c>
      <c r="C29" s="11">
        <v>89</v>
      </c>
      <c r="D29" s="11">
        <v>40</v>
      </c>
      <c r="E29" s="12">
        <f>C29/(C29+D29)</f>
        <v>0.68992248062015504</v>
      </c>
      <c r="F29" s="13" t="s">
        <v>111</v>
      </c>
      <c r="G29" s="11"/>
      <c r="H29" s="11"/>
    </row>
    <row r="30" spans="2:16">
      <c r="B30" s="10" t="s">
        <v>124</v>
      </c>
      <c r="C30" s="27">
        <v>126</v>
      </c>
      <c r="D30" s="11">
        <v>40</v>
      </c>
      <c r="E30" s="12">
        <f>C30/(C30+D30)</f>
        <v>0.75903614457831325</v>
      </c>
      <c r="F30" s="13" t="s">
        <v>79</v>
      </c>
      <c r="G30" s="11"/>
      <c r="H30" s="13">
        <f>10*C36</f>
        <v>1050</v>
      </c>
    </row>
    <row r="31" spans="2:16">
      <c r="B31" s="10" t="s">
        <v>125</v>
      </c>
      <c r="C31" s="27">
        <v>117</v>
      </c>
      <c r="D31" s="27">
        <v>46</v>
      </c>
      <c r="E31" s="12">
        <f>C31/(C31+D31)</f>
        <v>0.71779141104294475</v>
      </c>
      <c r="F31" s="13" t="s">
        <v>80</v>
      </c>
      <c r="G31" s="11"/>
      <c r="H31" s="13">
        <f>H30*350</f>
        <v>367500</v>
      </c>
    </row>
    <row r="32" spans="2:16">
      <c r="B32" s="10" t="s">
        <v>126</v>
      </c>
      <c r="C32" s="27">
        <v>5</v>
      </c>
      <c r="D32" s="27">
        <v>118</v>
      </c>
      <c r="E32" s="12">
        <f>C32/(C32+D32)</f>
        <v>4.065040650406504E-2</v>
      </c>
      <c r="F32" s="13" t="s">
        <v>81</v>
      </c>
      <c r="G32" s="11"/>
      <c r="H32" s="11"/>
    </row>
    <row r="33" spans="2:9">
      <c r="B33" s="10" t="s">
        <v>127</v>
      </c>
      <c r="C33" s="115">
        <v>5</v>
      </c>
      <c r="D33" s="115">
        <v>118</v>
      </c>
      <c r="E33" s="12">
        <f>C33/(C33+D33)</f>
        <v>4.065040650406504E-2</v>
      </c>
      <c r="F33" s="13" t="s">
        <v>82</v>
      </c>
      <c r="G33" s="11"/>
      <c r="H33" s="15">
        <f>10*C37</f>
        <v>37.5</v>
      </c>
    </row>
    <row r="34" spans="2:9">
      <c r="B34" s="10" t="s">
        <v>128</v>
      </c>
      <c r="C34" s="27">
        <v>2</v>
      </c>
      <c r="D34" s="27">
        <v>109</v>
      </c>
      <c r="E34" s="12">
        <f>C34/(C34+D34)</f>
        <v>1.8018018018018018E-2</v>
      </c>
      <c r="F34" s="13" t="s">
        <v>83</v>
      </c>
      <c r="G34" s="11"/>
      <c r="H34" s="13">
        <f>H33*350</f>
        <v>13125</v>
      </c>
    </row>
    <row r="35" spans="2:9" ht="16" thickBot="1">
      <c r="B35" s="10" t="s">
        <v>129</v>
      </c>
      <c r="C35" s="115">
        <v>3</v>
      </c>
      <c r="D35" s="115">
        <v>97</v>
      </c>
      <c r="E35" s="12">
        <f>C35/(C35+D35)</f>
        <v>0.03</v>
      </c>
      <c r="F35" s="146" t="s">
        <v>84</v>
      </c>
      <c r="G35" s="146"/>
      <c r="H35" s="14">
        <f>10000/(H37/700)</f>
        <v>18.390804597701148</v>
      </c>
    </row>
    <row r="36" spans="2:9">
      <c r="B36" s="28" t="s">
        <v>130</v>
      </c>
      <c r="C36" s="29">
        <f>AVERAGE(C28:C31)</f>
        <v>105</v>
      </c>
      <c r="D36" s="29">
        <f>AVERAGE(D28:D32)</f>
        <v>57.4</v>
      </c>
      <c r="E36" s="43">
        <f>AVERAGE(E28:E31)</f>
        <v>0.70962644035806322</v>
      </c>
      <c r="F36" s="140" t="s">
        <v>135</v>
      </c>
      <c r="G36" s="140"/>
      <c r="H36" s="74">
        <v>18.399999999999999</v>
      </c>
    </row>
    <row r="37" spans="2:9" ht="16" thickBot="1">
      <c r="B37" s="31" t="s">
        <v>131</v>
      </c>
      <c r="C37" s="35">
        <f>AVERAGE(C32:C35)</f>
        <v>3.75</v>
      </c>
      <c r="D37" s="35">
        <f>AVERAGE(D32:D35)</f>
        <v>110.5</v>
      </c>
      <c r="E37" s="34">
        <f>AVERAGE(E32:E35)</f>
        <v>3.2329707756537027E-2</v>
      </c>
      <c r="F37" s="117" t="s">
        <v>87</v>
      </c>
      <c r="G37" s="118"/>
      <c r="H37" s="119">
        <f>SUM(H31,H34)</f>
        <v>380625</v>
      </c>
    </row>
    <row r="38" spans="2:9">
      <c r="B38" s="11"/>
      <c r="C38" s="11"/>
      <c r="D38" s="11"/>
      <c r="E38" s="11"/>
      <c r="F38" s="11"/>
      <c r="G38" s="11"/>
      <c r="H38" s="11"/>
    </row>
    <row r="39" spans="2:9">
      <c r="B39" s="10" t="s">
        <v>60</v>
      </c>
      <c r="C39" s="27">
        <v>95</v>
      </c>
      <c r="D39" s="27">
        <v>22</v>
      </c>
      <c r="E39" s="12">
        <f>C39/(C39+D39)</f>
        <v>0.81196581196581197</v>
      </c>
      <c r="F39" s="26" t="s">
        <v>74</v>
      </c>
      <c r="G39" s="11"/>
      <c r="H39" s="11"/>
    </row>
    <row r="40" spans="2:9">
      <c r="B40" s="10" t="s">
        <v>61</v>
      </c>
      <c r="C40" s="27">
        <v>92</v>
      </c>
      <c r="D40" s="27">
        <v>25</v>
      </c>
      <c r="E40" s="12">
        <f>C40/(C40+D40)</f>
        <v>0.78632478632478631</v>
      </c>
      <c r="F40" s="13" t="s">
        <v>141</v>
      </c>
      <c r="G40" s="11"/>
      <c r="H40" s="11"/>
    </row>
    <row r="41" spans="2:9">
      <c r="B41" s="10" t="s">
        <v>62</v>
      </c>
      <c r="C41" s="27">
        <v>67</v>
      </c>
      <c r="D41" s="27">
        <v>20</v>
      </c>
      <c r="E41" s="12">
        <f>C41/(C41+D41)</f>
        <v>0.77011494252873558</v>
      </c>
      <c r="F41" s="13" t="s">
        <v>79</v>
      </c>
      <c r="G41" s="11"/>
      <c r="H41" s="15">
        <f>10*C47</f>
        <v>797.5</v>
      </c>
    </row>
    <row r="42" spans="2:9">
      <c r="B42" s="10" t="s">
        <v>63</v>
      </c>
      <c r="C42" s="27">
        <v>65</v>
      </c>
      <c r="D42" s="27">
        <v>19</v>
      </c>
      <c r="E42" s="12">
        <f>C42/(C42+D42)</f>
        <v>0.77380952380952384</v>
      </c>
      <c r="F42" s="13" t="s">
        <v>80</v>
      </c>
      <c r="G42" s="11"/>
      <c r="H42" s="13">
        <f>H41*400</f>
        <v>319000</v>
      </c>
    </row>
    <row r="43" spans="2:9">
      <c r="B43" s="10" t="s">
        <v>64</v>
      </c>
      <c r="C43" s="27">
        <v>3</v>
      </c>
      <c r="D43" s="27">
        <v>239</v>
      </c>
      <c r="E43" s="12">
        <f>C43/(C43+D43)</f>
        <v>1.2396694214876033E-2</v>
      </c>
      <c r="F43" s="13" t="s">
        <v>81</v>
      </c>
      <c r="G43" s="11"/>
      <c r="H43" s="11"/>
    </row>
    <row r="44" spans="2:9">
      <c r="B44" s="10" t="s">
        <v>89</v>
      </c>
      <c r="C44" s="27">
        <v>4</v>
      </c>
      <c r="D44" s="27">
        <v>250</v>
      </c>
      <c r="E44" s="12">
        <f>C44/(C44+D44)</f>
        <v>1.5748031496062992E-2</v>
      </c>
      <c r="F44" s="13" t="s">
        <v>82</v>
      </c>
      <c r="G44" s="11"/>
      <c r="H44" s="15">
        <f>10*C48</f>
        <v>37.5</v>
      </c>
    </row>
    <row r="45" spans="2:9">
      <c r="B45" s="10" t="s">
        <v>65</v>
      </c>
      <c r="C45" s="27">
        <v>3</v>
      </c>
      <c r="D45" s="27">
        <v>229</v>
      </c>
      <c r="E45" s="12">
        <f>C45/(C45+D45)</f>
        <v>1.2931034482758621E-2</v>
      </c>
      <c r="F45" s="13" t="s">
        <v>83</v>
      </c>
      <c r="G45" s="11"/>
      <c r="H45" s="13">
        <f>H44*350</f>
        <v>13125</v>
      </c>
    </row>
    <row r="46" spans="2:9" ht="16" thickBot="1">
      <c r="B46" s="10" t="s">
        <v>66</v>
      </c>
      <c r="C46" s="27">
        <v>5</v>
      </c>
      <c r="D46" s="27">
        <v>234</v>
      </c>
      <c r="E46" s="12">
        <f>C46/(C46+D46)</f>
        <v>2.0920502092050208E-2</v>
      </c>
      <c r="F46" s="13" t="s">
        <v>84</v>
      </c>
      <c r="G46" s="11"/>
      <c r="H46" s="14">
        <f>10000/(H48/700)</f>
        <v>21.076401957094468</v>
      </c>
    </row>
    <row r="47" spans="2:9">
      <c r="B47" s="28" t="s">
        <v>132</v>
      </c>
      <c r="C47" s="29">
        <f>AVERAGE(C39:C42)</f>
        <v>79.75</v>
      </c>
      <c r="D47" s="29">
        <f>AVERAGE(D39:D46)</f>
        <v>129.75</v>
      </c>
      <c r="E47" s="43">
        <f>AVERAGE(E39:E42)</f>
        <v>0.78555376615721439</v>
      </c>
      <c r="F47" s="122" t="s">
        <v>136</v>
      </c>
      <c r="G47" s="30"/>
      <c r="H47" s="123" t="s">
        <v>137</v>
      </c>
    </row>
    <row r="48" spans="2:9" ht="16" thickBot="1">
      <c r="B48" s="31" t="s">
        <v>133</v>
      </c>
      <c r="C48" s="35">
        <f>AVERAGE(C43:C46)</f>
        <v>3.75</v>
      </c>
      <c r="D48" s="35">
        <f>AVERAGE(D43:D46)</f>
        <v>238</v>
      </c>
      <c r="E48" s="34">
        <f>AVERAGE(E43:E46)</f>
        <v>1.5499065571436963E-2</v>
      </c>
      <c r="F48" s="117" t="s">
        <v>88</v>
      </c>
      <c r="G48" s="32"/>
      <c r="H48" s="119">
        <f>SUM(H42,H45)</f>
        <v>332125</v>
      </c>
      <c r="I48" s="4"/>
    </row>
    <row r="49" spans="6:6">
      <c r="F49" s="4" t="s">
        <v>138</v>
      </c>
    </row>
  </sheetData>
  <mergeCells count="4">
    <mergeCell ref="F36:G36"/>
    <mergeCell ref="F35:G35"/>
    <mergeCell ref="M12:P12"/>
    <mergeCell ref="M4:P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showRuler="0" workbookViewId="0">
      <selection activeCell="I14" sqref="I14"/>
    </sheetView>
  </sheetViews>
  <sheetFormatPr baseColWidth="10" defaultRowHeight="15" x14ac:dyDescent="0"/>
  <cols>
    <col min="1" max="1" width="10.83203125" style="184"/>
    <col min="2" max="2" width="32.6640625" style="184" customWidth="1"/>
    <col min="3" max="16384" width="10.83203125" style="184"/>
  </cols>
  <sheetData>
    <row r="1" spans="2:5" ht="16" thickBot="1"/>
    <row r="2" spans="2:5">
      <c r="B2" s="180" t="s">
        <v>67</v>
      </c>
      <c r="C2" s="185">
        <v>42425</v>
      </c>
      <c r="D2" s="186"/>
      <c r="E2" s="187"/>
    </row>
    <row r="3" spans="2:5">
      <c r="B3" s="75"/>
      <c r="C3" s="136" t="s">
        <v>103</v>
      </c>
      <c r="D3" s="136"/>
      <c r="E3" s="137"/>
    </row>
    <row r="4" spans="2:5">
      <c r="B4" s="76" t="s">
        <v>68</v>
      </c>
      <c r="C4" s="57">
        <v>1</v>
      </c>
      <c r="D4" s="72">
        <v>2</v>
      </c>
      <c r="E4" s="90">
        <v>3</v>
      </c>
    </row>
    <row r="5" spans="2:5">
      <c r="B5" s="76" t="s">
        <v>98</v>
      </c>
      <c r="C5" s="65">
        <v>0.37152777777777773</v>
      </c>
      <c r="D5" s="102">
        <v>0.375</v>
      </c>
      <c r="E5" s="103">
        <v>0.37777777777777777</v>
      </c>
    </row>
    <row r="6" spans="2:5">
      <c r="B6" s="76" t="s">
        <v>73</v>
      </c>
      <c r="C6" s="53">
        <v>14.122999999999999</v>
      </c>
      <c r="D6" s="70">
        <v>14.128</v>
      </c>
      <c r="E6" s="91">
        <v>14.154</v>
      </c>
    </row>
    <row r="7" spans="2:5">
      <c r="B7" s="76" t="s">
        <v>69</v>
      </c>
      <c r="C7" s="53">
        <v>26.7</v>
      </c>
      <c r="D7" s="70">
        <v>26.7</v>
      </c>
      <c r="E7" s="91">
        <v>26.7</v>
      </c>
    </row>
    <row r="8" spans="2:5">
      <c r="B8" s="76" t="s">
        <v>70</v>
      </c>
      <c r="C8" s="53">
        <v>7.7759999999999998</v>
      </c>
      <c r="D8" s="70">
        <v>7.7759999999999998</v>
      </c>
      <c r="E8" s="91">
        <v>7.7789999999999999</v>
      </c>
    </row>
    <row r="9" spans="2:5">
      <c r="B9" s="76" t="s">
        <v>93</v>
      </c>
      <c r="C9" s="55">
        <v>0.37361111111111112</v>
      </c>
      <c r="D9" s="71">
        <v>0.37708333333333338</v>
      </c>
      <c r="E9" s="92">
        <v>0.37916666666666665</v>
      </c>
    </row>
    <row r="10" spans="2:5">
      <c r="B10" s="76" t="s">
        <v>72</v>
      </c>
      <c r="C10" s="138">
        <v>0.39027777777777778</v>
      </c>
      <c r="D10" s="141"/>
      <c r="E10" s="142"/>
    </row>
    <row r="11" spans="2:5">
      <c r="B11" s="75"/>
      <c r="C11" s="134" t="s">
        <v>104</v>
      </c>
      <c r="D11" s="134"/>
      <c r="E11" s="135"/>
    </row>
    <row r="12" spans="2:5">
      <c r="B12" s="76" t="s">
        <v>68</v>
      </c>
      <c r="C12" s="57">
        <v>4</v>
      </c>
      <c r="D12" s="72">
        <v>5</v>
      </c>
      <c r="E12" s="90">
        <v>6</v>
      </c>
    </row>
    <row r="13" spans="2:5">
      <c r="B13" s="76" t="s">
        <v>98</v>
      </c>
      <c r="C13" s="65">
        <v>0.39305555555555555</v>
      </c>
      <c r="D13" s="102">
        <v>0.39513888888888887</v>
      </c>
      <c r="E13" s="103">
        <v>0.3972222222222222</v>
      </c>
    </row>
    <row r="14" spans="2:5">
      <c r="B14" s="76" t="s">
        <v>73</v>
      </c>
      <c r="C14" s="68">
        <v>14.24</v>
      </c>
      <c r="D14" s="52">
        <v>14.226000000000001</v>
      </c>
      <c r="E14" s="93">
        <v>14.263</v>
      </c>
    </row>
    <row r="15" spans="2:5">
      <c r="B15" s="76" t="s">
        <v>69</v>
      </c>
      <c r="C15" s="44">
        <v>26.7</v>
      </c>
      <c r="D15" s="52">
        <v>26.7</v>
      </c>
      <c r="E15" s="93">
        <v>26.6</v>
      </c>
    </row>
    <row r="16" spans="2:5">
      <c r="B16" s="76" t="s">
        <v>70</v>
      </c>
      <c r="C16" s="44">
        <v>7.4279999999999999</v>
      </c>
      <c r="D16" s="52">
        <v>7.4260000000000002</v>
      </c>
      <c r="E16" s="93">
        <v>7.4240000000000004</v>
      </c>
    </row>
    <row r="17" spans="2:5">
      <c r="B17" s="76" t="s">
        <v>93</v>
      </c>
      <c r="C17" s="66">
        <v>0.39930555555555558</v>
      </c>
      <c r="D17" s="51">
        <v>0.39999999999999997</v>
      </c>
      <c r="E17" s="94">
        <v>0.40069444444444446</v>
      </c>
    </row>
    <row r="18" spans="2:5">
      <c r="B18" s="76" t="s">
        <v>72</v>
      </c>
      <c r="C18" s="143">
        <v>0.40833333333333338</v>
      </c>
      <c r="D18" s="144"/>
      <c r="E18" s="145"/>
    </row>
    <row r="19" spans="2:5">
      <c r="B19" s="188"/>
      <c r="C19" s="134" t="s">
        <v>105</v>
      </c>
      <c r="D19" s="134"/>
      <c r="E19" s="189"/>
    </row>
    <row r="20" spans="2:5">
      <c r="B20" s="188"/>
      <c r="C20" s="58" t="s">
        <v>99</v>
      </c>
      <c r="D20" s="58" t="s">
        <v>100</v>
      </c>
      <c r="E20" s="189"/>
    </row>
    <row r="21" spans="2:5">
      <c r="B21" s="188"/>
      <c r="C21" s="62">
        <v>0.41597222222222219</v>
      </c>
      <c r="D21" s="63">
        <v>0.41805555555555557</v>
      </c>
      <c r="E21" s="189"/>
    </row>
    <row r="22" spans="2:5">
      <c r="B22" s="188"/>
      <c r="C22" s="64">
        <v>13.471</v>
      </c>
      <c r="D22" s="61">
        <v>13.835000000000001</v>
      </c>
      <c r="E22" s="189"/>
    </row>
    <row r="23" spans="2:5">
      <c r="B23" s="188"/>
      <c r="C23" s="59">
        <v>26.3</v>
      </c>
      <c r="D23" s="61">
        <v>26.3</v>
      </c>
      <c r="E23" s="189"/>
    </row>
    <row r="24" spans="2:5">
      <c r="B24" s="188"/>
      <c r="C24" s="59">
        <v>7.4089999999999998</v>
      </c>
      <c r="D24" s="61">
        <v>7.4089999999999998</v>
      </c>
      <c r="E24" s="189"/>
    </row>
    <row r="25" spans="2:5">
      <c r="B25" s="188"/>
      <c r="C25" s="60">
        <v>0.4201388888888889</v>
      </c>
      <c r="D25" s="60">
        <v>0.42083333333333334</v>
      </c>
      <c r="E25" s="189"/>
    </row>
    <row r="26" spans="2:5">
      <c r="B26" s="188"/>
      <c r="C26" s="138">
        <v>0.42777777777777781</v>
      </c>
      <c r="D26" s="139"/>
      <c r="E26" s="189"/>
    </row>
    <row r="27" spans="2:5">
      <c r="B27" s="188"/>
      <c r="C27" s="190"/>
      <c r="D27" s="190"/>
      <c r="E27" s="191"/>
    </row>
    <row r="28" spans="2:5">
      <c r="B28" s="188"/>
      <c r="C28" s="192"/>
      <c r="D28" s="98" t="s">
        <v>101</v>
      </c>
      <c r="E28" s="193">
        <f>C26-C5</f>
        <v>5.6250000000000078E-2</v>
      </c>
    </row>
    <row r="29" spans="2:5">
      <c r="B29" s="188"/>
      <c r="C29" s="192"/>
      <c r="D29" s="86" t="s">
        <v>107</v>
      </c>
      <c r="E29" s="194">
        <f>AVERAGE((C10-C5),(C10-D5),(C10-E5),(C18-C13),(C18-D13),(C18-E13),(C26-C21),(C26-D21))</f>
        <v>1.3454861111111154E-2</v>
      </c>
    </row>
    <row r="30" spans="2:5" ht="16" thickBot="1">
      <c r="B30" s="195"/>
      <c r="C30" s="196"/>
      <c r="D30" s="101" t="s">
        <v>102</v>
      </c>
      <c r="E30" s="197">
        <f>AVERAGE((C10-C9),(C10-D9),(C10-E9),(C18-C17),(C18-D17),(C18-E17),(C26-C25),(C26-D25))</f>
        <v>1.0069444444444464E-2</v>
      </c>
    </row>
  </sheetData>
  <mergeCells count="6">
    <mergeCell ref="C3:E3"/>
    <mergeCell ref="C26:D26"/>
    <mergeCell ref="C19:D19"/>
    <mergeCell ref="C11:E11"/>
    <mergeCell ref="C10:E10"/>
    <mergeCell ref="C18:E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showRuler="0" topLeftCell="A9" workbookViewId="0">
      <selection activeCell="L21" sqref="L21"/>
    </sheetView>
  </sheetViews>
  <sheetFormatPr baseColWidth="10" defaultRowHeight="15" x14ac:dyDescent="0"/>
  <cols>
    <col min="2" max="2" width="23.33203125" customWidth="1"/>
    <col min="8" max="8" width="15.6640625" bestFit="1" customWidth="1"/>
    <col min="11" max="11" width="20.1640625" customWidth="1"/>
  </cols>
  <sheetData>
    <row r="2" spans="2:16">
      <c r="B2" s="5" t="s">
        <v>51</v>
      </c>
      <c r="C2" s="1"/>
      <c r="K2" s="161" t="s">
        <v>67</v>
      </c>
      <c r="L2" s="108"/>
      <c r="M2" s="11"/>
      <c r="N2" s="11"/>
      <c r="O2" s="11"/>
      <c r="P2" s="11"/>
    </row>
    <row r="3" spans="2:16">
      <c r="B3" s="1" t="s">
        <v>8</v>
      </c>
      <c r="C3" s="2">
        <v>42426</v>
      </c>
      <c r="D3" s="4" t="s">
        <v>15</v>
      </c>
      <c r="K3" s="151" t="s">
        <v>8</v>
      </c>
      <c r="L3" s="108">
        <v>42426</v>
      </c>
      <c r="M3" s="10" t="s">
        <v>187</v>
      </c>
      <c r="N3" s="11"/>
      <c r="O3" s="11"/>
      <c r="P3" s="11"/>
    </row>
    <row r="4" spans="2:16">
      <c r="B4" s="1" t="s">
        <v>2</v>
      </c>
      <c r="C4" t="s">
        <v>145</v>
      </c>
      <c r="K4" s="98"/>
      <c r="L4" s="150" t="s">
        <v>163</v>
      </c>
      <c r="M4" s="51"/>
      <c r="N4" s="51"/>
      <c r="O4" s="71"/>
      <c r="P4" s="11"/>
    </row>
    <row r="5" spans="2:16">
      <c r="B5" s="1" t="s">
        <v>1</v>
      </c>
      <c r="C5" s="1" t="s">
        <v>16</v>
      </c>
      <c r="D5" s="1" t="s">
        <v>17</v>
      </c>
      <c r="E5" s="1" t="s">
        <v>35</v>
      </c>
      <c r="F5" s="1" t="s">
        <v>44</v>
      </c>
      <c r="K5" s="98" t="s">
        <v>164</v>
      </c>
      <c r="L5" s="11">
        <v>16.64</v>
      </c>
      <c r="M5" s="86"/>
      <c r="N5" s="95"/>
      <c r="O5" s="11"/>
      <c r="P5" s="11"/>
    </row>
    <row r="6" spans="2:16">
      <c r="B6" s="10" t="s">
        <v>52</v>
      </c>
      <c r="C6" s="11">
        <v>56</v>
      </c>
      <c r="D6" s="11">
        <v>42</v>
      </c>
      <c r="E6" s="12">
        <f>C6/(C6+D6)</f>
        <v>0.5714285714285714</v>
      </c>
      <c r="F6" s="26"/>
      <c r="G6" s="11"/>
      <c r="H6" s="11"/>
      <c r="K6" s="98" t="s">
        <v>69</v>
      </c>
      <c r="L6" s="11">
        <v>26.5</v>
      </c>
      <c r="M6" s="86"/>
      <c r="N6" s="95"/>
      <c r="O6" s="11"/>
      <c r="P6" s="11"/>
    </row>
    <row r="7" spans="2:16">
      <c r="B7" s="10" t="s">
        <v>167</v>
      </c>
      <c r="C7" s="11">
        <v>58</v>
      </c>
      <c r="D7" s="11">
        <v>51</v>
      </c>
      <c r="E7" s="12">
        <f>C7/(C7+D7)</f>
        <v>0.5321100917431193</v>
      </c>
      <c r="F7" s="13" t="s">
        <v>170</v>
      </c>
      <c r="G7" s="11"/>
      <c r="H7" s="11"/>
      <c r="K7" s="98" t="s">
        <v>165</v>
      </c>
      <c r="L7" s="11">
        <v>8.2949999999999999</v>
      </c>
      <c r="M7" s="86"/>
      <c r="N7" s="95"/>
      <c r="O7" s="11"/>
      <c r="P7" s="11"/>
    </row>
    <row r="8" spans="2:16">
      <c r="B8" s="10" t="s">
        <v>54</v>
      </c>
      <c r="C8" s="27">
        <v>56</v>
      </c>
      <c r="D8" s="11">
        <v>56</v>
      </c>
      <c r="E8" s="12">
        <f>C8/(C8+D8)</f>
        <v>0.5</v>
      </c>
      <c r="F8" s="13" t="s">
        <v>36</v>
      </c>
      <c r="G8" s="11"/>
      <c r="H8" s="15">
        <f>10*C12</f>
        <v>557.5</v>
      </c>
      <c r="K8" s="98" t="s">
        <v>166</v>
      </c>
      <c r="L8" s="11">
        <v>8.3420000000000005</v>
      </c>
      <c r="M8" s="86"/>
      <c r="N8" s="95"/>
      <c r="O8" s="11"/>
      <c r="P8" s="11"/>
    </row>
    <row r="9" spans="2:16" ht="16" thickBot="1">
      <c r="B9" s="10" t="s">
        <v>55</v>
      </c>
      <c r="C9" s="115">
        <v>53</v>
      </c>
      <c r="D9" s="115">
        <v>47</v>
      </c>
      <c r="E9" s="12">
        <f>C9/(C9+D9)</f>
        <v>0.53</v>
      </c>
      <c r="F9" s="13" t="s">
        <v>158</v>
      </c>
      <c r="G9" s="11"/>
      <c r="H9" s="13"/>
      <c r="K9" s="166" t="s">
        <v>185</v>
      </c>
      <c r="L9" s="11">
        <f>L7-L8</f>
        <v>-4.7000000000000597E-2</v>
      </c>
      <c r="M9" s="11"/>
      <c r="N9" s="11"/>
      <c r="O9" s="11"/>
      <c r="P9" s="11"/>
    </row>
    <row r="10" spans="2:16">
      <c r="B10" s="10" t="s">
        <v>168</v>
      </c>
      <c r="C10" s="115">
        <v>0</v>
      </c>
      <c r="D10" s="115">
        <v>140</v>
      </c>
      <c r="E10" s="12">
        <f>C10/(C10+D10)</f>
        <v>0</v>
      </c>
      <c r="F10" s="13"/>
      <c r="G10" s="11"/>
      <c r="H10" s="13"/>
      <c r="K10" s="167"/>
      <c r="L10" s="168" t="s">
        <v>96</v>
      </c>
      <c r="M10" s="168"/>
      <c r="N10" s="168"/>
      <c r="O10" s="169"/>
      <c r="P10" s="11"/>
    </row>
    <row r="11" spans="2:16" ht="16" thickBot="1">
      <c r="B11" s="10" t="s">
        <v>169</v>
      </c>
      <c r="C11" s="115">
        <v>0</v>
      </c>
      <c r="D11" s="115">
        <v>121</v>
      </c>
      <c r="E11" s="12">
        <f>C11/(C11+D11)</f>
        <v>0</v>
      </c>
      <c r="F11" s="13"/>
      <c r="G11" s="11"/>
      <c r="H11" s="13"/>
      <c r="K11" s="76" t="s">
        <v>68</v>
      </c>
      <c r="L11" s="69">
        <v>1</v>
      </c>
      <c r="M11" s="69">
        <v>2</v>
      </c>
      <c r="N11" s="69">
        <v>3</v>
      </c>
      <c r="O11" s="170" t="s">
        <v>99</v>
      </c>
      <c r="P11" s="11"/>
    </row>
    <row r="12" spans="2:16">
      <c r="B12" s="28" t="s">
        <v>76</v>
      </c>
      <c r="C12" s="29">
        <f>AVERAGE(C6:C9)</f>
        <v>55.75</v>
      </c>
      <c r="D12" s="29">
        <f>AVERAGE(D6:D9)</f>
        <v>49</v>
      </c>
      <c r="E12" s="43">
        <f>C12/(C12+D12)</f>
        <v>0.53221957040572787</v>
      </c>
      <c r="F12" s="38" t="s">
        <v>85</v>
      </c>
      <c r="G12" s="39"/>
      <c r="H12" s="40">
        <f>H8*250</f>
        <v>139375</v>
      </c>
      <c r="K12" s="76" t="s">
        <v>159</v>
      </c>
      <c r="L12" s="153">
        <v>0.42222222222222222</v>
      </c>
      <c r="M12" s="153"/>
      <c r="N12" s="153"/>
      <c r="O12" s="171"/>
      <c r="P12" s="11"/>
    </row>
    <row r="13" spans="2:16" ht="16" thickBot="1">
      <c r="B13" s="31" t="s">
        <v>77</v>
      </c>
      <c r="C13" s="162">
        <f>AVERAGE(C10:C11)</f>
        <v>0</v>
      </c>
      <c r="D13" s="162">
        <f>AVERAGE(D10:D11)</f>
        <v>130.5</v>
      </c>
      <c r="E13" s="163">
        <f>C13/(C13+D13)</f>
        <v>0</v>
      </c>
      <c r="F13" s="117"/>
      <c r="G13" s="118"/>
      <c r="H13" s="119"/>
      <c r="K13" s="76" t="s">
        <v>160</v>
      </c>
      <c r="L13" s="154" t="s">
        <v>184</v>
      </c>
      <c r="M13" s="154"/>
      <c r="N13" s="154"/>
      <c r="O13" s="172"/>
      <c r="P13" s="11"/>
    </row>
    <row r="14" spans="2:16">
      <c r="B14" s="11"/>
      <c r="C14" s="11"/>
      <c r="D14" s="11"/>
      <c r="E14" s="11"/>
      <c r="F14" s="13"/>
      <c r="G14" s="11"/>
      <c r="H14" s="11"/>
      <c r="K14" s="76" t="s">
        <v>73</v>
      </c>
      <c r="L14" s="70">
        <v>15.26</v>
      </c>
      <c r="M14" s="70">
        <v>15.28</v>
      </c>
      <c r="N14" s="70">
        <v>15.32</v>
      </c>
      <c r="O14" s="173">
        <v>14.79</v>
      </c>
      <c r="P14" s="11"/>
    </row>
    <row r="15" spans="2:16">
      <c r="B15" s="10" t="s">
        <v>112</v>
      </c>
      <c r="C15" s="11">
        <v>59</v>
      </c>
      <c r="D15" s="11">
        <v>80</v>
      </c>
      <c r="E15" s="12">
        <f>C15/(C15+D15)</f>
        <v>0.42446043165467628</v>
      </c>
      <c r="F15" s="26"/>
      <c r="G15" s="11"/>
      <c r="H15" s="11"/>
      <c r="K15" s="76" t="s">
        <v>69</v>
      </c>
      <c r="L15" s="70">
        <v>25.9</v>
      </c>
      <c r="M15" s="70">
        <v>25.9</v>
      </c>
      <c r="N15" s="156">
        <v>26</v>
      </c>
      <c r="O15" s="174">
        <v>25.5</v>
      </c>
      <c r="P15" s="11"/>
    </row>
    <row r="16" spans="2:16">
      <c r="B16" s="10" t="s">
        <v>171</v>
      </c>
      <c r="C16" s="11">
        <v>68</v>
      </c>
      <c r="D16" s="11">
        <v>72</v>
      </c>
      <c r="E16" s="12">
        <f>C16/(C16+D16)</f>
        <v>0.48571428571428571</v>
      </c>
      <c r="F16" s="13" t="s">
        <v>170</v>
      </c>
      <c r="G16" s="11"/>
      <c r="H16" s="11"/>
      <c r="K16" s="76" t="s">
        <v>70</v>
      </c>
      <c r="L16" s="155">
        <v>7.92</v>
      </c>
      <c r="M16" s="155">
        <v>7.9</v>
      </c>
      <c r="N16" s="155">
        <v>7.8540000000000001</v>
      </c>
      <c r="O16" s="173">
        <v>8.1300000000000008</v>
      </c>
      <c r="P16" s="11"/>
    </row>
    <row r="17" spans="2:16">
      <c r="B17" s="10" t="s">
        <v>114</v>
      </c>
      <c r="C17" s="27">
        <v>61</v>
      </c>
      <c r="D17" s="11">
        <v>57</v>
      </c>
      <c r="E17" s="12">
        <f>C17/(C17+D17)</f>
        <v>0.51694915254237284</v>
      </c>
      <c r="F17" s="13" t="s">
        <v>36</v>
      </c>
      <c r="G17" s="11"/>
      <c r="H17" s="15">
        <f>10*C21</f>
        <v>410</v>
      </c>
      <c r="K17" s="75"/>
      <c r="L17" s="152" t="s">
        <v>97</v>
      </c>
      <c r="M17" s="152"/>
      <c r="N17" s="152"/>
      <c r="O17" s="175"/>
      <c r="P17" s="11"/>
    </row>
    <row r="18" spans="2:16">
      <c r="B18" s="10" t="s">
        <v>113</v>
      </c>
      <c r="C18" s="115">
        <v>58</v>
      </c>
      <c r="D18" s="115">
        <v>69</v>
      </c>
      <c r="E18" s="12">
        <f>C18/(C18+D18)</f>
        <v>0.45669291338582679</v>
      </c>
      <c r="F18" s="13" t="s">
        <v>158</v>
      </c>
      <c r="G18" s="11"/>
      <c r="H18" s="13"/>
      <c r="K18" s="76" t="s">
        <v>68</v>
      </c>
      <c r="L18" s="69">
        <v>4</v>
      </c>
      <c r="M18" s="69">
        <v>5</v>
      </c>
      <c r="N18" s="69">
        <v>6</v>
      </c>
      <c r="O18" s="170" t="s">
        <v>100</v>
      </c>
      <c r="P18" s="11"/>
    </row>
    <row r="19" spans="2:16">
      <c r="B19" s="10" t="s">
        <v>172</v>
      </c>
      <c r="C19" s="115">
        <v>0</v>
      </c>
      <c r="D19" s="115">
        <v>88</v>
      </c>
      <c r="E19" s="116">
        <f>C19/(C19+D19)</f>
        <v>0</v>
      </c>
      <c r="F19" s="13"/>
      <c r="G19" s="11"/>
      <c r="H19" s="13"/>
      <c r="K19" s="76" t="s">
        <v>159</v>
      </c>
      <c r="L19" s="153">
        <v>0.42222222222222222</v>
      </c>
      <c r="M19" s="153"/>
      <c r="N19" s="153"/>
      <c r="O19" s="171"/>
      <c r="P19" s="11"/>
    </row>
    <row r="20" spans="2:16" ht="16" thickBot="1">
      <c r="B20" s="10" t="s">
        <v>173</v>
      </c>
      <c r="C20" s="115">
        <v>0</v>
      </c>
      <c r="D20" s="115">
        <v>82</v>
      </c>
      <c r="E20" s="116">
        <f>C20/(C20+D20)</f>
        <v>0</v>
      </c>
      <c r="F20" s="13"/>
      <c r="G20" s="11"/>
      <c r="H20" s="13"/>
      <c r="K20" s="76" t="s">
        <v>160</v>
      </c>
      <c r="L20" s="157" t="s">
        <v>184</v>
      </c>
      <c r="M20" s="157"/>
      <c r="N20" s="157"/>
      <c r="O20" s="176"/>
      <c r="P20" s="11"/>
    </row>
    <row r="21" spans="2:16">
      <c r="B21" s="28" t="s">
        <v>120</v>
      </c>
      <c r="C21" s="29">
        <f>AVERAGE(C15:C20)</f>
        <v>41</v>
      </c>
      <c r="D21" s="29">
        <f>AVERAGE(D15:D20)</f>
        <v>74.666666666666671</v>
      </c>
      <c r="E21" s="43">
        <f>C21/(C21+D21)</f>
        <v>0.35446685878962536</v>
      </c>
      <c r="F21" s="38" t="s">
        <v>86</v>
      </c>
      <c r="G21" s="39"/>
      <c r="H21" s="40">
        <f>H17*250</f>
        <v>102500</v>
      </c>
      <c r="K21" s="76" t="s">
        <v>73</v>
      </c>
      <c r="L21" s="52">
        <v>15.885</v>
      </c>
      <c r="M21" s="158">
        <v>15.92</v>
      </c>
      <c r="N21" s="52">
        <v>15.907</v>
      </c>
      <c r="O21" s="93">
        <v>15.614000000000001</v>
      </c>
      <c r="P21" s="11"/>
    </row>
    <row r="22" spans="2:16" ht="16" thickBot="1">
      <c r="B22" s="31" t="s">
        <v>77</v>
      </c>
      <c r="C22" s="162">
        <f>AVERAGE(C19:C20)</f>
        <v>0</v>
      </c>
      <c r="D22" s="162">
        <f>AVERAGE(D19:D20)</f>
        <v>85</v>
      </c>
      <c r="E22" s="163">
        <f>C22/(C22+D22)</f>
        <v>0</v>
      </c>
      <c r="F22" s="117"/>
      <c r="G22" s="118"/>
      <c r="H22" s="119"/>
      <c r="K22" s="76" t="s">
        <v>69</v>
      </c>
      <c r="L22" s="159">
        <v>27</v>
      </c>
      <c r="M22" s="52">
        <v>26.8</v>
      </c>
      <c r="N22" s="159">
        <v>27</v>
      </c>
      <c r="O22" s="177">
        <v>27</v>
      </c>
      <c r="P22" s="11"/>
    </row>
    <row r="23" spans="2:16" ht="16" thickBot="1">
      <c r="B23" s="11"/>
      <c r="C23" s="11"/>
      <c r="D23" s="11"/>
      <c r="E23" s="11"/>
      <c r="F23" s="13"/>
      <c r="G23" s="11"/>
      <c r="H23" s="11"/>
      <c r="K23" s="106" t="s">
        <v>70</v>
      </c>
      <c r="L23" s="178">
        <v>6.9649999999999999</v>
      </c>
      <c r="M23" s="178">
        <v>6.944</v>
      </c>
      <c r="N23" s="178">
        <v>6.6719999999999997</v>
      </c>
      <c r="O23" s="179">
        <v>6.6719999999999997</v>
      </c>
      <c r="P23" s="11"/>
    </row>
    <row r="24" spans="2:16" ht="16" thickBot="1">
      <c r="B24" s="10" t="s">
        <v>122</v>
      </c>
      <c r="C24" s="11">
        <v>65</v>
      </c>
      <c r="D24" s="11">
        <v>15</v>
      </c>
      <c r="E24" s="12">
        <f>C24/(C24+D24)</f>
        <v>0.8125</v>
      </c>
      <c r="F24" s="26"/>
      <c r="G24" s="11"/>
      <c r="H24" s="11"/>
      <c r="K24" s="98"/>
      <c r="L24" s="51"/>
      <c r="M24" s="51"/>
      <c r="N24" s="51"/>
      <c r="O24" s="71"/>
      <c r="P24" s="11"/>
    </row>
    <row r="25" spans="2:16">
      <c r="B25" s="10" t="s">
        <v>174</v>
      </c>
      <c r="C25" s="11">
        <v>88</v>
      </c>
      <c r="D25" s="11">
        <v>15</v>
      </c>
      <c r="E25" s="12">
        <f>C25/(C25+D25)</f>
        <v>0.85436893203883491</v>
      </c>
      <c r="F25" s="13" t="s">
        <v>177</v>
      </c>
      <c r="G25" s="11"/>
      <c r="H25" s="11"/>
      <c r="K25" s="180" t="s">
        <v>8</v>
      </c>
      <c r="L25" s="73">
        <v>42426</v>
      </c>
      <c r="M25" s="181" t="s">
        <v>186</v>
      </c>
      <c r="N25" s="30"/>
      <c r="O25" s="74"/>
      <c r="P25" s="11"/>
    </row>
    <row r="26" spans="2:16">
      <c r="B26" s="10" t="s">
        <v>124</v>
      </c>
      <c r="C26" s="27">
        <v>90</v>
      </c>
      <c r="D26" s="11">
        <v>28</v>
      </c>
      <c r="E26" s="12">
        <f>C26/(C26+D26)</f>
        <v>0.76271186440677963</v>
      </c>
      <c r="F26" s="13" t="s">
        <v>36</v>
      </c>
      <c r="G26" s="11"/>
      <c r="H26" s="15">
        <f>10*C32</f>
        <v>842.5</v>
      </c>
      <c r="K26" s="75"/>
      <c r="L26" s="152" t="s">
        <v>96</v>
      </c>
      <c r="M26" s="152"/>
      <c r="N26" s="152"/>
      <c r="O26" s="175"/>
    </row>
    <row r="27" spans="2:16">
      <c r="B27" s="10" t="s">
        <v>125</v>
      </c>
      <c r="C27" s="115">
        <v>94</v>
      </c>
      <c r="D27" s="115">
        <v>20</v>
      </c>
      <c r="E27" s="12">
        <f>C27/(C27+D27)</f>
        <v>0.82456140350877194</v>
      </c>
      <c r="F27" s="13" t="s">
        <v>178</v>
      </c>
      <c r="G27" s="11"/>
      <c r="H27" s="13"/>
      <c r="K27" s="76" t="s">
        <v>68</v>
      </c>
      <c r="L27" s="69">
        <v>1</v>
      </c>
      <c r="M27" s="69">
        <v>2</v>
      </c>
      <c r="N27" s="69">
        <v>3</v>
      </c>
      <c r="O27" s="170" t="s">
        <v>99</v>
      </c>
    </row>
    <row r="28" spans="2:16">
      <c r="B28" s="10" t="s">
        <v>126</v>
      </c>
      <c r="C28" s="115">
        <v>0</v>
      </c>
      <c r="D28" s="115" t="s">
        <v>92</v>
      </c>
      <c r="E28" s="116" t="s">
        <v>92</v>
      </c>
      <c r="F28" s="13"/>
      <c r="G28" s="11"/>
      <c r="H28" s="13"/>
      <c r="K28" s="76" t="s">
        <v>159</v>
      </c>
      <c r="L28" s="153">
        <v>0.63541666666666663</v>
      </c>
      <c r="M28" s="153"/>
      <c r="N28" s="153"/>
      <c r="O28" s="171"/>
    </row>
    <row r="29" spans="2:16">
      <c r="B29" s="10" t="s">
        <v>127</v>
      </c>
      <c r="C29" s="115">
        <v>2</v>
      </c>
      <c r="D29" s="115" t="s">
        <v>92</v>
      </c>
      <c r="E29" s="116" t="s">
        <v>92</v>
      </c>
      <c r="F29" s="13"/>
      <c r="G29" s="11"/>
      <c r="H29" s="13"/>
      <c r="K29" s="76" t="s">
        <v>160</v>
      </c>
      <c r="L29" s="154" t="s">
        <v>183</v>
      </c>
      <c r="M29" s="154"/>
      <c r="N29" s="154"/>
      <c r="O29" s="172"/>
    </row>
    <row r="30" spans="2:16">
      <c r="B30" s="10" t="s">
        <v>176</v>
      </c>
      <c r="C30" s="115">
        <v>0</v>
      </c>
      <c r="D30" s="115" t="s">
        <v>92</v>
      </c>
      <c r="E30" s="116" t="s">
        <v>92</v>
      </c>
      <c r="F30" s="13"/>
      <c r="G30" s="11"/>
      <c r="H30" s="13"/>
      <c r="K30" s="76" t="s">
        <v>73</v>
      </c>
      <c r="L30" s="70">
        <v>15.898999999999999</v>
      </c>
      <c r="M30" s="70">
        <v>15.760999999999999</v>
      </c>
      <c r="N30" s="70">
        <v>15.878</v>
      </c>
      <c r="O30" s="173">
        <v>14.446999999999999</v>
      </c>
    </row>
    <row r="31" spans="2:16" ht="16" thickBot="1">
      <c r="B31" s="10" t="s">
        <v>129</v>
      </c>
      <c r="C31" s="115">
        <v>2</v>
      </c>
      <c r="D31" s="115" t="s">
        <v>92</v>
      </c>
      <c r="E31" s="116" t="s">
        <v>92</v>
      </c>
      <c r="F31" s="13"/>
      <c r="G31" s="11"/>
      <c r="H31" s="13"/>
      <c r="K31" s="76" t="s">
        <v>69</v>
      </c>
      <c r="L31" s="70">
        <v>25.4</v>
      </c>
      <c r="M31" s="70">
        <v>25.5</v>
      </c>
      <c r="N31" s="156">
        <v>25.4</v>
      </c>
      <c r="O31" s="174">
        <v>25.6</v>
      </c>
    </row>
    <row r="32" spans="2:16">
      <c r="B32" s="28" t="s">
        <v>130</v>
      </c>
      <c r="C32" s="29">
        <f>AVERAGE(C24:C27)</f>
        <v>84.25</v>
      </c>
      <c r="D32" s="29">
        <f>AVERAGE(D24:D27)</f>
        <v>19.5</v>
      </c>
      <c r="E32" s="43">
        <f>C32/(C32+D32)</f>
        <v>0.81204819277108431</v>
      </c>
      <c r="F32" s="38" t="s">
        <v>87</v>
      </c>
      <c r="G32" s="39"/>
      <c r="H32" s="40">
        <f>H26*280</f>
        <v>235900</v>
      </c>
      <c r="K32" s="76" t="s">
        <v>70</v>
      </c>
      <c r="L32" s="155">
        <v>7.782</v>
      </c>
      <c r="M32" s="155">
        <v>7.76</v>
      </c>
      <c r="N32" s="155">
        <v>7.7859999999999996</v>
      </c>
      <c r="O32" s="173">
        <v>7.8129999999999997</v>
      </c>
    </row>
    <row r="33" spans="2:15" ht="16" thickBot="1">
      <c r="B33" s="31" t="s">
        <v>131</v>
      </c>
      <c r="C33" s="162">
        <f>AVERAGE(C28:C31)</f>
        <v>1</v>
      </c>
      <c r="D33" s="164" t="s">
        <v>181</v>
      </c>
      <c r="E33" s="165" t="s">
        <v>180</v>
      </c>
      <c r="F33" s="117"/>
      <c r="G33" s="118"/>
      <c r="H33" s="119"/>
      <c r="K33" s="75"/>
      <c r="L33" s="152" t="s">
        <v>97</v>
      </c>
      <c r="M33" s="152"/>
      <c r="N33" s="152"/>
      <c r="O33" s="175"/>
    </row>
    <row r="34" spans="2:15">
      <c r="B34" s="11"/>
      <c r="C34" s="11"/>
      <c r="D34" s="11"/>
      <c r="E34" s="11"/>
      <c r="F34" s="13"/>
      <c r="G34" s="11"/>
      <c r="H34" s="11"/>
      <c r="K34" s="76" t="s">
        <v>68</v>
      </c>
      <c r="L34" s="69">
        <v>4</v>
      </c>
      <c r="M34" s="69">
        <v>5</v>
      </c>
      <c r="N34" s="69">
        <v>6</v>
      </c>
      <c r="O34" s="170" t="s">
        <v>100</v>
      </c>
    </row>
    <row r="35" spans="2:15">
      <c r="B35" s="10" t="s">
        <v>60</v>
      </c>
      <c r="C35" s="11">
        <v>89</v>
      </c>
      <c r="D35" s="11">
        <v>20</v>
      </c>
      <c r="E35" s="12">
        <f>C35/(C35+D35)</f>
        <v>0.8165137614678899</v>
      </c>
      <c r="F35" s="26"/>
      <c r="G35" s="11"/>
      <c r="H35" s="11"/>
      <c r="K35" s="76" t="s">
        <v>159</v>
      </c>
      <c r="L35" s="153">
        <v>0.63541666666666663</v>
      </c>
      <c r="M35" s="153"/>
      <c r="N35" s="153"/>
      <c r="O35" s="171"/>
    </row>
    <row r="36" spans="2:15">
      <c r="B36" s="10" t="s">
        <v>175</v>
      </c>
      <c r="C36" s="11">
        <v>75</v>
      </c>
      <c r="D36" s="11">
        <v>29</v>
      </c>
      <c r="E36" s="12">
        <f>C36/(C36+D36)</f>
        <v>0.72115384615384615</v>
      </c>
      <c r="F36" s="13" t="s">
        <v>170</v>
      </c>
      <c r="G36" s="11"/>
      <c r="H36" s="11"/>
      <c r="K36" s="76" t="s">
        <v>160</v>
      </c>
      <c r="L36" s="154" t="s">
        <v>183</v>
      </c>
      <c r="M36" s="154"/>
      <c r="N36" s="154"/>
      <c r="O36" s="172"/>
    </row>
    <row r="37" spans="2:15">
      <c r="B37" s="10" t="s">
        <v>62</v>
      </c>
      <c r="C37" s="27">
        <v>49</v>
      </c>
      <c r="D37" s="11">
        <v>30</v>
      </c>
      <c r="E37" s="12">
        <f>C37/(C37+D37)</f>
        <v>0.620253164556962</v>
      </c>
      <c r="F37" s="13" t="s">
        <v>36</v>
      </c>
      <c r="G37" s="11"/>
      <c r="H37" s="15">
        <f>10*C43</f>
        <v>667.5</v>
      </c>
      <c r="K37" s="76" t="s">
        <v>73</v>
      </c>
      <c r="L37" s="158">
        <v>15.54</v>
      </c>
      <c r="M37" s="158">
        <v>15.489000000000001</v>
      </c>
      <c r="N37" s="52">
        <v>15.71</v>
      </c>
      <c r="O37" s="93">
        <v>15.132</v>
      </c>
    </row>
    <row r="38" spans="2:15">
      <c r="B38" s="10" t="s">
        <v>63</v>
      </c>
      <c r="C38" s="115">
        <v>54</v>
      </c>
      <c r="D38" s="115">
        <v>32</v>
      </c>
      <c r="E38" s="116" t="s">
        <v>92</v>
      </c>
      <c r="F38" s="13" t="s">
        <v>179</v>
      </c>
      <c r="G38" s="11"/>
      <c r="H38" s="13"/>
      <c r="K38" s="76" t="s">
        <v>69</v>
      </c>
      <c r="L38" s="159">
        <v>25.5</v>
      </c>
      <c r="M38" s="52">
        <v>25.6</v>
      </c>
      <c r="N38" s="159">
        <v>25.5</v>
      </c>
      <c r="O38" s="177">
        <v>25.6</v>
      </c>
    </row>
    <row r="39" spans="2:15" ht="16" thickBot="1">
      <c r="B39" s="10" t="s">
        <v>64</v>
      </c>
      <c r="C39" s="115">
        <v>0</v>
      </c>
      <c r="D39" s="115" t="s">
        <v>92</v>
      </c>
      <c r="E39" s="116"/>
      <c r="F39" s="13"/>
      <c r="G39" s="11"/>
      <c r="H39" s="13"/>
      <c r="K39" s="106" t="s">
        <v>70</v>
      </c>
      <c r="L39" s="178">
        <v>6.2389999999999999</v>
      </c>
      <c r="M39" s="178">
        <v>6.2519999999999998</v>
      </c>
      <c r="N39" s="178">
        <v>6.3570000000000002</v>
      </c>
      <c r="O39" s="179">
        <v>6.3639999999999999</v>
      </c>
    </row>
    <row r="40" spans="2:15">
      <c r="B40" s="10" t="s">
        <v>89</v>
      </c>
      <c r="C40" s="115">
        <v>2</v>
      </c>
      <c r="D40" s="115" t="s">
        <v>92</v>
      </c>
      <c r="E40" s="116"/>
      <c r="F40" s="13"/>
      <c r="G40" s="11"/>
      <c r="H40" s="13"/>
      <c r="K40" s="98"/>
      <c r="L40" s="51"/>
      <c r="M40" s="51"/>
      <c r="N40" s="51"/>
      <c r="O40" s="71"/>
    </row>
    <row r="41" spans="2:15">
      <c r="B41" s="10" t="s">
        <v>65</v>
      </c>
      <c r="C41" s="115">
        <v>0</v>
      </c>
      <c r="D41" s="115" t="s">
        <v>92</v>
      </c>
      <c r="E41" s="116"/>
      <c r="F41" s="13"/>
      <c r="G41" s="11"/>
      <c r="H41" s="13"/>
      <c r="K41" s="98"/>
      <c r="L41" s="150"/>
      <c r="M41" s="51"/>
      <c r="N41" s="51"/>
      <c r="O41" s="71"/>
    </row>
    <row r="42" spans="2:15" ht="16" thickBot="1">
      <c r="B42" s="10" t="s">
        <v>66</v>
      </c>
      <c r="C42" s="115">
        <v>2</v>
      </c>
      <c r="D42" s="115" t="s">
        <v>92</v>
      </c>
      <c r="E42" s="116"/>
      <c r="F42" s="13"/>
      <c r="G42" s="11"/>
      <c r="H42" s="13"/>
      <c r="K42" s="98"/>
      <c r="L42" s="11"/>
      <c r="M42" s="86"/>
      <c r="N42" s="95"/>
      <c r="O42" s="11"/>
    </row>
    <row r="43" spans="2:15">
      <c r="B43" s="28" t="s">
        <v>132</v>
      </c>
      <c r="C43" s="29">
        <f>AVERAGE(C35:C38)</f>
        <v>66.75</v>
      </c>
      <c r="D43" s="29">
        <f>AVERAGE(D35:D38)</f>
        <v>27.75</v>
      </c>
      <c r="E43" s="43">
        <f>C43/(C43+D43)</f>
        <v>0.70634920634920639</v>
      </c>
      <c r="F43" s="38" t="s">
        <v>88</v>
      </c>
      <c r="G43" s="39"/>
      <c r="H43" s="40">
        <f>H37*250</f>
        <v>166875</v>
      </c>
      <c r="K43" s="98"/>
      <c r="L43" s="11"/>
      <c r="M43" s="86"/>
      <c r="N43" s="95"/>
      <c r="O43" s="11"/>
    </row>
    <row r="44" spans="2:15" ht="16" thickBot="1">
      <c r="B44" s="31" t="s">
        <v>133</v>
      </c>
      <c r="C44" s="162">
        <f>AVERAGE(C39:C42)</f>
        <v>1</v>
      </c>
      <c r="D44" s="164" t="s">
        <v>182</v>
      </c>
      <c r="E44" s="165" t="s">
        <v>180</v>
      </c>
      <c r="F44" s="117"/>
      <c r="G44" s="118"/>
      <c r="H44" s="119"/>
      <c r="K44" s="98"/>
      <c r="L44" s="11"/>
      <c r="M44" s="86"/>
      <c r="N44" s="95"/>
      <c r="O44" s="11"/>
    </row>
    <row r="45" spans="2:15">
      <c r="B45" s="11"/>
      <c r="C45" s="11"/>
      <c r="D45" s="11"/>
      <c r="E45" s="11"/>
      <c r="F45" s="13"/>
      <c r="G45" s="11"/>
      <c r="H45" s="11"/>
      <c r="K45" s="98"/>
      <c r="L45" s="11"/>
      <c r="M45" s="86"/>
      <c r="N45" s="95"/>
      <c r="O45" s="11"/>
    </row>
    <row r="46" spans="2:15">
      <c r="K46" s="11"/>
    </row>
  </sheetData>
  <mergeCells count="12">
    <mergeCell ref="L26:O26"/>
    <mergeCell ref="L28:O28"/>
    <mergeCell ref="L29:O29"/>
    <mergeCell ref="L33:O33"/>
    <mergeCell ref="L35:O35"/>
    <mergeCell ref="L36:O36"/>
    <mergeCell ref="L10:O10"/>
    <mergeCell ref="L12:O12"/>
    <mergeCell ref="L13:O13"/>
    <mergeCell ref="L17:O17"/>
    <mergeCell ref="L19:O19"/>
    <mergeCell ref="L20:O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02-17-16</vt:lpstr>
      <vt:lpstr>02-28-16</vt:lpstr>
      <vt:lpstr>02-20-16</vt:lpstr>
      <vt:lpstr>02-21-16</vt:lpstr>
      <vt:lpstr>02-22-16</vt:lpstr>
      <vt:lpstr>02-23-16</vt:lpstr>
      <vt:lpstr>02-24-16</vt:lpstr>
      <vt:lpstr>02-25-16</vt:lpstr>
      <vt:lpstr>02-26-16</vt:lpstr>
      <vt:lpstr>02-29-16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2016-02-17T21:40:36Z</dcterms:created>
  <dcterms:modified xsi:type="dcterms:W3CDTF">2016-03-01T20:23:21Z</dcterms:modified>
</cp:coreProperties>
</file>