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Rhonda\Dropbox\Quilcene Experiments\2016experiments\Oysters\"/>
    </mc:Choice>
  </mc:AlternateContent>
  <bookViews>
    <workbookView xWindow="0" yWindow="0" windowWidth="15600" windowHeight="7755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0" i="5"/>
  <c r="C9" i="5"/>
  <c r="B11" i="5"/>
  <c r="B10" i="5"/>
  <c r="B9" i="5"/>
  <c r="C5" i="5"/>
  <c r="C4" i="5"/>
  <c r="C3" i="5"/>
  <c r="B5" i="5"/>
  <c r="B4" i="5"/>
  <c r="B3" i="5"/>
  <c r="B9" i="4" l="1"/>
  <c r="B8" i="4"/>
  <c r="B7" i="4"/>
  <c r="B6" i="4"/>
  <c r="B5" i="4"/>
  <c r="B4" i="4"/>
  <c r="B3" i="4"/>
  <c r="B2" i="4"/>
  <c r="L175" i="1" l="1"/>
  <c r="L174" i="1"/>
  <c r="M174" i="1" s="1"/>
  <c r="L173" i="1"/>
  <c r="M173" i="1" s="1"/>
  <c r="L172" i="1"/>
  <c r="M172" i="1" s="1"/>
  <c r="L171" i="1"/>
  <c r="M171" i="1" s="1"/>
  <c r="G276" i="1"/>
  <c r="G277" i="1"/>
  <c r="G278" i="1"/>
  <c r="G279" i="1"/>
  <c r="G280" i="1"/>
  <c r="G281" i="1"/>
  <c r="G282" i="1"/>
  <c r="G283" i="1"/>
  <c r="G284" i="1"/>
  <c r="G275" i="1"/>
  <c r="I279" i="1" s="1"/>
  <c r="G262" i="1"/>
  <c r="G263" i="1"/>
  <c r="G264" i="1"/>
  <c r="G265" i="1"/>
  <c r="G266" i="1"/>
  <c r="G267" i="1"/>
  <c r="G268" i="1"/>
  <c r="G269" i="1"/>
  <c r="G270" i="1"/>
  <c r="G261" i="1"/>
  <c r="I265" i="1" s="1"/>
  <c r="G247" i="1"/>
  <c r="G248" i="1"/>
  <c r="G249" i="1"/>
  <c r="G250" i="1"/>
  <c r="G251" i="1"/>
  <c r="G252" i="1"/>
  <c r="G253" i="1"/>
  <c r="G254" i="1"/>
  <c r="G255" i="1"/>
  <c r="G246" i="1"/>
  <c r="I250" i="1" s="1"/>
  <c r="G233" i="1"/>
  <c r="G234" i="1"/>
  <c r="G235" i="1"/>
  <c r="G236" i="1"/>
  <c r="G237" i="1"/>
  <c r="G238" i="1"/>
  <c r="G239" i="1"/>
  <c r="G240" i="1"/>
  <c r="G241" i="1"/>
  <c r="G232" i="1"/>
  <c r="I236" i="1" s="1"/>
  <c r="G217" i="1"/>
  <c r="G218" i="1"/>
  <c r="G219" i="1"/>
  <c r="G220" i="1"/>
  <c r="G221" i="1"/>
  <c r="G222" i="1"/>
  <c r="G223" i="1"/>
  <c r="G224" i="1"/>
  <c r="G225" i="1"/>
  <c r="G216" i="1"/>
  <c r="I220" i="1" s="1"/>
  <c r="G203" i="1"/>
  <c r="G204" i="1"/>
  <c r="G205" i="1"/>
  <c r="G206" i="1"/>
  <c r="G207" i="1"/>
  <c r="G208" i="1"/>
  <c r="G209" i="1"/>
  <c r="G210" i="1"/>
  <c r="G211" i="1"/>
  <c r="G202" i="1"/>
  <c r="I206" i="1" s="1"/>
  <c r="G188" i="1"/>
  <c r="K191" i="1" s="1"/>
  <c r="G189" i="1"/>
  <c r="G190" i="1"/>
  <c r="G191" i="1"/>
  <c r="G192" i="1"/>
  <c r="G193" i="1"/>
  <c r="G194" i="1"/>
  <c r="G195" i="1"/>
  <c r="G196" i="1"/>
  <c r="G187" i="1"/>
  <c r="I191" i="1" s="1"/>
  <c r="G174" i="1"/>
  <c r="G175" i="1"/>
  <c r="G176" i="1"/>
  <c r="G177" i="1"/>
  <c r="G178" i="1"/>
  <c r="G179" i="1"/>
  <c r="G180" i="1"/>
  <c r="G181" i="1"/>
  <c r="G182" i="1"/>
  <c r="G173" i="1"/>
  <c r="K177" i="1" l="1"/>
  <c r="K206" i="1"/>
  <c r="K236" i="1"/>
  <c r="K265" i="1"/>
  <c r="K220" i="1"/>
  <c r="K250" i="1"/>
  <c r="K279" i="1"/>
  <c r="I177" i="1"/>
  <c r="M176" i="1"/>
  <c r="G226" i="1"/>
  <c r="G256" i="1"/>
  <c r="G271" i="1"/>
  <c r="G183" i="1"/>
  <c r="G212" i="1"/>
  <c r="G242" i="1"/>
  <c r="G285" i="1"/>
  <c r="G197" i="1"/>
  <c r="G43" i="1"/>
  <c r="G44" i="1"/>
  <c r="G45" i="1"/>
  <c r="G42" i="1"/>
  <c r="G35" i="1"/>
  <c r="G36" i="1"/>
  <c r="G37" i="1"/>
  <c r="G34" i="1"/>
  <c r="G27" i="1"/>
  <c r="G28" i="1"/>
  <c r="G29" i="1"/>
  <c r="G26" i="1"/>
  <c r="G19" i="1"/>
  <c r="G20" i="1"/>
  <c r="G21" i="1"/>
  <c r="G18" i="1"/>
  <c r="G79" i="1"/>
  <c r="G80" i="1"/>
  <c r="G81" i="1"/>
  <c r="G82" i="1"/>
  <c r="G78" i="1"/>
  <c r="G70" i="1"/>
  <c r="G71" i="1"/>
  <c r="G72" i="1"/>
  <c r="G73" i="1"/>
  <c r="G69" i="1"/>
  <c r="G64" i="1"/>
  <c r="G61" i="1"/>
  <c r="G62" i="1"/>
  <c r="G63" i="1"/>
  <c r="G60" i="1"/>
  <c r="G52" i="1"/>
  <c r="G53" i="1"/>
  <c r="G54" i="1"/>
  <c r="G55" i="1"/>
  <c r="G51" i="1"/>
  <c r="J279" i="1" l="1"/>
  <c r="J93" i="1" s="1"/>
  <c r="H93" i="1"/>
  <c r="I93" i="1" s="1"/>
  <c r="J265" i="1"/>
  <c r="J92" i="1" s="1"/>
  <c r="H92" i="1"/>
  <c r="I92" i="1" s="1"/>
  <c r="H91" i="1"/>
  <c r="I91" i="1" s="1"/>
  <c r="J250" i="1"/>
  <c r="J91" i="1" s="1"/>
  <c r="J236" i="1"/>
  <c r="J90" i="1" s="1"/>
  <c r="H90" i="1"/>
  <c r="I90" i="1" s="1"/>
  <c r="J220" i="1"/>
  <c r="J89" i="1" s="1"/>
  <c r="H89" i="1"/>
  <c r="I89" i="1" s="1"/>
  <c r="J206" i="1"/>
  <c r="J88" i="1" s="1"/>
  <c r="H88" i="1"/>
  <c r="I88" i="1" s="1"/>
  <c r="J191" i="1"/>
  <c r="J87" i="1" s="1"/>
  <c r="H87" i="1"/>
  <c r="I87" i="1" s="1"/>
  <c r="J177" i="1"/>
  <c r="J86" i="1" s="1"/>
  <c r="H86" i="1"/>
  <c r="I86" i="1" s="1"/>
  <c r="G65" i="1"/>
  <c r="E91" i="1" s="1"/>
  <c r="F91" i="1" s="1"/>
  <c r="G56" i="1"/>
  <c r="E90" i="1" s="1"/>
  <c r="F90" i="1" s="1"/>
  <c r="G83" i="1"/>
  <c r="E93" i="1" s="1"/>
  <c r="F93" i="1" s="1"/>
  <c r="G74" i="1"/>
  <c r="E92" i="1" s="1"/>
  <c r="F92" i="1" s="1"/>
  <c r="G46" i="1"/>
  <c r="E89" i="1" s="1"/>
  <c r="F89" i="1" s="1"/>
  <c r="G38" i="1"/>
  <c r="G30" i="1"/>
  <c r="E87" i="1" s="1"/>
  <c r="F87" i="1" s="1"/>
  <c r="G22" i="1"/>
  <c r="E86" i="1" s="1"/>
  <c r="F86" i="1" s="1"/>
  <c r="I38" i="1" l="1"/>
  <c r="G88" i="1" s="1"/>
  <c r="E88" i="1"/>
  <c r="F88" i="1" s="1"/>
  <c r="H65" i="1"/>
  <c r="H256" i="1"/>
  <c r="H22" i="1"/>
  <c r="H183" i="1"/>
  <c r="H74" i="1"/>
  <c r="H271" i="1"/>
  <c r="H46" i="1"/>
  <c r="H226" i="1"/>
  <c r="H30" i="1"/>
  <c r="H197" i="1"/>
  <c r="H83" i="1"/>
  <c r="H285" i="1"/>
  <c r="I83" i="1"/>
  <c r="G93" i="1" s="1"/>
  <c r="H38" i="1"/>
  <c r="H212" i="1"/>
  <c r="H56" i="1"/>
  <c r="H242" i="1"/>
  <c r="I46" i="1"/>
  <c r="G89" i="1" s="1"/>
  <c r="I74" i="1"/>
  <c r="G92" i="1" s="1"/>
  <c r="I22" i="1"/>
  <c r="G86" i="1" s="1"/>
  <c r="I30" i="1"/>
  <c r="G87" i="1" s="1"/>
  <c r="I65" i="1"/>
  <c r="G91" i="1" s="1"/>
  <c r="I56" i="1"/>
  <c r="G90" i="1" s="1"/>
</calcChain>
</file>

<file path=xl/sharedStrings.xml><?xml version="1.0" encoding="utf-8"?>
<sst xmlns="http://schemas.openxmlformats.org/spreadsheetml/2006/main" count="365" uniqueCount="102">
  <si>
    <t>Age</t>
  </si>
  <si>
    <t>Date</t>
  </si>
  <si>
    <t>Notes</t>
  </si>
  <si>
    <t>Larvae were harvested 7/7/16 and put in fridge overnight. They are triploid oysters that were spawned on 6/21/16 part of the PT22 group.</t>
  </si>
  <si>
    <t>We will also be collecting samples for microbiome studies, morphology, and histology (looking for the presence of ciliates).</t>
  </si>
  <si>
    <t>We will have 4 true replicates per temperature (Conicals 1-4 are 23C and 7-10 are 29C).</t>
  </si>
  <si>
    <t>Please see written protocol for detailed information regarding sampling.</t>
  </si>
  <si>
    <t>We are putting 20.0 grams of setters into each of the conicals for a total of 8M larvae used.</t>
  </si>
  <si>
    <t>This experiment is designed to assess any differences in protein expression between oyster seed grown at 29C and 23C.</t>
  </si>
  <si>
    <t>Screened seed</t>
  </si>
  <si>
    <t>Conical 1</t>
  </si>
  <si>
    <t>Lower screen size</t>
  </si>
  <si>
    <t>Upper screen size</t>
  </si>
  <si>
    <t>Volume</t>
  </si>
  <si>
    <t>Conversion</t>
  </si>
  <si>
    <t># of seed</t>
  </si>
  <si>
    <t>Total</t>
  </si>
  <si>
    <t>Conical 2</t>
  </si>
  <si>
    <t>Conical 3</t>
  </si>
  <si>
    <t>Conical 4</t>
  </si>
  <si>
    <t>Conical 7</t>
  </si>
  <si>
    <t>Conical 8</t>
  </si>
  <si>
    <t>Conical 9</t>
  </si>
  <si>
    <t>Conical 10</t>
  </si>
  <si>
    <t>some mortality in 315s and 450s</t>
  </si>
  <si>
    <t>% setting</t>
  </si>
  <si>
    <t>weighted avg screen size</t>
  </si>
  <si>
    <t>Standpipe fell on Conical 8 so this conical was out of water for probably all night.</t>
  </si>
  <si>
    <t>29C</t>
  </si>
  <si>
    <t>23C</t>
  </si>
  <si>
    <t>last screening</t>
  </si>
  <si>
    <t>Pump 1/2 not primed in the morning</t>
  </si>
  <si>
    <t>Lower flow to conicals 1-4 in the morning (0.6gpm)</t>
  </si>
  <si>
    <t>Densities</t>
  </si>
  <si>
    <t>1/2in</t>
  </si>
  <si>
    <t>1 out</t>
  </si>
  <si>
    <t>2 out</t>
  </si>
  <si>
    <t>3/4in</t>
  </si>
  <si>
    <t>3 out</t>
  </si>
  <si>
    <t>4 out</t>
  </si>
  <si>
    <t>7/8in</t>
  </si>
  <si>
    <t>7 out</t>
  </si>
  <si>
    <t>8 out</t>
  </si>
  <si>
    <t>9/10 in</t>
  </si>
  <si>
    <t>9 out</t>
  </si>
  <si>
    <t>10 out</t>
  </si>
  <si>
    <t>silos shaken 1 hr prior (value may be higher due to more suspended food particles)</t>
  </si>
  <si>
    <t>Densities- food pumps set at 300bpm</t>
  </si>
  <si>
    <t>Chlorinated system</t>
  </si>
  <si>
    <t>Densities at 8AM- food pumps set at 300bpm</t>
  </si>
  <si>
    <t>Densities at 7:30 AM- food pumps set at 300bpm</t>
  </si>
  <si>
    <t>Increased pumps 7/8 and 9/10 to 500 bpm</t>
  </si>
  <si>
    <t>At 4PM, the temperature control for the 29C tote fialed and gradually became ambient (16-18C) over the course of the night and we decided to keep it at ambient for the rest of experiment.</t>
  </si>
  <si>
    <t>Summary for Andrew</t>
  </si>
  <si>
    <t>Size</t>
  </si>
  <si>
    <t>Changed all silos to Andrews big silos (315 micron screen size) and 23inches in diameter to give them more surface area</t>
  </si>
  <si>
    <t>We wil be sampling on Days 1,3,5,7,9,11,13,15,17</t>
  </si>
  <si>
    <t>Densities at 7 AM- food pumps set at 300bpm</t>
  </si>
  <si>
    <t>Final screening</t>
  </si>
  <si>
    <t>THESIS</t>
  </si>
  <si>
    <t>Site</t>
  </si>
  <si>
    <t>Timestamp</t>
  </si>
  <si>
    <t>Barometer (kPA)</t>
  </si>
  <si>
    <t>Conductivity (uS/cm)</t>
  </si>
  <si>
    <t>Dissolved Oxygen (%)</t>
  </si>
  <si>
    <t>Dissolved Oxygen (mg/L)</t>
  </si>
  <si>
    <t>ORP_1 (mV)</t>
  </si>
  <si>
    <t>pH_1 (Units)</t>
  </si>
  <si>
    <t>Salinity (ppt)</t>
  </si>
  <si>
    <t>Temperature (C)</t>
  </si>
  <si>
    <t>Day</t>
  </si>
  <si>
    <t>Silo #</t>
  </si>
  <si>
    <t>Treatment</t>
  </si>
  <si>
    <t>Competent Larvae</t>
  </si>
  <si>
    <t>N/A</t>
  </si>
  <si>
    <t>Conical</t>
  </si>
  <si>
    <t>% survival to set</t>
  </si>
  <si>
    <t># of seed @ Day 6</t>
  </si>
  <si>
    <t>weighted mean screen size (um) @ Day 6</t>
  </si>
  <si>
    <t>% survival to Day 18</t>
  </si>
  <si>
    <t># of seed @ Day 18</t>
  </si>
  <si>
    <t>weighted mean screen size (um) @ Day 18</t>
  </si>
  <si>
    <t>Temperature_C</t>
  </si>
  <si>
    <t>*standpipe fell overnight on Day 3 (oysters not submerged for up to 14 hours).</t>
  </si>
  <si>
    <t>Sample #</t>
  </si>
  <si>
    <t>Silo</t>
  </si>
  <si>
    <t>Survival</t>
  </si>
  <si>
    <t>Mean weighted screen size</t>
  </si>
  <si>
    <t>1-23C</t>
  </si>
  <si>
    <t>2-23C</t>
  </si>
  <si>
    <t>3-23C</t>
  </si>
  <si>
    <t>4-23C</t>
  </si>
  <si>
    <t>7-29C</t>
  </si>
  <si>
    <t>8-29C</t>
  </si>
  <si>
    <t>9-29C</t>
  </si>
  <si>
    <t>10-29C</t>
  </si>
  <si>
    <t>silo</t>
  </si>
  <si>
    <t>day 5</t>
  </si>
  <si>
    <t>day 17</t>
  </si>
  <si>
    <t>Silo 2-23C</t>
  </si>
  <si>
    <t>Silo 3-23C</t>
  </si>
  <si>
    <t>Silo 9-29C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</si>
</sst>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22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and Survival of oysters reared at 23C vs 29C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Mean weighted screen size of all oysters at Day 17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Sheet4!$A$2:$A$9</c:f>
              <c:strCache>
                <c:ptCount val="8"/>
                <c:pt idx="0">
                  <c:v>1-23C</c:v>
                </c:pt>
                <c:pt idx="1">
                  <c:v>2-23C</c:v>
                </c:pt>
                <c:pt idx="2">
                  <c:v>3-23C</c:v>
                </c:pt>
                <c:pt idx="3">
                  <c:v>4-23C</c:v>
                </c:pt>
                <c:pt idx="4">
                  <c:v>7-29C</c:v>
                </c:pt>
                <c:pt idx="5">
                  <c:v>8-29C</c:v>
                </c:pt>
                <c:pt idx="6">
                  <c:v>9-29C</c:v>
                </c:pt>
                <c:pt idx="7">
                  <c:v>10-29C</c:v>
                </c:pt>
              </c:strCache>
            </c:strRef>
          </c:cat>
          <c:val>
            <c:numRef>
              <c:f>Sheet4!$B$10:$B$17</c:f>
              <c:numCache>
                <c:formatCode>#,##0</c:formatCode>
                <c:ptCount val="8"/>
                <c:pt idx="0">
                  <c:v>1412.2421193036455</c:v>
                </c:pt>
                <c:pt idx="1">
                  <c:v>838.17790996767997</c:v>
                </c:pt>
                <c:pt idx="2">
                  <c:v>1161.7054742955474</c:v>
                </c:pt>
                <c:pt idx="3">
                  <c:v>1113.1316123687814</c:v>
                </c:pt>
                <c:pt idx="4">
                  <c:v>1228.4104898466444</c:v>
                </c:pt>
                <c:pt idx="5">
                  <c:v>1416.7240806952811</c:v>
                </c:pt>
                <c:pt idx="6">
                  <c:v>1217.485725809501</c:v>
                </c:pt>
                <c:pt idx="7">
                  <c:v>1278.119921280809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1-4DF3-8174-D8F19B6F94BA}"/>
            </c:ext>
          </c:extLst>
        </c:ser>
        <c:ser>
          <c:idx val="0"/>
          <c:order val="2"/>
          <c:tx>
            <c:v>Mean weighted screen size of live oysters at Day 17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Sheet4!$C$10:$C$17</c:f>
              <c:numCache>
                <c:formatCode>0</c:formatCode>
                <c:ptCount val="8"/>
                <c:pt idx="0">
                  <c:v>2110.0801670708702</c:v>
                </c:pt>
                <c:pt idx="1">
                  <c:v>2378.5302593659944</c:v>
                </c:pt>
                <c:pt idx="2">
                  <c:v>2008.4520318391287</c:v>
                </c:pt>
                <c:pt idx="3">
                  <c:v>2201.2170803823146</c:v>
                </c:pt>
                <c:pt idx="4">
                  <c:v>2212.0266833037385</c:v>
                </c:pt>
                <c:pt idx="5">
                  <c:v>2306.6618201044212</c:v>
                </c:pt>
                <c:pt idx="6">
                  <c:v>2203.1698589770576</c:v>
                </c:pt>
                <c:pt idx="7">
                  <c:v>2230.4064507055459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1-4DF3-8174-D8F19B6F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33905912"/>
        <c:axId val="133907088"/>
      </c:barChart>
      <c:barChart>
        <c:barDir val="col"/>
        <c:grouping val="clustered"/>
        <c:varyColors val="0"/>
        <c:ser>
          <c:idx val="1"/>
          <c:order val="0"/>
          <c:tx>
            <c:v>% live oysters at Day 17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Sheet4!$B$2:$B$9</c:f>
              <c:numCache>
                <c:formatCode>#,##0</c:formatCode>
                <c:ptCount val="8"/>
                <c:pt idx="0">
                  <c:v>14.843999999999999</c:v>
                </c:pt>
                <c:pt idx="1">
                  <c:v>2.4289999999999998</c:v>
                </c:pt>
                <c:pt idx="2">
                  <c:v>9.548</c:v>
                </c:pt>
                <c:pt idx="3">
                  <c:v>7.2715000000000005</c:v>
                </c:pt>
                <c:pt idx="4">
                  <c:v>10.4185</c:v>
                </c:pt>
                <c:pt idx="5">
                  <c:v>7.5655000000000001</c:v>
                </c:pt>
                <c:pt idx="6">
                  <c:v>9.5019999999999989</c:v>
                </c:pt>
                <c:pt idx="7">
                  <c:v>10.6655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1-4DF3-8174-D8F19B6F94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3666680"/>
        <c:axId val="133907480"/>
      </c:barChart>
      <c:catAx>
        <c:axId val="13390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088"/>
        <c:crosses val="autoZero"/>
        <c:auto val="1"/>
        <c:lblAlgn val="ctr"/>
        <c:lblOffset val="100"/>
        <c:noMultiLvlLbl val="0"/>
      </c:catAx>
      <c:valAx>
        <c:axId val="13390708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weighted screen size (microns)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5912"/>
        <c:crosses val="autoZero"/>
        <c:crossBetween val="between"/>
      </c:valAx>
      <c:valAx>
        <c:axId val="13390748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live oysters at </a:t>
                </a:r>
                <a:r>
                  <a:rPr lang="en-US"/>
                  <a:t>Day 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6680"/>
        <c:crosses val="max"/>
        <c:crossBetween val="between"/>
      </c:valAx>
      <c:catAx>
        <c:axId val="143666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907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Sheet5!$B$8:$C$8</c:f>
              <c:strCache>
                <c:ptCount val="2"/>
                <c:pt idx="0">
                  <c:v>day 5</c:v>
                </c:pt>
                <c:pt idx="1">
                  <c:v>day 17</c:v>
                </c:pt>
              </c:strCache>
            </c:strRef>
          </c:cat>
          <c:val>
            <c:numRef>
              <c:f>Sheet5!$B$9:$C$9</c:f>
              <c:numCache>
                <c:formatCode>General</c:formatCode>
                <c:ptCount val="2"/>
                <c:pt idx="0">
                  <c:v>71.197850000000003</c:v>
                </c:pt>
                <c:pt idx="1">
                  <c:v>96.240489999999994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2-443E-91C5-15A120C3C8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Sheet5!$B$8:$C$8</c:f>
              <c:strCache>
                <c:ptCount val="2"/>
                <c:pt idx="0">
                  <c:v>day 5</c:v>
                </c:pt>
                <c:pt idx="1">
                  <c:v>day 17</c:v>
                </c:pt>
              </c:strCache>
            </c:strRef>
          </c:cat>
          <c:val>
            <c:numRef>
              <c:f>Sheet5!$B$10:$C$10</c:f>
              <c:numCache>
                <c:formatCode>General</c:formatCode>
                <c:ptCount val="2"/>
                <c:pt idx="0">
                  <c:v>70.278750000000002</c:v>
                </c:pt>
                <c:pt idx="1">
                  <c:v>92.019433333333325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2-443E-91C5-15A120C3C8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Sheet5!$B$8:$C$8</c:f>
              <c:strCache>
                <c:ptCount val="2"/>
                <c:pt idx="0">
                  <c:v>day 5</c:v>
                </c:pt>
                <c:pt idx="1">
                  <c:v>day 17</c:v>
                </c:pt>
              </c:strCache>
            </c:strRef>
          </c:cat>
          <c:val>
            <c:numRef>
              <c:f>Sheet5!$B$11:$C$11</c:f>
              <c:numCache>
                <c:formatCode>General</c:formatCode>
                <c:ptCount val="2"/>
                <c:pt idx="0">
                  <c:v>69.101150000000004</c:v>
                </c:pt>
                <c:pt idx="1">
                  <c:v>76.099410666666699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2-443E-91C5-15A120C3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53320"/>
        <c:axId val="140254104"/>
      </c:lineChart>
      <c:catAx>
        <c:axId val="14025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4104"/>
        <c:crosses val="autoZero"/>
        <c:auto val="1"/>
        <c:lblAlgn val="ctr"/>
        <c:lblOffset val="100"/>
        <c:noMultiLvlLbl val="0"/>
      </c:catAx>
      <c:valAx>
        <c:axId val="1402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Survival and Mean</a:t>
            </a:r>
            <a:r>
              <a:rPr lang="en-US" baseline="0"/>
              <a:t> weighted Size of Oyster Seed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Settlement rate by Day 6 (%)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Sheet5!$A$3:$A$5</c:f>
              <c:strCache>
                <c:ptCount val="3"/>
                <c:pt idx="0">
                  <c:v>Silo 2-23C</c:v>
                </c:pt>
                <c:pt idx="1">
                  <c:v>Silo 3-23C</c:v>
                </c:pt>
                <c:pt idx="2">
                  <c:v>Silo 9-29C</c:v>
                </c:pt>
              </c:strCache>
            </c:strRef>
          </c:cat>
          <c:val>
            <c:numRef>
              <c:f>Sheet5!$B$3:$B$5</c:f>
              <c:numCache>
                <c:formatCode>#,##0</c:formatCode>
                <c:ptCount val="3"/>
                <c:pt idx="0">
                  <c:v>28.802149999999997</c:v>
                </c:pt>
                <c:pt idx="1">
                  <c:v>29.721249999999998</c:v>
                </c:pt>
                <c:pt idx="2">
                  <c:v>30.898849999999999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4B7C-9B49-3B0665ECDA88}"/>
            </c:ext>
          </c:extLst>
        </c:ser>
        <c:ser>
          <c:idx val="1"/>
          <c:order val="1"/>
          <c:tx>
            <c:v>Survival from eyed larvae to Day 17 (%)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Sheet5!$A$3:$A$5</c:f>
              <c:strCache>
                <c:ptCount val="3"/>
                <c:pt idx="0">
                  <c:v>Silo 2-23C</c:v>
                </c:pt>
                <c:pt idx="1">
                  <c:v>Silo 3-23C</c:v>
                </c:pt>
                <c:pt idx="2">
                  <c:v>Silo 9-29C</c:v>
                </c:pt>
              </c:strCache>
            </c:strRef>
          </c:cat>
          <c:val>
            <c:numRef>
              <c:f>Sheet5!$C$3:$C$5</c:f>
              <c:numCache>
                <c:formatCode>#,##0</c:formatCode>
                <c:ptCount val="3"/>
                <c:pt idx="0">
                  <c:v>3.7595100000000001</c:v>
                </c:pt>
                <c:pt idx="1">
                  <c:v>7.9805666666666708</c:v>
                </c:pt>
                <c:pt idx="2">
                  <c:v>23.900589333333301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0-4B7C-9B49-3B0665EC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099880"/>
        <c:axId val="455779488"/>
      </c:barChart>
      <c:lineChart>
        <c:grouping val="standard"/>
        <c:varyColors val="0"/>
        <c:ser>
          <c:idx val="2"/>
          <c:order val="2"/>
          <c:tx>
            <c:v>Mean weighted length of live oyster seed (mm) at Day 17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Sheet5!$A$3:$A$5</c:f>
              <c:strCache>
                <c:ptCount val="3"/>
                <c:pt idx="0">
                  <c:v>Silo 2-23C</c:v>
                </c:pt>
                <c:pt idx="1">
                  <c:v>Silo 3-23C</c:v>
                </c:pt>
                <c:pt idx="2">
                  <c:v>Silo 9-29C</c:v>
                </c:pt>
              </c:strCache>
            </c:strRef>
          </c:cat>
          <c:val>
            <c:numRef>
              <c:f>Sheet5!$D$3:$D$5</c:f>
              <c:numCache>
                <c:formatCode>General</c:formatCode>
                <c:ptCount val="3"/>
                <c:pt idx="0">
                  <c:v>3.51</c:v>
                </c:pt>
                <c:pt idx="1">
                  <c:v>2.59</c:v>
                </c:pt>
                <c:pt idx="2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0-4B7C-9B49-3B0665EC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46128"/>
        <c:axId val="402645800"/>
      </c:lineChart>
      <c:catAx>
        <c:axId val="46309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79488"/>
        <c:crosses val="autoZero"/>
        <c:auto val="1"/>
        <c:lblAlgn val="ctr"/>
        <c:lblOffset val="100"/>
        <c:noMultiLvlLbl val="0"/>
      </c:catAx>
      <c:valAx>
        <c:axId val="455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Survival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9880"/>
        <c:crosses val="autoZero"/>
        <c:crossBetween val="between"/>
      </c:valAx>
      <c:valAx>
        <c:axId val="402645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seed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6128"/>
        <c:crosses val="max"/>
        <c:crossBetween val="between"/>
      </c:valAx>
      <c:catAx>
        <c:axId val="4026461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026458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0</xdr:rowOff>
    </xdr:from>
    <xdr:to>
      <xdr:col>15</xdr:col>
      <xdr:colOff>57149</xdr:colOff>
      <xdr:row>20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61911</xdr:rowOff>
    </xdr:from>
    <xdr:to>
      <xdr:col>15</xdr:col>
      <xdr:colOff>581024</xdr:colOff>
      <xdr:row>19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2</xdr:row>
      <xdr:rowOff>147636</xdr:rowOff>
    </xdr:from>
    <xdr:to>
      <xdr:col>18</xdr:col>
      <xdr:colOff>514351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topLeftCell="A123" workbookViewId="0">
      <selection activeCell="J39" sqref="J39"/>
    </sheetView>
  </sheetViews>
  <sheetFormatPr defaultRowHeight="15" x14ac:dyDescent="0.25"/>
  <cols>
    <col min="2" max="2" width="9.7109375" bestFit="1" customWidth="1"/>
    <col min="3" max="3" width="14.28515625" customWidth="1"/>
    <col min="4" max="4" width="13.28515625" customWidth="1"/>
    <col min="5" max="5" width="15.7109375" customWidth="1"/>
    <col min="6" max="6" width="13.7109375" customWidth="1"/>
    <col min="7" max="7" width="18.5703125" customWidth="1"/>
    <col min="8" max="8" width="16.85546875" customWidth="1"/>
    <col min="10" max="10" width="18.42578125" customWidth="1"/>
    <col min="11" max="11" width="12.8554687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 s="1">
        <v>42559</v>
      </c>
      <c r="C2" t="s">
        <v>8</v>
      </c>
    </row>
    <row r="3" spans="1:9" x14ac:dyDescent="0.25">
      <c r="C3" t="s">
        <v>4</v>
      </c>
    </row>
    <row r="4" spans="1:9" x14ac:dyDescent="0.25">
      <c r="C4" t="s">
        <v>5</v>
      </c>
    </row>
    <row r="5" spans="1:9" x14ac:dyDescent="0.25">
      <c r="C5" t="s">
        <v>3</v>
      </c>
    </row>
    <row r="6" spans="1:9" x14ac:dyDescent="0.25">
      <c r="C6" t="s">
        <v>6</v>
      </c>
    </row>
    <row r="7" spans="1:9" x14ac:dyDescent="0.25">
      <c r="C7" t="s">
        <v>56</v>
      </c>
    </row>
    <row r="8" spans="1:9" x14ac:dyDescent="0.25">
      <c r="C8" t="s">
        <v>7</v>
      </c>
    </row>
    <row r="10" spans="1:9" x14ac:dyDescent="0.25">
      <c r="A10">
        <v>3</v>
      </c>
      <c r="B10" s="1">
        <v>42561</v>
      </c>
      <c r="C10" t="s">
        <v>27</v>
      </c>
    </row>
    <row r="11" spans="1:9" x14ac:dyDescent="0.25">
      <c r="B11" s="1"/>
      <c r="C11" t="s">
        <v>31</v>
      </c>
    </row>
    <row r="12" spans="1:9" x14ac:dyDescent="0.25">
      <c r="B12" s="1"/>
      <c r="C12" t="s">
        <v>32</v>
      </c>
    </row>
    <row r="14" spans="1:9" x14ac:dyDescent="0.25">
      <c r="A14">
        <v>6</v>
      </c>
      <c r="B14" s="1">
        <v>42564</v>
      </c>
      <c r="C14" t="s">
        <v>9</v>
      </c>
    </row>
    <row r="15" spans="1:9" ht="18.75" x14ac:dyDescent="0.3">
      <c r="C15" s="2" t="s">
        <v>29</v>
      </c>
    </row>
    <row r="16" spans="1:9" x14ac:dyDescent="0.25">
      <c r="C16" t="s">
        <v>10</v>
      </c>
      <c r="H16" t="s">
        <v>25</v>
      </c>
      <c r="I16" t="s">
        <v>26</v>
      </c>
    </row>
    <row r="17" spans="3:9" x14ac:dyDescent="0.25">
      <c r="C17" t="s">
        <v>11</v>
      </c>
      <c r="D17" t="s">
        <v>12</v>
      </c>
      <c r="E17" t="s">
        <v>13</v>
      </c>
      <c r="F17" t="s">
        <v>14</v>
      </c>
      <c r="G17" t="s">
        <v>15</v>
      </c>
    </row>
    <row r="18" spans="3:9" x14ac:dyDescent="0.25">
      <c r="C18">
        <v>1000</v>
      </c>
      <c r="D18">
        <v>1320</v>
      </c>
      <c r="E18">
        <v>4.5</v>
      </c>
      <c r="F18">
        <v>846</v>
      </c>
      <c r="G18">
        <f>E18*F18</f>
        <v>3807</v>
      </c>
    </row>
    <row r="19" spans="3:9" x14ac:dyDescent="0.25">
      <c r="C19">
        <v>710</v>
      </c>
      <c r="D19">
        <v>1000</v>
      </c>
      <c r="E19">
        <v>46</v>
      </c>
      <c r="F19">
        <v>2000</v>
      </c>
      <c r="G19">
        <f t="shared" ref="G19:G21" si="0">E19*F19</f>
        <v>92000</v>
      </c>
    </row>
    <row r="20" spans="3:9" x14ac:dyDescent="0.25">
      <c r="C20">
        <v>450</v>
      </c>
      <c r="D20">
        <v>710</v>
      </c>
      <c r="E20">
        <v>49</v>
      </c>
      <c r="F20">
        <v>3577</v>
      </c>
      <c r="G20">
        <f t="shared" si="0"/>
        <v>175273</v>
      </c>
    </row>
    <row r="21" spans="3:9" x14ac:dyDescent="0.25">
      <c r="C21">
        <v>315</v>
      </c>
      <c r="D21">
        <v>450</v>
      </c>
      <c r="E21">
        <v>5.5</v>
      </c>
      <c r="F21">
        <v>5423</v>
      </c>
      <c r="G21">
        <f t="shared" si="0"/>
        <v>29826.5</v>
      </c>
    </row>
    <row r="22" spans="3:9" x14ac:dyDescent="0.25">
      <c r="C22" t="s">
        <v>16</v>
      </c>
      <c r="G22">
        <f>SUM(G18:G21)</f>
        <v>300906.5</v>
      </c>
      <c r="H22">
        <f>G22/1000000*100</f>
        <v>30.090650000000004</v>
      </c>
      <c r="I22">
        <f>(C21*G21+C20*G20+C19*G19+C18*G18)/G22</f>
        <v>523.07011480310325</v>
      </c>
    </row>
    <row r="24" spans="3:9" x14ac:dyDescent="0.25">
      <c r="C24" t="s">
        <v>17</v>
      </c>
    </row>
    <row r="25" spans="3:9" x14ac:dyDescent="0.25">
      <c r="C25" t="s">
        <v>11</v>
      </c>
      <c r="D25" t="s">
        <v>12</v>
      </c>
      <c r="E25" t="s">
        <v>13</v>
      </c>
      <c r="F25" t="s">
        <v>14</v>
      </c>
      <c r="G25" t="s">
        <v>15</v>
      </c>
    </row>
    <row r="26" spans="3:9" x14ac:dyDescent="0.25">
      <c r="C26">
        <v>1000</v>
      </c>
      <c r="D26">
        <v>1320</v>
      </c>
      <c r="E26">
        <v>5</v>
      </c>
      <c r="F26">
        <v>846</v>
      </c>
      <c r="G26">
        <f>E26*F26</f>
        <v>4230</v>
      </c>
    </row>
    <row r="27" spans="3:9" x14ac:dyDescent="0.25">
      <c r="C27">
        <v>710</v>
      </c>
      <c r="D27">
        <v>1000</v>
      </c>
      <c r="E27">
        <v>42</v>
      </c>
      <c r="F27">
        <v>2000</v>
      </c>
      <c r="G27">
        <f t="shared" ref="G27:G29" si="1">E27*F27</f>
        <v>84000</v>
      </c>
    </row>
    <row r="28" spans="3:9" x14ac:dyDescent="0.25">
      <c r="C28">
        <v>450</v>
      </c>
      <c r="D28">
        <v>710</v>
      </c>
      <c r="E28">
        <v>46</v>
      </c>
      <c r="F28">
        <v>3577</v>
      </c>
      <c r="G28">
        <f t="shared" si="1"/>
        <v>164542</v>
      </c>
    </row>
    <row r="29" spans="3:9" x14ac:dyDescent="0.25">
      <c r="C29">
        <v>315</v>
      </c>
      <c r="D29">
        <v>450</v>
      </c>
      <c r="E29">
        <v>6.5</v>
      </c>
      <c r="F29">
        <v>5423</v>
      </c>
      <c r="G29">
        <f t="shared" si="1"/>
        <v>35249.5</v>
      </c>
    </row>
    <row r="30" spans="3:9" x14ac:dyDescent="0.25">
      <c r="C30" t="s">
        <v>16</v>
      </c>
      <c r="G30">
        <f>SUM(G26:G29)</f>
        <v>288021.5</v>
      </c>
      <c r="H30">
        <f>G30/1000000*100</f>
        <v>28.802149999999997</v>
      </c>
      <c r="I30">
        <f>(C29*G29+C28*G28+C27*G27+C26*G26)/G30</f>
        <v>517.38322486342167</v>
      </c>
    </row>
    <row r="32" spans="3:9" x14ac:dyDescent="0.25">
      <c r="C32" t="s">
        <v>18</v>
      </c>
    </row>
    <row r="33" spans="3:9" x14ac:dyDescent="0.25">
      <c r="C33" t="s">
        <v>11</v>
      </c>
      <c r="D33" t="s">
        <v>12</v>
      </c>
      <c r="E33" t="s">
        <v>13</v>
      </c>
      <c r="F33" t="s">
        <v>14</v>
      </c>
      <c r="G33" t="s">
        <v>15</v>
      </c>
    </row>
    <row r="34" spans="3:9" x14ac:dyDescent="0.25">
      <c r="C34">
        <v>1000</v>
      </c>
      <c r="D34">
        <v>1320</v>
      </c>
      <c r="E34">
        <v>10.5</v>
      </c>
      <c r="F34">
        <v>846</v>
      </c>
      <c r="G34">
        <f>E34*F34</f>
        <v>8883</v>
      </c>
    </row>
    <row r="35" spans="3:9" x14ac:dyDescent="0.25">
      <c r="C35">
        <v>710</v>
      </c>
      <c r="D35">
        <v>1000</v>
      </c>
      <c r="E35">
        <v>55</v>
      </c>
      <c r="F35">
        <v>2000</v>
      </c>
      <c r="G35">
        <f t="shared" ref="G35:G37" si="2">E35*F35</f>
        <v>110000</v>
      </c>
    </row>
    <row r="36" spans="3:9" x14ac:dyDescent="0.25">
      <c r="C36">
        <v>450</v>
      </c>
      <c r="D36">
        <v>710</v>
      </c>
      <c r="E36">
        <v>40</v>
      </c>
      <c r="F36">
        <v>3577</v>
      </c>
      <c r="G36">
        <f t="shared" si="2"/>
        <v>143080</v>
      </c>
    </row>
    <row r="37" spans="3:9" x14ac:dyDescent="0.25">
      <c r="C37">
        <v>315</v>
      </c>
      <c r="D37">
        <v>450</v>
      </c>
      <c r="E37">
        <v>6.5</v>
      </c>
      <c r="F37">
        <v>5423</v>
      </c>
      <c r="G37">
        <f t="shared" si="2"/>
        <v>35249.5</v>
      </c>
    </row>
    <row r="38" spans="3:9" x14ac:dyDescent="0.25">
      <c r="C38" t="s">
        <v>16</v>
      </c>
      <c r="G38">
        <f>SUM(G34:G37)</f>
        <v>297212.5</v>
      </c>
      <c r="H38">
        <f>G38/1000000*100</f>
        <v>29.721249999999998</v>
      </c>
      <c r="I38">
        <f>(C37*G37+C36*G36+C35*G35+C34*G34)/G38</f>
        <v>546.65464103966019</v>
      </c>
    </row>
    <row r="40" spans="3:9" x14ac:dyDescent="0.25">
      <c r="C40" t="s">
        <v>19</v>
      </c>
    </row>
    <row r="41" spans="3:9" x14ac:dyDescent="0.25">
      <c r="C41" t="s">
        <v>11</v>
      </c>
      <c r="D41" t="s">
        <v>12</v>
      </c>
      <c r="E41" t="s">
        <v>13</v>
      </c>
      <c r="F41" t="s">
        <v>14</v>
      </c>
      <c r="G41" t="s">
        <v>15</v>
      </c>
    </row>
    <row r="42" spans="3:9" x14ac:dyDescent="0.25">
      <c r="C42">
        <v>1000</v>
      </c>
      <c r="D42">
        <v>1320</v>
      </c>
      <c r="E42">
        <v>8</v>
      </c>
      <c r="F42">
        <v>846</v>
      </c>
      <c r="G42">
        <f>E42*F42</f>
        <v>6768</v>
      </c>
    </row>
    <row r="43" spans="3:9" x14ac:dyDescent="0.25">
      <c r="C43">
        <v>710</v>
      </c>
      <c r="D43">
        <v>1000</v>
      </c>
      <c r="E43">
        <v>52</v>
      </c>
      <c r="F43">
        <v>2000</v>
      </c>
      <c r="G43">
        <f t="shared" ref="G43:G45" si="3">E43*F43</f>
        <v>104000</v>
      </c>
    </row>
    <row r="44" spans="3:9" x14ac:dyDescent="0.25">
      <c r="C44">
        <v>450</v>
      </c>
      <c r="D44">
        <v>710</v>
      </c>
      <c r="E44">
        <v>42</v>
      </c>
      <c r="F44">
        <v>3577</v>
      </c>
      <c r="G44">
        <f t="shared" si="3"/>
        <v>150234</v>
      </c>
    </row>
    <row r="45" spans="3:9" x14ac:dyDescent="0.25">
      <c r="C45">
        <v>315</v>
      </c>
      <c r="D45">
        <v>450</v>
      </c>
      <c r="E45">
        <v>5.5</v>
      </c>
      <c r="F45">
        <v>5423</v>
      </c>
      <c r="G45">
        <f t="shared" si="3"/>
        <v>29826.5</v>
      </c>
    </row>
    <row r="46" spans="3:9" x14ac:dyDescent="0.25">
      <c r="C46" t="s">
        <v>16</v>
      </c>
      <c r="G46">
        <f>SUM(G42:G45)</f>
        <v>290828.5</v>
      </c>
      <c r="H46">
        <f>G46/1000000*100</f>
        <v>29.082850000000001</v>
      </c>
      <c r="I46">
        <f>(C45*G45+C44*G44+C43*G43+C42*G42)/G46</f>
        <v>541.92985728702649</v>
      </c>
    </row>
    <row r="48" spans="3:9" ht="18.75" x14ac:dyDescent="0.3">
      <c r="C48" s="2" t="s">
        <v>28</v>
      </c>
    </row>
    <row r="49" spans="3:9" x14ac:dyDescent="0.25">
      <c r="C49" t="s">
        <v>20</v>
      </c>
    </row>
    <row r="50" spans="3:9" x14ac:dyDescent="0.25">
      <c r="C50" t="s">
        <v>11</v>
      </c>
      <c r="D50" t="s">
        <v>12</v>
      </c>
      <c r="E50" t="s">
        <v>13</v>
      </c>
      <c r="F50" t="s">
        <v>14</v>
      </c>
      <c r="G50" t="s">
        <v>15</v>
      </c>
    </row>
    <row r="51" spans="3:9" x14ac:dyDescent="0.25">
      <c r="C51">
        <v>1320</v>
      </c>
      <c r="D51">
        <v>1800</v>
      </c>
      <c r="E51">
        <v>7.5</v>
      </c>
      <c r="F51">
        <v>328</v>
      </c>
      <c r="G51">
        <f>E51*F51</f>
        <v>2460</v>
      </c>
    </row>
    <row r="52" spans="3:9" x14ac:dyDescent="0.25">
      <c r="C52">
        <v>1000</v>
      </c>
      <c r="D52">
        <v>1320</v>
      </c>
      <c r="E52">
        <v>70</v>
      </c>
      <c r="F52">
        <v>846</v>
      </c>
      <c r="G52">
        <f t="shared" ref="G52:G55" si="4">E52*F52</f>
        <v>59220</v>
      </c>
    </row>
    <row r="53" spans="3:9" x14ac:dyDescent="0.25">
      <c r="C53">
        <v>710</v>
      </c>
      <c r="D53">
        <v>1000</v>
      </c>
      <c r="E53">
        <v>66</v>
      </c>
      <c r="F53">
        <v>2000</v>
      </c>
      <c r="G53">
        <f t="shared" si="4"/>
        <v>132000</v>
      </c>
    </row>
    <row r="54" spans="3:9" x14ac:dyDescent="0.25">
      <c r="C54">
        <v>450</v>
      </c>
      <c r="D54">
        <v>710</v>
      </c>
      <c r="E54">
        <v>20</v>
      </c>
      <c r="F54">
        <v>3577</v>
      </c>
      <c r="G54">
        <f t="shared" si="4"/>
        <v>71540</v>
      </c>
    </row>
    <row r="55" spans="3:9" x14ac:dyDescent="0.25">
      <c r="C55">
        <v>315</v>
      </c>
      <c r="D55">
        <v>450</v>
      </c>
      <c r="E55">
        <v>4</v>
      </c>
      <c r="F55">
        <v>5423</v>
      </c>
      <c r="G55">
        <f t="shared" si="4"/>
        <v>21692</v>
      </c>
    </row>
    <row r="56" spans="3:9" x14ac:dyDescent="0.25">
      <c r="C56" t="s">
        <v>16</v>
      </c>
      <c r="G56">
        <f>SUM(G51:G55)</f>
        <v>286912</v>
      </c>
      <c r="H56">
        <f>G56/1000000*100</f>
        <v>28.691199999999998</v>
      </c>
      <c r="I56">
        <f>(C55*G55+C54*G54+C53*G53+C52*G52+C51*G51)/G56</f>
        <v>680.39391869283963</v>
      </c>
    </row>
    <row r="58" spans="3:9" x14ac:dyDescent="0.25">
      <c r="C58" t="s">
        <v>21</v>
      </c>
    </row>
    <row r="59" spans="3:9" x14ac:dyDescent="0.25">
      <c r="C59" t="s">
        <v>11</v>
      </c>
      <c r="D59" t="s">
        <v>12</v>
      </c>
      <c r="E59" t="s">
        <v>13</v>
      </c>
      <c r="F59" t="s">
        <v>14</v>
      </c>
      <c r="G59" t="s">
        <v>15</v>
      </c>
    </row>
    <row r="60" spans="3:9" x14ac:dyDescent="0.25">
      <c r="C60">
        <v>1320</v>
      </c>
      <c r="D60">
        <v>1800</v>
      </c>
      <c r="E60">
        <v>1</v>
      </c>
      <c r="F60">
        <v>328</v>
      </c>
      <c r="G60">
        <f>E60*F60</f>
        <v>328</v>
      </c>
    </row>
    <row r="61" spans="3:9" x14ac:dyDescent="0.25">
      <c r="C61">
        <v>1000</v>
      </c>
      <c r="D61">
        <v>1320</v>
      </c>
      <c r="E61">
        <v>20</v>
      </c>
      <c r="F61">
        <v>846</v>
      </c>
      <c r="G61">
        <f t="shared" ref="G61:G63" si="5">E61*F61</f>
        <v>16920</v>
      </c>
    </row>
    <row r="62" spans="3:9" x14ac:dyDescent="0.25">
      <c r="C62">
        <v>710</v>
      </c>
      <c r="D62">
        <v>1000</v>
      </c>
      <c r="E62">
        <v>39</v>
      </c>
      <c r="F62">
        <v>2000</v>
      </c>
      <c r="G62">
        <f t="shared" si="5"/>
        <v>78000</v>
      </c>
    </row>
    <row r="63" spans="3:9" x14ac:dyDescent="0.25">
      <c r="C63">
        <v>450</v>
      </c>
      <c r="D63">
        <v>710</v>
      </c>
      <c r="E63">
        <v>27</v>
      </c>
      <c r="F63">
        <v>3577</v>
      </c>
      <c r="G63">
        <f t="shared" si="5"/>
        <v>96579</v>
      </c>
    </row>
    <row r="64" spans="3:9" x14ac:dyDescent="0.25">
      <c r="C64">
        <v>315</v>
      </c>
      <c r="D64">
        <v>450</v>
      </c>
      <c r="E64">
        <v>6</v>
      </c>
      <c r="F64">
        <v>5423</v>
      </c>
      <c r="G64">
        <f>E64*F64</f>
        <v>32538</v>
      </c>
      <c r="H64" t="s">
        <v>24</v>
      </c>
    </row>
    <row r="65" spans="3:9" x14ac:dyDescent="0.25">
      <c r="C65" t="s">
        <v>16</v>
      </c>
      <c r="G65">
        <f>SUM(G60:G64)</f>
        <v>224365</v>
      </c>
      <c r="H65">
        <f>G65/1000000*100</f>
        <v>22.436500000000002</v>
      </c>
      <c r="I65">
        <f>(C64*G64+C63*G63+C62*G62+C61*G61+C60*G60)/G65</f>
        <v>563.55928955050922</v>
      </c>
    </row>
    <row r="67" spans="3:9" x14ac:dyDescent="0.25">
      <c r="C67" t="s">
        <v>22</v>
      </c>
    </row>
    <row r="68" spans="3:9" x14ac:dyDescent="0.25">
      <c r="C68" t="s">
        <v>11</v>
      </c>
      <c r="D68" t="s">
        <v>12</v>
      </c>
      <c r="E68" t="s">
        <v>13</v>
      </c>
      <c r="F68" t="s">
        <v>14</v>
      </c>
      <c r="G68" t="s">
        <v>15</v>
      </c>
    </row>
    <row r="69" spans="3:9" x14ac:dyDescent="0.25">
      <c r="C69">
        <v>1320</v>
      </c>
      <c r="D69">
        <v>1800</v>
      </c>
      <c r="E69">
        <v>16</v>
      </c>
      <c r="F69">
        <v>328</v>
      </c>
      <c r="G69">
        <f>E69*F69</f>
        <v>5248</v>
      </c>
    </row>
    <row r="70" spans="3:9" x14ac:dyDescent="0.25">
      <c r="C70">
        <v>1000</v>
      </c>
      <c r="D70">
        <v>1320</v>
      </c>
      <c r="E70">
        <v>70</v>
      </c>
      <c r="F70">
        <v>846</v>
      </c>
      <c r="G70">
        <f t="shared" ref="G70:G73" si="6">E70*F70</f>
        <v>59220</v>
      </c>
    </row>
    <row r="71" spans="3:9" x14ac:dyDescent="0.25">
      <c r="C71">
        <v>710</v>
      </c>
      <c r="D71">
        <v>1000</v>
      </c>
      <c r="E71">
        <v>68</v>
      </c>
      <c r="F71">
        <v>2000</v>
      </c>
      <c r="G71">
        <f t="shared" si="6"/>
        <v>136000</v>
      </c>
    </row>
    <row r="72" spans="3:9" x14ac:dyDescent="0.25">
      <c r="C72">
        <v>450</v>
      </c>
      <c r="D72">
        <v>710</v>
      </c>
      <c r="E72">
        <v>22</v>
      </c>
      <c r="F72">
        <v>3577</v>
      </c>
      <c r="G72">
        <f t="shared" si="6"/>
        <v>78694</v>
      </c>
    </row>
    <row r="73" spans="3:9" x14ac:dyDescent="0.25">
      <c r="C73">
        <v>315</v>
      </c>
      <c r="D73">
        <v>450</v>
      </c>
      <c r="E73">
        <v>5.5</v>
      </c>
      <c r="F73">
        <v>5423</v>
      </c>
      <c r="G73">
        <f t="shared" si="6"/>
        <v>29826.5</v>
      </c>
    </row>
    <row r="74" spans="3:9" x14ac:dyDescent="0.25">
      <c r="C74" t="s">
        <v>16</v>
      </c>
      <c r="G74">
        <f>SUM(G69:G73)</f>
        <v>308988.5</v>
      </c>
      <c r="H74">
        <f>G74/1000000*100</f>
        <v>30.898849999999999</v>
      </c>
      <c r="I74">
        <f>(C73*G73+C72*G72+C71*G71+C70*G70+C69*G69)/G74</f>
        <v>671.59459818083849</v>
      </c>
    </row>
    <row r="76" spans="3:9" x14ac:dyDescent="0.25">
      <c r="C76" t="s">
        <v>23</v>
      </c>
    </row>
    <row r="77" spans="3:9" x14ac:dyDescent="0.25">
      <c r="C77" t="s">
        <v>11</v>
      </c>
      <c r="D77" t="s">
        <v>12</v>
      </c>
      <c r="E77" t="s">
        <v>13</v>
      </c>
      <c r="F77" t="s">
        <v>14</v>
      </c>
      <c r="G77" t="s">
        <v>15</v>
      </c>
    </row>
    <row r="78" spans="3:9" x14ac:dyDescent="0.25">
      <c r="C78">
        <v>1320</v>
      </c>
      <c r="D78">
        <v>1800</v>
      </c>
      <c r="E78">
        <v>16</v>
      </c>
      <c r="F78">
        <v>328</v>
      </c>
      <c r="G78">
        <f>E78*F78</f>
        <v>5248</v>
      </c>
    </row>
    <row r="79" spans="3:9" x14ac:dyDescent="0.25">
      <c r="C79">
        <v>1000</v>
      </c>
      <c r="D79">
        <v>1320</v>
      </c>
      <c r="E79">
        <v>76</v>
      </c>
      <c r="F79">
        <v>846</v>
      </c>
      <c r="G79">
        <f t="shared" ref="G79:G82" si="7">E79*F79</f>
        <v>64296</v>
      </c>
    </row>
    <row r="80" spans="3:9" x14ac:dyDescent="0.25">
      <c r="C80">
        <v>710</v>
      </c>
      <c r="D80">
        <v>1000</v>
      </c>
      <c r="E80">
        <v>71</v>
      </c>
      <c r="F80">
        <v>2000</v>
      </c>
      <c r="G80">
        <f t="shared" si="7"/>
        <v>142000</v>
      </c>
    </row>
    <row r="81" spans="1:11" x14ac:dyDescent="0.25">
      <c r="C81">
        <v>450</v>
      </c>
      <c r="D81">
        <v>710</v>
      </c>
      <c r="E81">
        <v>23</v>
      </c>
      <c r="F81">
        <v>3577</v>
      </c>
      <c r="G81">
        <f t="shared" si="7"/>
        <v>82271</v>
      </c>
    </row>
    <row r="82" spans="1:11" x14ac:dyDescent="0.25">
      <c r="C82">
        <v>315</v>
      </c>
      <c r="D82">
        <v>450</v>
      </c>
      <c r="E82">
        <v>5</v>
      </c>
      <c r="F82">
        <v>5423</v>
      </c>
      <c r="G82">
        <f t="shared" si="7"/>
        <v>27115</v>
      </c>
    </row>
    <row r="83" spans="1:11" x14ac:dyDescent="0.25">
      <c r="C83" t="s">
        <v>16</v>
      </c>
      <c r="G83">
        <f>SUM(G78:G82)</f>
        <v>320930</v>
      </c>
      <c r="H83">
        <f>G83/1000000*100</f>
        <v>32.092999999999996</v>
      </c>
      <c r="I83">
        <f>(C82*G82+C81*G81+C80*G80+C79*G79+C78*G78)/G83</f>
        <v>678.04983952886926</v>
      </c>
    </row>
    <row r="85" spans="1:11" ht="34.5" customHeight="1" x14ac:dyDescent="0.25">
      <c r="C85" t="s">
        <v>75</v>
      </c>
      <c r="D85" t="s">
        <v>82</v>
      </c>
      <c r="E85" t="s">
        <v>77</v>
      </c>
      <c r="F85" t="s">
        <v>76</v>
      </c>
      <c r="G85" s="8" t="s">
        <v>78</v>
      </c>
      <c r="H85" t="s">
        <v>80</v>
      </c>
      <c r="I85" s="8" t="s">
        <v>79</v>
      </c>
      <c r="J85" s="8" t="s">
        <v>81</v>
      </c>
    </row>
    <row r="86" spans="1:11" x14ac:dyDescent="0.25">
      <c r="C86">
        <v>1</v>
      </c>
      <c r="D86">
        <v>23</v>
      </c>
      <c r="E86" s="6">
        <f>G22</f>
        <v>300906.5</v>
      </c>
      <c r="F86" s="7">
        <f>E86/1000000*100</f>
        <v>30.090650000000004</v>
      </c>
      <c r="G86" s="7">
        <f>I22</f>
        <v>523.07011480310325</v>
      </c>
      <c r="H86" s="6">
        <f>G183</f>
        <v>335140.5</v>
      </c>
      <c r="I86" s="7">
        <f>H86/1000000*100</f>
        <v>33.514049999999997</v>
      </c>
      <c r="J86" s="6">
        <f>J177</f>
        <v>1407.421439664857</v>
      </c>
    </row>
    <row r="87" spans="1:11" x14ac:dyDescent="0.25">
      <c r="C87">
        <v>2</v>
      </c>
      <c r="D87">
        <v>23</v>
      </c>
      <c r="E87" s="6">
        <f>G30</f>
        <v>288021.5</v>
      </c>
      <c r="F87" s="7">
        <f t="shared" ref="F87:F93" si="8">E87/1000000*100</f>
        <v>28.802149999999997</v>
      </c>
      <c r="G87" s="7">
        <f>I30</f>
        <v>517.38322486342167</v>
      </c>
      <c r="H87" s="6">
        <f>G197</f>
        <v>392614</v>
      </c>
      <c r="I87" s="7">
        <f t="shared" ref="I87:I93" si="9">H87/1000000*100</f>
        <v>39.261400000000002</v>
      </c>
      <c r="J87" s="6">
        <f>J191</f>
        <v>828.31483339870715</v>
      </c>
    </row>
    <row r="88" spans="1:11" x14ac:dyDescent="0.25">
      <c r="C88">
        <v>3</v>
      </c>
      <c r="D88">
        <v>23</v>
      </c>
      <c r="E88" s="6">
        <f>G38</f>
        <v>297212.5</v>
      </c>
      <c r="F88" s="7">
        <f t="shared" si="8"/>
        <v>29.721249999999998</v>
      </c>
      <c r="G88" s="7">
        <f>I38</f>
        <v>546.65464103966019</v>
      </c>
      <c r="H88" s="6">
        <f>G212</f>
        <v>373680</v>
      </c>
      <c r="I88" s="7">
        <f t="shared" si="9"/>
        <v>37.368000000000002</v>
      </c>
      <c r="J88" s="6">
        <f>J206</f>
        <v>1156.2339434810533</v>
      </c>
    </row>
    <row r="89" spans="1:11" x14ac:dyDescent="0.25">
      <c r="C89">
        <v>4</v>
      </c>
      <c r="D89">
        <v>23</v>
      </c>
      <c r="E89" s="6">
        <f>G46</f>
        <v>290828.5</v>
      </c>
      <c r="F89" s="7">
        <f t="shared" si="8"/>
        <v>29.082850000000001</v>
      </c>
      <c r="G89" s="7">
        <f>I46</f>
        <v>541.92985728702649</v>
      </c>
      <c r="H89" s="6">
        <f>G226</f>
        <v>379963</v>
      </c>
      <c r="I89" s="7">
        <f t="shared" si="9"/>
        <v>37.996299999999998</v>
      </c>
      <c r="J89" s="6">
        <f>J220</f>
        <v>1068.0160963041137</v>
      </c>
    </row>
    <row r="90" spans="1:11" x14ac:dyDescent="0.25">
      <c r="C90">
        <v>7</v>
      </c>
      <c r="D90">
        <v>29</v>
      </c>
      <c r="E90" s="6">
        <f>G56</f>
        <v>286912</v>
      </c>
      <c r="F90" s="7">
        <f t="shared" si="8"/>
        <v>28.691199999999998</v>
      </c>
      <c r="G90" s="7">
        <f>I56</f>
        <v>680.39391869283963</v>
      </c>
      <c r="H90" s="6">
        <f>G242</f>
        <v>342796</v>
      </c>
      <c r="I90" s="7">
        <f t="shared" si="9"/>
        <v>34.279600000000002</v>
      </c>
      <c r="J90" s="6">
        <f>J236</f>
        <v>1222.5765469842122</v>
      </c>
    </row>
    <row r="91" spans="1:11" x14ac:dyDescent="0.25">
      <c r="C91">
        <v>8</v>
      </c>
      <c r="D91">
        <v>29</v>
      </c>
      <c r="E91" s="6">
        <f>G65</f>
        <v>224365</v>
      </c>
      <c r="F91" s="7">
        <f t="shared" si="8"/>
        <v>22.436500000000002</v>
      </c>
      <c r="G91" s="7">
        <f>I65</f>
        <v>563.55928955050922</v>
      </c>
      <c r="H91" s="6">
        <f>G256</f>
        <v>187493</v>
      </c>
      <c r="I91" s="7">
        <f t="shared" si="9"/>
        <v>18.749299999999998</v>
      </c>
      <c r="J91" s="6">
        <f>J250</f>
        <v>1388.4641026598326</v>
      </c>
      <c r="K91" t="s">
        <v>83</v>
      </c>
    </row>
    <row r="92" spans="1:11" x14ac:dyDescent="0.25">
      <c r="C92">
        <v>9</v>
      </c>
      <c r="D92">
        <v>29</v>
      </c>
      <c r="E92" s="6">
        <f>G74</f>
        <v>308988.5</v>
      </c>
      <c r="F92" s="7">
        <f t="shared" si="8"/>
        <v>30.898849999999999</v>
      </c>
      <c r="G92" s="7">
        <f>I74</f>
        <v>671.59459818083849</v>
      </c>
      <c r="H92" s="6">
        <f>G271</f>
        <v>325276</v>
      </c>
      <c r="I92" s="7">
        <f t="shared" si="9"/>
        <v>32.5276</v>
      </c>
      <c r="J92" s="6">
        <f>J265</f>
        <v>1187.8417098095156</v>
      </c>
    </row>
    <row r="93" spans="1:11" x14ac:dyDescent="0.25">
      <c r="C93">
        <v>10</v>
      </c>
      <c r="D93">
        <v>29</v>
      </c>
      <c r="E93" s="6">
        <f>G83</f>
        <v>320930</v>
      </c>
      <c r="F93" s="7">
        <f t="shared" si="8"/>
        <v>32.092999999999996</v>
      </c>
      <c r="G93" s="7">
        <f>I83</f>
        <v>678.04983952886926</v>
      </c>
      <c r="H93" s="6">
        <f>G285</f>
        <v>328711</v>
      </c>
      <c r="I93" s="7">
        <f t="shared" si="9"/>
        <v>32.871099999999998</v>
      </c>
      <c r="J93" s="6">
        <f>J279</f>
        <v>1270.421129807034</v>
      </c>
    </row>
    <row r="96" spans="1:11" x14ac:dyDescent="0.25">
      <c r="A96">
        <v>11</v>
      </c>
      <c r="B96" s="1">
        <v>42569</v>
      </c>
      <c r="C96" t="s">
        <v>49</v>
      </c>
    </row>
    <row r="97" spans="1:5" x14ac:dyDescent="0.25">
      <c r="C97" t="s">
        <v>34</v>
      </c>
      <c r="D97">
        <v>175</v>
      </c>
    </row>
    <row r="98" spans="1:5" x14ac:dyDescent="0.25">
      <c r="C98" t="s">
        <v>35</v>
      </c>
      <c r="D98">
        <v>151</v>
      </c>
      <c r="E98" t="s">
        <v>46</v>
      </c>
    </row>
    <row r="99" spans="1:5" x14ac:dyDescent="0.25">
      <c r="C99" t="s">
        <v>36</v>
      </c>
      <c r="D99">
        <v>165</v>
      </c>
      <c r="E99" t="s">
        <v>46</v>
      </c>
    </row>
    <row r="100" spans="1:5" x14ac:dyDescent="0.25">
      <c r="C100" t="s">
        <v>37</v>
      </c>
      <c r="D100">
        <v>172</v>
      </c>
    </row>
    <row r="101" spans="1:5" x14ac:dyDescent="0.25">
      <c r="C101" t="s">
        <v>38</v>
      </c>
      <c r="D101">
        <v>52</v>
      </c>
    </row>
    <row r="102" spans="1:5" x14ac:dyDescent="0.25">
      <c r="C102" t="s">
        <v>39</v>
      </c>
      <c r="D102">
        <v>57</v>
      </c>
    </row>
    <row r="103" spans="1:5" x14ac:dyDescent="0.25">
      <c r="C103" t="s">
        <v>40</v>
      </c>
      <c r="D103">
        <v>148</v>
      </c>
    </row>
    <row r="104" spans="1:5" x14ac:dyDescent="0.25">
      <c r="C104" t="s">
        <v>41</v>
      </c>
      <c r="D104">
        <v>51</v>
      </c>
    </row>
    <row r="105" spans="1:5" x14ac:dyDescent="0.25">
      <c r="C105" t="s">
        <v>42</v>
      </c>
      <c r="D105">
        <v>70</v>
      </c>
    </row>
    <row r="106" spans="1:5" x14ac:dyDescent="0.25">
      <c r="C106" t="s">
        <v>43</v>
      </c>
      <c r="D106">
        <v>141</v>
      </c>
    </row>
    <row r="107" spans="1:5" x14ac:dyDescent="0.25">
      <c r="C107" t="s">
        <v>44</v>
      </c>
      <c r="D107">
        <v>103</v>
      </c>
    </row>
    <row r="108" spans="1:5" x14ac:dyDescent="0.25">
      <c r="C108" t="s">
        <v>45</v>
      </c>
      <c r="D108">
        <v>30</v>
      </c>
    </row>
    <row r="110" spans="1:5" x14ac:dyDescent="0.25">
      <c r="A110">
        <v>12</v>
      </c>
      <c r="B110" s="1">
        <v>42570</v>
      </c>
      <c r="C110" t="s">
        <v>47</v>
      </c>
    </row>
    <row r="111" spans="1:5" x14ac:dyDescent="0.25">
      <c r="B111" s="1"/>
      <c r="C111" t="s">
        <v>34</v>
      </c>
      <c r="D111">
        <v>165</v>
      </c>
      <c r="E111">
        <v>152</v>
      </c>
    </row>
    <row r="112" spans="1:5" x14ac:dyDescent="0.25">
      <c r="B112" s="1"/>
      <c r="C112" t="s">
        <v>35</v>
      </c>
      <c r="D112">
        <v>42</v>
      </c>
      <c r="E112">
        <v>39</v>
      </c>
    </row>
    <row r="113" spans="1:5" x14ac:dyDescent="0.25">
      <c r="B113" s="1"/>
      <c r="C113" t="s">
        <v>36</v>
      </c>
      <c r="D113">
        <v>130</v>
      </c>
      <c r="E113">
        <v>131</v>
      </c>
    </row>
    <row r="114" spans="1:5" x14ac:dyDescent="0.25">
      <c r="B114" s="1"/>
      <c r="C114" t="s">
        <v>37</v>
      </c>
      <c r="D114">
        <v>161</v>
      </c>
      <c r="E114">
        <v>163</v>
      </c>
    </row>
    <row r="115" spans="1:5" x14ac:dyDescent="0.25">
      <c r="B115" s="1"/>
      <c r="C115" t="s">
        <v>38</v>
      </c>
      <c r="D115">
        <v>92</v>
      </c>
      <c r="E115">
        <v>87</v>
      </c>
    </row>
    <row r="116" spans="1:5" x14ac:dyDescent="0.25">
      <c r="C116" t="s">
        <v>39</v>
      </c>
      <c r="D116">
        <v>112</v>
      </c>
      <c r="E116">
        <v>106</v>
      </c>
    </row>
    <row r="117" spans="1:5" x14ac:dyDescent="0.25">
      <c r="C117" t="s">
        <v>40</v>
      </c>
      <c r="D117">
        <v>148</v>
      </c>
      <c r="E117">
        <v>144</v>
      </c>
    </row>
    <row r="118" spans="1:5" x14ac:dyDescent="0.25">
      <c r="C118" t="s">
        <v>41</v>
      </c>
      <c r="D118">
        <v>43</v>
      </c>
      <c r="E118">
        <v>42</v>
      </c>
    </row>
    <row r="119" spans="1:5" x14ac:dyDescent="0.25">
      <c r="C119" t="s">
        <v>42</v>
      </c>
      <c r="D119">
        <v>52</v>
      </c>
      <c r="E119">
        <v>52</v>
      </c>
    </row>
    <row r="120" spans="1:5" x14ac:dyDescent="0.25">
      <c r="C120" t="s">
        <v>43</v>
      </c>
      <c r="D120">
        <v>120</v>
      </c>
      <c r="E120">
        <v>121</v>
      </c>
    </row>
    <row r="121" spans="1:5" x14ac:dyDescent="0.25">
      <c r="C121" t="s">
        <v>44</v>
      </c>
      <c r="D121">
        <v>34</v>
      </c>
      <c r="E121">
        <v>32</v>
      </c>
    </row>
    <row r="122" spans="1:5" x14ac:dyDescent="0.25">
      <c r="C122" t="s">
        <v>45</v>
      </c>
      <c r="D122">
        <v>34</v>
      </c>
      <c r="E122">
        <v>33</v>
      </c>
    </row>
    <row r="124" spans="1:5" x14ac:dyDescent="0.25">
      <c r="C124" t="s">
        <v>48</v>
      </c>
    </row>
    <row r="126" spans="1:5" x14ac:dyDescent="0.25">
      <c r="A126">
        <v>14</v>
      </c>
      <c r="B126" s="1">
        <v>42572</v>
      </c>
      <c r="C126" t="s">
        <v>50</v>
      </c>
    </row>
    <row r="127" spans="1:5" x14ac:dyDescent="0.25">
      <c r="C127" t="s">
        <v>34</v>
      </c>
      <c r="D127">
        <v>186</v>
      </c>
      <c r="E127">
        <v>191</v>
      </c>
    </row>
    <row r="128" spans="1:5" x14ac:dyDescent="0.25">
      <c r="C128" t="s">
        <v>35</v>
      </c>
      <c r="D128">
        <v>70</v>
      </c>
      <c r="E128">
        <v>65</v>
      </c>
    </row>
    <row r="129" spans="1:5" x14ac:dyDescent="0.25">
      <c r="C129" t="s">
        <v>36</v>
      </c>
      <c r="D129">
        <v>152</v>
      </c>
      <c r="E129">
        <v>153</v>
      </c>
    </row>
    <row r="130" spans="1:5" x14ac:dyDescent="0.25">
      <c r="C130" t="s">
        <v>37</v>
      </c>
      <c r="D130">
        <v>201</v>
      </c>
      <c r="E130">
        <v>204</v>
      </c>
    </row>
    <row r="131" spans="1:5" x14ac:dyDescent="0.25">
      <c r="C131" t="s">
        <v>38</v>
      </c>
      <c r="D131">
        <v>161</v>
      </c>
      <c r="E131">
        <v>157</v>
      </c>
    </row>
    <row r="132" spans="1:5" x14ac:dyDescent="0.25">
      <c r="C132" t="s">
        <v>39</v>
      </c>
      <c r="D132">
        <v>120</v>
      </c>
      <c r="E132">
        <v>121</v>
      </c>
    </row>
    <row r="133" spans="1:5" x14ac:dyDescent="0.25">
      <c r="C133" t="s">
        <v>40</v>
      </c>
      <c r="D133">
        <v>190</v>
      </c>
      <c r="E133">
        <v>190</v>
      </c>
    </row>
    <row r="134" spans="1:5" x14ac:dyDescent="0.25">
      <c r="C134" t="s">
        <v>41</v>
      </c>
      <c r="D134">
        <v>33</v>
      </c>
      <c r="E134">
        <v>32</v>
      </c>
    </row>
    <row r="135" spans="1:5" x14ac:dyDescent="0.25">
      <c r="C135" t="s">
        <v>42</v>
      </c>
      <c r="D135">
        <v>49</v>
      </c>
      <c r="E135">
        <v>49</v>
      </c>
    </row>
    <row r="136" spans="1:5" x14ac:dyDescent="0.25">
      <c r="C136" t="s">
        <v>43</v>
      </c>
      <c r="D136">
        <v>170</v>
      </c>
      <c r="E136">
        <v>169</v>
      </c>
    </row>
    <row r="137" spans="1:5" x14ac:dyDescent="0.25">
      <c r="C137" t="s">
        <v>44</v>
      </c>
      <c r="D137">
        <v>35</v>
      </c>
      <c r="E137">
        <v>32</v>
      </c>
    </row>
    <row r="138" spans="1:5" x14ac:dyDescent="0.25">
      <c r="C138" t="s">
        <v>45</v>
      </c>
      <c r="D138">
        <v>26</v>
      </c>
      <c r="E138">
        <v>29</v>
      </c>
    </row>
    <row r="140" spans="1:5" x14ac:dyDescent="0.25">
      <c r="C140" t="s">
        <v>51</v>
      </c>
    </row>
    <row r="141" spans="1:5" x14ac:dyDescent="0.25">
      <c r="C141" t="s">
        <v>52</v>
      </c>
    </row>
    <row r="143" spans="1:5" x14ac:dyDescent="0.25">
      <c r="A143">
        <v>15</v>
      </c>
      <c r="B143" s="1">
        <v>42573</v>
      </c>
      <c r="C143" t="s">
        <v>33</v>
      </c>
    </row>
    <row r="144" spans="1:5" x14ac:dyDescent="0.25">
      <c r="C144" t="s">
        <v>35</v>
      </c>
      <c r="D144">
        <v>95</v>
      </c>
      <c r="E144">
        <v>94</v>
      </c>
    </row>
    <row r="145" spans="1:5" x14ac:dyDescent="0.25">
      <c r="C145" t="s">
        <v>36</v>
      </c>
      <c r="D145">
        <v>163</v>
      </c>
      <c r="E145">
        <v>162</v>
      </c>
    </row>
    <row r="146" spans="1:5" s="3" customFormat="1" x14ac:dyDescent="0.25">
      <c r="C146" s="3" t="s">
        <v>38</v>
      </c>
      <c r="D146" s="3">
        <v>170</v>
      </c>
      <c r="E146" s="3">
        <v>168</v>
      </c>
    </row>
    <row r="147" spans="1:5" x14ac:dyDescent="0.25">
      <c r="C147" s="3" t="s">
        <v>39</v>
      </c>
      <c r="D147" s="3">
        <v>129</v>
      </c>
      <c r="E147" s="3">
        <v>128</v>
      </c>
    </row>
    <row r="148" spans="1:5" x14ac:dyDescent="0.25">
      <c r="C148" s="3" t="s">
        <v>41</v>
      </c>
      <c r="D148" s="3">
        <v>137</v>
      </c>
      <c r="E148" s="3">
        <v>136</v>
      </c>
    </row>
    <row r="149" spans="1:5" x14ac:dyDescent="0.25">
      <c r="C149" s="3" t="s">
        <v>42</v>
      </c>
      <c r="D149" s="3">
        <v>161</v>
      </c>
      <c r="E149" s="3">
        <v>161</v>
      </c>
    </row>
    <row r="150" spans="1:5" x14ac:dyDescent="0.25">
      <c r="C150" s="3" t="s">
        <v>44</v>
      </c>
      <c r="D150" s="3">
        <v>112</v>
      </c>
      <c r="E150" s="3">
        <v>114</v>
      </c>
    </row>
    <row r="151" spans="1:5" x14ac:dyDescent="0.25">
      <c r="C151" s="3" t="s">
        <v>45</v>
      </c>
      <c r="D151" s="3">
        <v>120</v>
      </c>
      <c r="E151" s="3">
        <v>123</v>
      </c>
    </row>
    <row r="152" spans="1:5" x14ac:dyDescent="0.25">
      <c r="C152" s="3"/>
      <c r="D152" s="3"/>
      <c r="E152" s="3"/>
    </row>
    <row r="153" spans="1:5" x14ac:dyDescent="0.25">
      <c r="C153" s="3" t="s">
        <v>55</v>
      </c>
      <c r="D153" s="3"/>
      <c r="E153" s="3"/>
    </row>
    <row r="154" spans="1:5" x14ac:dyDescent="0.25">
      <c r="C154" s="3"/>
      <c r="D154" s="3"/>
      <c r="E154" s="3"/>
    </row>
    <row r="155" spans="1:5" x14ac:dyDescent="0.25">
      <c r="A155">
        <v>16</v>
      </c>
      <c r="B155" s="1">
        <v>42574</v>
      </c>
      <c r="C155" t="s">
        <v>57</v>
      </c>
    </row>
    <row r="156" spans="1:5" x14ac:dyDescent="0.25">
      <c r="B156" s="1"/>
      <c r="C156" t="s">
        <v>34</v>
      </c>
      <c r="D156">
        <v>255</v>
      </c>
      <c r="E156">
        <v>258</v>
      </c>
    </row>
    <row r="157" spans="1:5" x14ac:dyDescent="0.25">
      <c r="B157" s="1"/>
      <c r="C157" t="s">
        <v>35</v>
      </c>
      <c r="D157">
        <v>91</v>
      </c>
      <c r="E157">
        <v>87</v>
      </c>
    </row>
    <row r="158" spans="1:5" x14ac:dyDescent="0.25">
      <c r="B158" s="1"/>
      <c r="C158" t="s">
        <v>36</v>
      </c>
      <c r="D158">
        <v>152</v>
      </c>
      <c r="E158">
        <v>153</v>
      </c>
    </row>
    <row r="159" spans="1:5" x14ac:dyDescent="0.25">
      <c r="B159" s="1"/>
      <c r="C159" t="s">
        <v>37</v>
      </c>
      <c r="D159">
        <v>261</v>
      </c>
      <c r="E159">
        <v>262</v>
      </c>
    </row>
    <row r="160" spans="1:5" x14ac:dyDescent="0.25">
      <c r="B160" s="1"/>
      <c r="C160" t="s">
        <v>38</v>
      </c>
      <c r="D160">
        <v>154</v>
      </c>
      <c r="E160">
        <v>151</v>
      </c>
    </row>
    <row r="161" spans="1:13" x14ac:dyDescent="0.25">
      <c r="B161" s="1"/>
      <c r="C161" t="s">
        <v>39</v>
      </c>
      <c r="D161">
        <v>84</v>
      </c>
      <c r="E161">
        <v>82</v>
      </c>
    </row>
    <row r="162" spans="1:13" x14ac:dyDescent="0.25">
      <c r="B162" s="1"/>
      <c r="C162" t="s">
        <v>40</v>
      </c>
      <c r="D162">
        <v>262</v>
      </c>
      <c r="E162">
        <v>259</v>
      </c>
    </row>
    <row r="163" spans="1:13" x14ac:dyDescent="0.25">
      <c r="C163" t="s">
        <v>41</v>
      </c>
      <c r="D163">
        <v>277</v>
      </c>
      <c r="E163">
        <v>266</v>
      </c>
    </row>
    <row r="164" spans="1:13" x14ac:dyDescent="0.25">
      <c r="C164" t="s">
        <v>42</v>
      </c>
      <c r="D164">
        <v>233</v>
      </c>
      <c r="E164">
        <v>223</v>
      </c>
    </row>
    <row r="165" spans="1:13" x14ac:dyDescent="0.25">
      <c r="C165" t="s">
        <v>43</v>
      </c>
      <c r="D165">
        <v>220</v>
      </c>
      <c r="E165">
        <v>216</v>
      </c>
    </row>
    <row r="166" spans="1:13" x14ac:dyDescent="0.25">
      <c r="C166" t="s">
        <v>44</v>
      </c>
      <c r="D166">
        <v>165</v>
      </c>
      <c r="E166">
        <v>165</v>
      </c>
    </row>
    <row r="167" spans="1:13" x14ac:dyDescent="0.25">
      <c r="C167" t="s">
        <v>45</v>
      </c>
      <c r="D167">
        <v>182</v>
      </c>
      <c r="E167">
        <v>181</v>
      </c>
    </row>
    <row r="169" spans="1:13" x14ac:dyDescent="0.25">
      <c r="A169">
        <v>18</v>
      </c>
      <c r="B169" s="1">
        <v>42576</v>
      </c>
      <c r="C169" t="s">
        <v>58</v>
      </c>
      <c r="K169" s="4" t="s">
        <v>53</v>
      </c>
    </row>
    <row r="170" spans="1:13" ht="18.75" x14ac:dyDescent="0.3">
      <c r="B170" s="1"/>
      <c r="C170" s="2" t="s">
        <v>29</v>
      </c>
      <c r="K170" s="3" t="s">
        <v>54</v>
      </c>
      <c r="L170" t="s">
        <v>13</v>
      </c>
      <c r="M170" t="s">
        <v>15</v>
      </c>
    </row>
    <row r="171" spans="1:13" x14ac:dyDescent="0.25">
      <c r="C171" t="s">
        <v>10</v>
      </c>
      <c r="K171">
        <v>1800</v>
      </c>
      <c r="L171">
        <f>SUM(E177,E191,E206,E220,E236,E250,E265,E279)</f>
        <v>1820</v>
      </c>
      <c r="M171">
        <f>L171*173</f>
        <v>314860</v>
      </c>
    </row>
    <row r="172" spans="1:13" x14ac:dyDescent="0.25">
      <c r="C172" t="s">
        <v>11</v>
      </c>
      <c r="D172" t="s">
        <v>12</v>
      </c>
      <c r="E172" t="s">
        <v>13</v>
      </c>
      <c r="F172" t="s">
        <v>14</v>
      </c>
      <c r="G172" t="s">
        <v>15</v>
      </c>
      <c r="H172" t="s">
        <v>30</v>
      </c>
      <c r="K172">
        <v>2000</v>
      </c>
      <c r="L172">
        <f>SUM(E176,E190,E205,E219,E235,E249,E264,E278)</f>
        <v>1414</v>
      </c>
      <c r="M172">
        <f>L172*95</f>
        <v>134330</v>
      </c>
    </row>
    <row r="173" spans="1:13" x14ac:dyDescent="0.25">
      <c r="C173">
        <v>4000</v>
      </c>
      <c r="D173">
        <v>5000</v>
      </c>
      <c r="E173">
        <v>52</v>
      </c>
      <c r="F173">
        <v>22</v>
      </c>
      <c r="G173">
        <f>E173*F173</f>
        <v>1144</v>
      </c>
      <c r="K173">
        <v>2380</v>
      </c>
      <c r="L173">
        <f>SUM(E175,E189,E204,E218,E234,E248,E263,E277)</f>
        <v>2750</v>
      </c>
      <c r="M173">
        <f>L173*47</f>
        <v>129250</v>
      </c>
    </row>
    <row r="174" spans="1:13" x14ac:dyDescent="0.25">
      <c r="C174">
        <v>3000</v>
      </c>
      <c r="D174">
        <v>4000</v>
      </c>
      <c r="E174">
        <v>700</v>
      </c>
      <c r="F174">
        <v>32</v>
      </c>
      <c r="G174">
        <f t="shared" ref="G174:G182" si="10">E174*F174</f>
        <v>22400</v>
      </c>
      <c r="K174">
        <v>3000</v>
      </c>
      <c r="L174">
        <f>SUM(E174,E188,E203,E217,E233,E247,E262,E276)</f>
        <v>4500</v>
      </c>
      <c r="M174">
        <f>L174*32</f>
        <v>144000</v>
      </c>
    </row>
    <row r="175" spans="1:13" x14ac:dyDescent="0.25">
      <c r="C175">
        <v>2380</v>
      </c>
      <c r="D175">
        <v>3000</v>
      </c>
      <c r="E175">
        <v>455</v>
      </c>
      <c r="F175">
        <v>47</v>
      </c>
      <c r="G175">
        <f t="shared" si="10"/>
        <v>21385</v>
      </c>
      <c r="K175">
        <v>4000</v>
      </c>
      <c r="L175">
        <f>SUM(E173,E187,E202,E216,E232,E246,E261,E275)</f>
        <v>1736</v>
      </c>
    </row>
    <row r="176" spans="1:13" x14ac:dyDescent="0.25">
      <c r="C176">
        <v>2000</v>
      </c>
      <c r="D176">
        <v>2380</v>
      </c>
      <c r="E176">
        <v>355</v>
      </c>
      <c r="F176">
        <v>95</v>
      </c>
      <c r="G176">
        <f t="shared" si="10"/>
        <v>33725</v>
      </c>
      <c r="M176">
        <f>SUM(M171:M175)</f>
        <v>722440</v>
      </c>
    </row>
    <row r="177" spans="3:11" x14ac:dyDescent="0.25">
      <c r="C177">
        <v>1800</v>
      </c>
      <c r="D177">
        <v>2000</v>
      </c>
      <c r="E177">
        <v>410</v>
      </c>
      <c r="F177">
        <v>173</v>
      </c>
      <c r="G177">
        <f t="shared" si="10"/>
        <v>70930</v>
      </c>
      <c r="I177">
        <f>SUM(G173:G177)</f>
        <v>149584</v>
      </c>
      <c r="J177">
        <f>(C174*G174+C175*G175+C176*G176+C177*G177+C178*G178+C179*G179+C180*G180+C181*G181+C182*G182)/G183</f>
        <v>1407.421439664857</v>
      </c>
      <c r="K177">
        <f>(C174*G174+C175*G175+C176*G176+C177*G177)/SUM(G174:G177)</f>
        <v>2110.0801670708702</v>
      </c>
    </row>
    <row r="178" spans="3:11" x14ac:dyDescent="0.25">
      <c r="C178">
        <v>1320</v>
      </c>
      <c r="D178">
        <v>1800</v>
      </c>
      <c r="E178">
        <v>82</v>
      </c>
      <c r="F178">
        <v>290</v>
      </c>
      <c r="G178">
        <f t="shared" si="10"/>
        <v>23780</v>
      </c>
    </row>
    <row r="179" spans="3:11" x14ac:dyDescent="0.25">
      <c r="C179">
        <v>1000</v>
      </c>
      <c r="D179">
        <v>1320</v>
      </c>
      <c r="E179">
        <v>82</v>
      </c>
      <c r="F179">
        <v>846</v>
      </c>
      <c r="G179">
        <f t="shared" si="10"/>
        <v>69372</v>
      </c>
    </row>
    <row r="180" spans="3:11" x14ac:dyDescent="0.25">
      <c r="C180">
        <v>710</v>
      </c>
      <c r="D180">
        <v>1000</v>
      </c>
      <c r="E180">
        <v>31</v>
      </c>
      <c r="F180">
        <v>2000</v>
      </c>
      <c r="G180">
        <f t="shared" si="10"/>
        <v>62000</v>
      </c>
    </row>
    <row r="181" spans="3:11" x14ac:dyDescent="0.25">
      <c r="C181">
        <v>450</v>
      </c>
      <c r="D181">
        <v>710</v>
      </c>
      <c r="E181">
        <v>8.5</v>
      </c>
      <c r="F181">
        <v>3577</v>
      </c>
      <c r="G181">
        <f t="shared" si="10"/>
        <v>30404.5</v>
      </c>
    </row>
    <row r="182" spans="3:11" x14ac:dyDescent="0.25">
      <c r="C182">
        <v>315</v>
      </c>
      <c r="D182">
        <v>450</v>
      </c>
      <c r="E182">
        <v>0</v>
      </c>
      <c r="F182">
        <v>5423</v>
      </c>
      <c r="G182">
        <f t="shared" si="10"/>
        <v>0</v>
      </c>
    </row>
    <row r="183" spans="3:11" x14ac:dyDescent="0.25">
      <c r="C183" t="s">
        <v>16</v>
      </c>
      <c r="G183">
        <f>SUM(G173:G182)</f>
        <v>335140.5</v>
      </c>
      <c r="H183">
        <f>G22</f>
        <v>300906.5</v>
      </c>
    </row>
    <row r="185" spans="3:11" x14ac:dyDescent="0.25">
      <c r="C185" t="s">
        <v>17</v>
      </c>
    </row>
    <row r="186" spans="3:11" x14ac:dyDescent="0.25">
      <c r="C186" t="s">
        <v>11</v>
      </c>
      <c r="D186" t="s">
        <v>12</v>
      </c>
      <c r="E186" t="s">
        <v>13</v>
      </c>
      <c r="F186" t="s">
        <v>14</v>
      </c>
      <c r="G186" t="s">
        <v>15</v>
      </c>
    </row>
    <row r="187" spans="3:11" x14ac:dyDescent="0.25">
      <c r="C187">
        <v>4000</v>
      </c>
      <c r="D187">
        <v>5000</v>
      </c>
      <c r="E187">
        <v>210</v>
      </c>
      <c r="F187">
        <v>22</v>
      </c>
      <c r="G187">
        <f>E187*F187</f>
        <v>4620</v>
      </c>
    </row>
    <row r="188" spans="3:11" x14ac:dyDescent="0.25">
      <c r="C188">
        <v>3000</v>
      </c>
      <c r="D188">
        <v>4000</v>
      </c>
      <c r="E188">
        <v>250</v>
      </c>
      <c r="F188">
        <v>32</v>
      </c>
      <c r="G188">
        <f t="shared" ref="G188:G196" si="11">E188*F188</f>
        <v>8000</v>
      </c>
    </row>
    <row r="189" spans="3:11" x14ac:dyDescent="0.25">
      <c r="C189">
        <v>2380</v>
      </c>
      <c r="D189">
        <v>3000</v>
      </c>
      <c r="E189">
        <v>125</v>
      </c>
      <c r="F189">
        <v>47</v>
      </c>
      <c r="G189">
        <f t="shared" si="11"/>
        <v>5875</v>
      </c>
    </row>
    <row r="190" spans="3:11" x14ac:dyDescent="0.25">
      <c r="C190">
        <v>2000</v>
      </c>
      <c r="D190">
        <v>2380</v>
      </c>
      <c r="E190">
        <v>55</v>
      </c>
      <c r="F190">
        <v>95</v>
      </c>
      <c r="G190">
        <f t="shared" si="11"/>
        <v>5225</v>
      </c>
    </row>
    <row r="191" spans="3:11" x14ac:dyDescent="0.25">
      <c r="C191">
        <v>1800</v>
      </c>
      <c r="D191">
        <v>2000</v>
      </c>
      <c r="E191">
        <v>30</v>
      </c>
      <c r="F191">
        <v>173</v>
      </c>
      <c r="G191">
        <f t="shared" si="11"/>
        <v>5190</v>
      </c>
      <c r="I191">
        <f>SUM(G187:G191)</f>
        <v>28910</v>
      </c>
      <c r="J191">
        <f>(C188*G188+C189*G189+C190*G190+C191*G191+C192*G192+C193*G193+C194*G194+C195*G195+C196*G196)/G197</f>
        <v>828.31483339870715</v>
      </c>
      <c r="K191">
        <f>(C188*G188+C189*G189+C190*G190+C191*G191)/SUM(G188:G191)</f>
        <v>2378.5302593659944</v>
      </c>
    </row>
    <row r="192" spans="3:11" x14ac:dyDescent="0.25">
      <c r="C192">
        <v>1320</v>
      </c>
      <c r="D192">
        <v>1800</v>
      </c>
      <c r="E192">
        <v>29</v>
      </c>
      <c r="F192">
        <v>290</v>
      </c>
      <c r="G192">
        <f t="shared" si="11"/>
        <v>8410</v>
      </c>
    </row>
    <row r="193" spans="3:11" x14ac:dyDescent="0.25">
      <c r="C193">
        <v>1000</v>
      </c>
      <c r="D193">
        <v>1320</v>
      </c>
      <c r="E193">
        <v>100</v>
      </c>
      <c r="F193">
        <v>846</v>
      </c>
      <c r="G193">
        <f t="shared" si="11"/>
        <v>84600</v>
      </c>
    </row>
    <row r="194" spans="3:11" x14ac:dyDescent="0.25">
      <c r="C194">
        <v>710</v>
      </c>
      <c r="D194">
        <v>1000</v>
      </c>
      <c r="E194">
        <v>96</v>
      </c>
      <c r="F194">
        <v>2000</v>
      </c>
      <c r="G194">
        <f t="shared" si="11"/>
        <v>192000</v>
      </c>
    </row>
    <row r="195" spans="3:11" x14ac:dyDescent="0.25">
      <c r="C195">
        <v>450</v>
      </c>
      <c r="D195">
        <v>710</v>
      </c>
      <c r="E195">
        <v>22</v>
      </c>
      <c r="F195">
        <v>3577</v>
      </c>
      <c r="G195">
        <f t="shared" si="11"/>
        <v>78694</v>
      </c>
    </row>
    <row r="196" spans="3:11" x14ac:dyDescent="0.25">
      <c r="C196">
        <v>315</v>
      </c>
      <c r="D196">
        <v>450</v>
      </c>
      <c r="E196">
        <v>0</v>
      </c>
      <c r="F196">
        <v>5423</v>
      </c>
      <c r="G196">
        <f t="shared" si="11"/>
        <v>0</v>
      </c>
    </row>
    <row r="197" spans="3:11" x14ac:dyDescent="0.25">
      <c r="C197" t="s">
        <v>16</v>
      </c>
      <c r="G197">
        <f>SUM(G187:G196)</f>
        <v>392614</v>
      </c>
      <c r="H197">
        <f>G30</f>
        <v>288021.5</v>
      </c>
    </row>
    <row r="200" spans="3:11" x14ac:dyDescent="0.25">
      <c r="C200" t="s">
        <v>18</v>
      </c>
    </row>
    <row r="201" spans="3:11" x14ac:dyDescent="0.25">
      <c r="C201" t="s">
        <v>11</v>
      </c>
      <c r="D201" t="s">
        <v>12</v>
      </c>
      <c r="E201" t="s">
        <v>13</v>
      </c>
      <c r="F201" t="s">
        <v>14</v>
      </c>
      <c r="G201" t="s">
        <v>15</v>
      </c>
    </row>
    <row r="202" spans="3:11" x14ac:dyDescent="0.25">
      <c r="C202">
        <v>4000</v>
      </c>
      <c r="D202">
        <v>5000</v>
      </c>
      <c r="E202">
        <v>80</v>
      </c>
      <c r="F202">
        <v>22</v>
      </c>
      <c r="G202">
        <f>E202*F202</f>
        <v>1760</v>
      </c>
    </row>
    <row r="203" spans="3:11" x14ac:dyDescent="0.25">
      <c r="C203">
        <v>3000</v>
      </c>
      <c r="D203">
        <v>4000</v>
      </c>
      <c r="E203">
        <v>265</v>
      </c>
      <c r="F203">
        <v>32</v>
      </c>
      <c r="G203">
        <f t="shared" ref="G203:G211" si="12">E203*F203</f>
        <v>8480</v>
      </c>
    </row>
    <row r="204" spans="3:11" x14ac:dyDescent="0.25">
      <c r="C204">
        <v>2380</v>
      </c>
      <c r="D204">
        <v>3000</v>
      </c>
      <c r="E204">
        <v>200</v>
      </c>
      <c r="F204">
        <v>47</v>
      </c>
      <c r="G204">
        <f t="shared" si="12"/>
        <v>9400</v>
      </c>
    </row>
    <row r="205" spans="3:11" x14ac:dyDescent="0.25">
      <c r="C205">
        <v>2000</v>
      </c>
      <c r="D205">
        <v>2380</v>
      </c>
      <c r="E205">
        <v>225</v>
      </c>
      <c r="F205">
        <v>95</v>
      </c>
      <c r="G205">
        <f t="shared" si="12"/>
        <v>21375</v>
      </c>
    </row>
    <row r="206" spans="3:11" x14ac:dyDescent="0.25">
      <c r="C206">
        <v>1800</v>
      </c>
      <c r="D206">
        <v>2000</v>
      </c>
      <c r="E206">
        <v>325</v>
      </c>
      <c r="F206">
        <v>173</v>
      </c>
      <c r="G206">
        <f t="shared" si="12"/>
        <v>56225</v>
      </c>
      <c r="I206">
        <f>SUM(G202:G206)</f>
        <v>97240</v>
      </c>
      <c r="J206">
        <f>(C203*G203+C204*G204+C205*G205+C206*G206+C207*G207+C208*G208+C209*G209+C210*G210+C211*G211)/G212</f>
        <v>1156.2339434810533</v>
      </c>
      <c r="K206">
        <f>(C203*G203+C204*G204+C205*G205+C206*G206)/SUM(G203:G206)</f>
        <v>2008.4520318391287</v>
      </c>
    </row>
    <row r="207" spans="3:11" x14ac:dyDescent="0.25">
      <c r="C207">
        <v>1320</v>
      </c>
      <c r="D207">
        <v>1800</v>
      </c>
      <c r="E207">
        <v>135</v>
      </c>
      <c r="F207">
        <v>290</v>
      </c>
      <c r="G207">
        <f t="shared" si="12"/>
        <v>39150</v>
      </c>
    </row>
    <row r="208" spans="3:11" x14ac:dyDescent="0.25">
      <c r="C208">
        <v>1000</v>
      </c>
      <c r="D208">
        <v>1320</v>
      </c>
      <c r="E208">
        <v>120</v>
      </c>
      <c r="F208">
        <v>846</v>
      </c>
      <c r="G208">
        <f t="shared" si="12"/>
        <v>101520</v>
      </c>
    </row>
    <row r="209" spans="3:11" x14ac:dyDescent="0.25">
      <c r="C209">
        <v>710</v>
      </c>
      <c r="D209">
        <v>1000</v>
      </c>
      <c r="E209">
        <v>50</v>
      </c>
      <c r="F209">
        <v>2000</v>
      </c>
      <c r="G209">
        <f t="shared" si="12"/>
        <v>100000</v>
      </c>
    </row>
    <row r="210" spans="3:11" x14ac:dyDescent="0.25">
      <c r="C210">
        <v>450</v>
      </c>
      <c r="D210">
        <v>710</v>
      </c>
      <c r="E210">
        <v>10</v>
      </c>
      <c r="F210">
        <v>3577</v>
      </c>
      <c r="G210">
        <f t="shared" si="12"/>
        <v>35770</v>
      </c>
    </row>
    <row r="211" spans="3:11" x14ac:dyDescent="0.25">
      <c r="C211">
        <v>315</v>
      </c>
      <c r="D211">
        <v>450</v>
      </c>
      <c r="E211">
        <v>0</v>
      </c>
      <c r="F211">
        <v>5423</v>
      </c>
      <c r="G211">
        <f t="shared" si="12"/>
        <v>0</v>
      </c>
    </row>
    <row r="212" spans="3:11" x14ac:dyDescent="0.25">
      <c r="C212" t="s">
        <v>16</v>
      </c>
      <c r="G212">
        <f>SUM(G202:G211)</f>
        <v>373680</v>
      </c>
      <c r="H212">
        <f>G38</f>
        <v>297212.5</v>
      </c>
    </row>
    <row r="214" spans="3:11" x14ac:dyDescent="0.25">
      <c r="C214" t="s">
        <v>19</v>
      </c>
    </row>
    <row r="215" spans="3:11" x14ac:dyDescent="0.25">
      <c r="C215" t="s">
        <v>11</v>
      </c>
      <c r="D215" t="s">
        <v>12</v>
      </c>
      <c r="E215" t="s">
        <v>13</v>
      </c>
      <c r="F215" t="s">
        <v>14</v>
      </c>
      <c r="G215" t="s">
        <v>15</v>
      </c>
    </row>
    <row r="216" spans="3:11" x14ac:dyDescent="0.25">
      <c r="C216">
        <v>4000</v>
      </c>
      <c r="D216">
        <v>5000</v>
      </c>
      <c r="E216">
        <v>700</v>
      </c>
      <c r="F216">
        <v>22</v>
      </c>
      <c r="G216">
        <f>E216*F216</f>
        <v>15400</v>
      </c>
    </row>
    <row r="217" spans="3:11" x14ac:dyDescent="0.25">
      <c r="C217">
        <v>3000</v>
      </c>
      <c r="D217">
        <v>4000</v>
      </c>
      <c r="E217">
        <v>520</v>
      </c>
      <c r="F217">
        <v>32</v>
      </c>
      <c r="G217">
        <f t="shared" ref="G217:G225" si="13">E217*F217</f>
        <v>16640</v>
      </c>
    </row>
    <row r="218" spans="3:11" x14ac:dyDescent="0.25">
      <c r="C218">
        <v>2380</v>
      </c>
      <c r="D218">
        <v>3000</v>
      </c>
      <c r="E218">
        <v>275</v>
      </c>
      <c r="F218">
        <v>47</v>
      </c>
      <c r="G218">
        <f t="shared" si="13"/>
        <v>12925</v>
      </c>
    </row>
    <row r="219" spans="3:11" x14ac:dyDescent="0.25">
      <c r="C219">
        <v>2000</v>
      </c>
      <c r="D219">
        <v>2380</v>
      </c>
      <c r="E219">
        <v>90</v>
      </c>
      <c r="F219">
        <v>95</v>
      </c>
      <c r="G219">
        <f t="shared" si="13"/>
        <v>8550</v>
      </c>
    </row>
    <row r="220" spans="3:11" x14ac:dyDescent="0.25">
      <c r="C220">
        <v>1800</v>
      </c>
      <c r="D220">
        <v>2000</v>
      </c>
      <c r="E220">
        <v>200</v>
      </c>
      <c r="F220">
        <v>173</v>
      </c>
      <c r="G220">
        <f t="shared" si="13"/>
        <v>34600</v>
      </c>
      <c r="I220">
        <f>SUM(G216:G220)</f>
        <v>88115</v>
      </c>
      <c r="J220">
        <f>(C217*G217+C218*G218+C219*G219+C220*G220+C221*G221+C222*G222+C223*G223+C224*G224+C225*G225)/G226</f>
        <v>1068.0160963041137</v>
      </c>
      <c r="K220">
        <f>(C217*G217+C218*G218+C219*G219+C220*G220)/SUM(G217:G220)</f>
        <v>2201.2170803823146</v>
      </c>
    </row>
    <row r="221" spans="3:11" x14ac:dyDescent="0.25">
      <c r="C221">
        <v>1320</v>
      </c>
      <c r="D221">
        <v>1800</v>
      </c>
      <c r="E221">
        <v>125</v>
      </c>
      <c r="F221">
        <v>290</v>
      </c>
      <c r="G221">
        <f t="shared" si="13"/>
        <v>36250</v>
      </c>
    </row>
    <row r="222" spans="3:11" x14ac:dyDescent="0.25">
      <c r="C222">
        <v>1000</v>
      </c>
      <c r="D222">
        <v>1320</v>
      </c>
      <c r="E222">
        <v>120</v>
      </c>
      <c r="F222">
        <v>846</v>
      </c>
      <c r="G222">
        <f t="shared" si="13"/>
        <v>101520</v>
      </c>
    </row>
    <row r="223" spans="3:11" x14ac:dyDescent="0.25">
      <c r="C223">
        <v>710</v>
      </c>
      <c r="D223">
        <v>1000</v>
      </c>
      <c r="E223">
        <v>52</v>
      </c>
      <c r="F223">
        <v>2000</v>
      </c>
      <c r="G223">
        <f t="shared" si="13"/>
        <v>104000</v>
      </c>
    </row>
    <row r="224" spans="3:11" x14ac:dyDescent="0.25">
      <c r="C224">
        <v>450</v>
      </c>
      <c r="D224">
        <v>710</v>
      </c>
      <c r="E224">
        <v>14</v>
      </c>
      <c r="F224">
        <v>3577</v>
      </c>
      <c r="G224">
        <f t="shared" si="13"/>
        <v>50078</v>
      </c>
    </row>
    <row r="225" spans="3:11" x14ac:dyDescent="0.25">
      <c r="C225">
        <v>315</v>
      </c>
      <c r="D225">
        <v>450</v>
      </c>
      <c r="E225">
        <v>0</v>
      </c>
      <c r="F225">
        <v>5423</v>
      </c>
      <c r="G225">
        <f t="shared" si="13"/>
        <v>0</v>
      </c>
    </row>
    <row r="226" spans="3:11" x14ac:dyDescent="0.25">
      <c r="C226" t="s">
        <v>16</v>
      </c>
      <c r="G226">
        <f>SUM(G216:G225)</f>
        <v>379963</v>
      </c>
      <c r="H226">
        <f>G46</f>
        <v>290828.5</v>
      </c>
    </row>
    <row r="229" spans="3:11" ht="18.75" x14ac:dyDescent="0.3">
      <c r="C229" s="2" t="s">
        <v>28</v>
      </c>
    </row>
    <row r="230" spans="3:11" x14ac:dyDescent="0.25">
      <c r="C230" t="s">
        <v>20</v>
      </c>
    </row>
    <row r="231" spans="3:11" x14ac:dyDescent="0.25">
      <c r="C231" t="s">
        <v>11</v>
      </c>
      <c r="D231" t="s">
        <v>12</v>
      </c>
      <c r="E231" t="s">
        <v>13</v>
      </c>
      <c r="F231" t="s">
        <v>14</v>
      </c>
      <c r="G231" t="s">
        <v>15</v>
      </c>
    </row>
    <row r="232" spans="3:11" x14ac:dyDescent="0.25">
      <c r="C232">
        <v>4000</v>
      </c>
      <c r="D232">
        <v>5000</v>
      </c>
      <c r="E232">
        <v>74</v>
      </c>
      <c r="F232">
        <v>22</v>
      </c>
      <c r="G232">
        <f>E232*F232</f>
        <v>1628</v>
      </c>
    </row>
    <row r="233" spans="3:11" x14ac:dyDescent="0.25">
      <c r="C233">
        <v>3000</v>
      </c>
      <c r="D233">
        <v>4000</v>
      </c>
      <c r="E233">
        <v>650</v>
      </c>
      <c r="F233">
        <v>32</v>
      </c>
      <c r="G233">
        <f t="shared" ref="G233:G241" si="14">E233*F233</f>
        <v>20800</v>
      </c>
    </row>
    <row r="234" spans="3:11" x14ac:dyDescent="0.25">
      <c r="C234">
        <v>2380</v>
      </c>
      <c r="D234">
        <v>3000</v>
      </c>
      <c r="E234">
        <v>450</v>
      </c>
      <c r="F234">
        <v>47</v>
      </c>
      <c r="G234">
        <f t="shared" si="14"/>
        <v>21150</v>
      </c>
    </row>
    <row r="235" spans="3:11" x14ac:dyDescent="0.25">
      <c r="C235">
        <v>2000</v>
      </c>
      <c r="D235">
        <v>2380</v>
      </c>
      <c r="E235">
        <v>300</v>
      </c>
      <c r="F235">
        <v>95</v>
      </c>
      <c r="G235">
        <f t="shared" si="14"/>
        <v>28500</v>
      </c>
    </row>
    <row r="236" spans="3:11" x14ac:dyDescent="0.25">
      <c r="C236">
        <v>1800</v>
      </c>
      <c r="D236">
        <v>2000</v>
      </c>
      <c r="E236">
        <v>195</v>
      </c>
      <c r="F236">
        <v>173</v>
      </c>
      <c r="G236">
        <f t="shared" si="14"/>
        <v>33735</v>
      </c>
      <c r="I236">
        <f>SUM(G232:G236)</f>
        <v>105813</v>
      </c>
      <c r="J236">
        <f>(C233*G233+C234*G234+C235*G235+C236*G236+C237*G237+C238*G238+C239*G239+C240*G240+C241*G241)/G242</f>
        <v>1222.5765469842122</v>
      </c>
      <c r="K236">
        <f>(C233*G233+C234*G234+C235*G235+C236*G236)/SUM(G233:G236)</f>
        <v>2212.0266833037385</v>
      </c>
    </row>
    <row r="237" spans="3:11" x14ac:dyDescent="0.25">
      <c r="C237">
        <v>1320</v>
      </c>
      <c r="D237">
        <v>1800</v>
      </c>
      <c r="E237">
        <v>72</v>
      </c>
      <c r="F237">
        <v>290</v>
      </c>
      <c r="G237">
        <f t="shared" si="14"/>
        <v>20880</v>
      </c>
    </row>
    <row r="238" spans="3:11" x14ac:dyDescent="0.25">
      <c r="C238">
        <v>1000</v>
      </c>
      <c r="D238">
        <v>1320</v>
      </c>
      <c r="E238">
        <v>88</v>
      </c>
      <c r="F238">
        <v>846</v>
      </c>
      <c r="G238">
        <f t="shared" si="14"/>
        <v>74448</v>
      </c>
    </row>
    <row r="239" spans="3:11" x14ac:dyDescent="0.25">
      <c r="C239">
        <v>710</v>
      </c>
      <c r="D239">
        <v>1000</v>
      </c>
      <c r="E239">
        <v>44</v>
      </c>
      <c r="F239">
        <v>2000</v>
      </c>
      <c r="G239">
        <f t="shared" si="14"/>
        <v>88000</v>
      </c>
    </row>
    <row r="240" spans="3:11" x14ac:dyDescent="0.25">
      <c r="C240">
        <v>450</v>
      </c>
      <c r="D240">
        <v>710</v>
      </c>
      <c r="E240">
        <v>15</v>
      </c>
      <c r="F240">
        <v>3577</v>
      </c>
      <c r="G240">
        <f t="shared" si="14"/>
        <v>53655</v>
      </c>
    </row>
    <row r="241" spans="3:11" x14ac:dyDescent="0.25">
      <c r="C241">
        <v>315</v>
      </c>
      <c r="D241">
        <v>450</v>
      </c>
      <c r="E241">
        <v>0</v>
      </c>
      <c r="F241">
        <v>5423</v>
      </c>
      <c r="G241">
        <f t="shared" si="14"/>
        <v>0</v>
      </c>
    </row>
    <row r="242" spans="3:11" x14ac:dyDescent="0.25">
      <c r="C242" t="s">
        <v>16</v>
      </c>
      <c r="G242">
        <f>SUM(G232:G241)</f>
        <v>342796</v>
      </c>
      <c r="H242">
        <f>G56</f>
        <v>286912</v>
      </c>
    </row>
    <row r="244" spans="3:11" x14ac:dyDescent="0.25">
      <c r="C244" t="s">
        <v>21</v>
      </c>
    </row>
    <row r="245" spans="3:11" x14ac:dyDescent="0.25">
      <c r="C245" t="s">
        <v>11</v>
      </c>
      <c r="D245" t="s">
        <v>12</v>
      </c>
      <c r="E245" t="s">
        <v>13</v>
      </c>
      <c r="F245" t="s">
        <v>14</v>
      </c>
      <c r="G245" t="s">
        <v>15</v>
      </c>
    </row>
    <row r="246" spans="3:11" x14ac:dyDescent="0.25">
      <c r="C246">
        <v>4000</v>
      </c>
      <c r="D246">
        <v>5000</v>
      </c>
      <c r="E246">
        <v>170</v>
      </c>
      <c r="F246">
        <v>22</v>
      </c>
      <c r="G246">
        <f>E246*F246</f>
        <v>3740</v>
      </c>
    </row>
    <row r="247" spans="3:11" x14ac:dyDescent="0.25">
      <c r="C247">
        <v>3000</v>
      </c>
      <c r="D247">
        <v>4000</v>
      </c>
      <c r="E247">
        <v>650</v>
      </c>
      <c r="F247">
        <v>32</v>
      </c>
      <c r="G247">
        <f t="shared" ref="G247:G255" si="15">E247*F247</f>
        <v>20800</v>
      </c>
    </row>
    <row r="248" spans="3:11" x14ac:dyDescent="0.25">
      <c r="C248">
        <v>2380</v>
      </c>
      <c r="D248">
        <v>3000</v>
      </c>
      <c r="E248">
        <v>425</v>
      </c>
      <c r="F248">
        <v>47</v>
      </c>
      <c r="G248">
        <f t="shared" si="15"/>
        <v>19975</v>
      </c>
    </row>
    <row r="249" spans="3:11" x14ac:dyDescent="0.25">
      <c r="C249">
        <v>2000</v>
      </c>
      <c r="D249">
        <v>2380</v>
      </c>
      <c r="E249">
        <v>94</v>
      </c>
      <c r="F249">
        <v>95</v>
      </c>
      <c r="G249">
        <f t="shared" si="15"/>
        <v>8930</v>
      </c>
    </row>
    <row r="250" spans="3:11" x14ac:dyDescent="0.25">
      <c r="C250">
        <v>1800</v>
      </c>
      <c r="D250">
        <v>2000</v>
      </c>
      <c r="E250">
        <v>150</v>
      </c>
      <c r="F250">
        <v>173</v>
      </c>
      <c r="G250">
        <f t="shared" si="15"/>
        <v>25950</v>
      </c>
      <c r="I250">
        <f>SUM(G246:G250)</f>
        <v>79395</v>
      </c>
      <c r="J250">
        <f>(C247*G247+C248*G248+C249*G249+C250*G250+C251*G251+C252*G252+C253*G253+C254*G254+C255*G255)/G256</f>
        <v>1388.4641026598326</v>
      </c>
      <c r="K250">
        <f>(C247*G247+C248*G248+C249*G249+C250*G250)/SUM(G247:G250)</f>
        <v>2306.6618201044212</v>
      </c>
    </row>
    <row r="251" spans="3:11" x14ac:dyDescent="0.25">
      <c r="C251">
        <v>1320</v>
      </c>
      <c r="D251">
        <v>1800</v>
      </c>
      <c r="E251">
        <v>42</v>
      </c>
      <c r="F251">
        <v>290</v>
      </c>
      <c r="G251">
        <f t="shared" si="15"/>
        <v>12180</v>
      </c>
    </row>
    <row r="252" spans="3:11" x14ac:dyDescent="0.25">
      <c r="C252">
        <v>1000</v>
      </c>
      <c r="D252">
        <v>1320</v>
      </c>
      <c r="E252">
        <v>37</v>
      </c>
      <c r="F252">
        <v>846</v>
      </c>
      <c r="G252">
        <f t="shared" si="15"/>
        <v>31302</v>
      </c>
    </row>
    <row r="253" spans="3:11" x14ac:dyDescent="0.25">
      <c r="C253">
        <v>710</v>
      </c>
      <c r="D253">
        <v>1000</v>
      </c>
      <c r="E253">
        <v>18</v>
      </c>
      <c r="F253">
        <v>2000</v>
      </c>
      <c r="G253">
        <f t="shared" si="15"/>
        <v>36000</v>
      </c>
    </row>
    <row r="254" spans="3:11" x14ac:dyDescent="0.25">
      <c r="C254">
        <v>450</v>
      </c>
      <c r="D254">
        <v>710</v>
      </c>
      <c r="E254">
        <v>8</v>
      </c>
      <c r="F254">
        <v>3577</v>
      </c>
      <c r="G254">
        <f t="shared" si="15"/>
        <v>28616</v>
      </c>
    </row>
    <row r="255" spans="3:11" x14ac:dyDescent="0.25">
      <c r="C255">
        <v>315</v>
      </c>
      <c r="D255">
        <v>450</v>
      </c>
      <c r="E255">
        <v>0</v>
      </c>
      <c r="F255">
        <v>5423</v>
      </c>
      <c r="G255">
        <f t="shared" si="15"/>
        <v>0</v>
      </c>
    </row>
    <row r="256" spans="3:11" x14ac:dyDescent="0.25">
      <c r="C256" t="s">
        <v>16</v>
      </c>
      <c r="G256">
        <f>SUM(G246:G255)</f>
        <v>187493</v>
      </c>
      <c r="H256">
        <f>G65</f>
        <v>224365</v>
      </c>
    </row>
    <row r="259" spans="3:11" x14ac:dyDescent="0.25">
      <c r="C259" t="s">
        <v>22</v>
      </c>
    </row>
    <row r="260" spans="3:11" x14ac:dyDescent="0.25">
      <c r="C260" t="s">
        <v>11</v>
      </c>
      <c r="D260" t="s">
        <v>12</v>
      </c>
      <c r="E260" t="s">
        <v>13</v>
      </c>
      <c r="F260" t="s">
        <v>14</v>
      </c>
      <c r="G260" t="s">
        <v>15</v>
      </c>
    </row>
    <row r="261" spans="3:11" x14ac:dyDescent="0.25">
      <c r="C261">
        <v>4000</v>
      </c>
      <c r="D261">
        <v>5000</v>
      </c>
      <c r="E261">
        <v>360</v>
      </c>
      <c r="F261">
        <v>22</v>
      </c>
      <c r="G261">
        <f>E261*F261</f>
        <v>7920</v>
      </c>
    </row>
    <row r="262" spans="3:11" x14ac:dyDescent="0.25">
      <c r="C262">
        <v>3000</v>
      </c>
      <c r="D262">
        <v>4000</v>
      </c>
      <c r="E262">
        <v>650</v>
      </c>
      <c r="F262">
        <v>32</v>
      </c>
      <c r="G262">
        <f t="shared" ref="G262:G270" si="16">E262*F262</f>
        <v>20800</v>
      </c>
    </row>
    <row r="263" spans="3:11" x14ac:dyDescent="0.25">
      <c r="C263">
        <v>2380</v>
      </c>
      <c r="D263">
        <v>3000</v>
      </c>
      <c r="E263">
        <v>420</v>
      </c>
      <c r="F263">
        <v>47</v>
      </c>
      <c r="G263">
        <f t="shared" si="16"/>
        <v>19740</v>
      </c>
    </row>
    <row r="264" spans="3:11" x14ac:dyDescent="0.25">
      <c r="C264">
        <v>2000</v>
      </c>
      <c r="D264">
        <v>2380</v>
      </c>
      <c r="E264">
        <v>100</v>
      </c>
      <c r="F264">
        <v>95</v>
      </c>
      <c r="G264">
        <f t="shared" si="16"/>
        <v>9500</v>
      </c>
    </row>
    <row r="265" spans="3:11" x14ac:dyDescent="0.25">
      <c r="C265">
        <v>1800</v>
      </c>
      <c r="D265">
        <v>2000</v>
      </c>
      <c r="E265">
        <v>260</v>
      </c>
      <c r="F265">
        <v>173</v>
      </c>
      <c r="G265">
        <f t="shared" si="16"/>
        <v>44980</v>
      </c>
      <c r="I265">
        <f>SUM(G261:G265)</f>
        <v>102940</v>
      </c>
      <c r="J265">
        <f>(C262*G262+C263*G263+C264*G264+C265*G265+C266*G266+C267*G267+C268*G268+C269*G269+C270*G270)/G271</f>
        <v>1187.8417098095156</v>
      </c>
      <c r="K265">
        <f>(C262*G262+C263*G263+C264*G264+C265*G265)/SUM(G262:G265)</f>
        <v>2203.1698589770576</v>
      </c>
    </row>
    <row r="266" spans="3:11" x14ac:dyDescent="0.25">
      <c r="C266">
        <v>1320</v>
      </c>
      <c r="D266">
        <v>1800</v>
      </c>
      <c r="E266">
        <v>76</v>
      </c>
      <c r="F266">
        <v>290</v>
      </c>
      <c r="G266">
        <f t="shared" si="16"/>
        <v>22040</v>
      </c>
    </row>
    <row r="267" spans="3:11" x14ac:dyDescent="0.25">
      <c r="C267">
        <v>1000</v>
      </c>
      <c r="D267">
        <v>1320</v>
      </c>
      <c r="E267">
        <v>84</v>
      </c>
      <c r="F267">
        <v>846</v>
      </c>
      <c r="G267">
        <f t="shared" si="16"/>
        <v>71064</v>
      </c>
    </row>
    <row r="268" spans="3:11" x14ac:dyDescent="0.25">
      <c r="C268">
        <v>710</v>
      </c>
      <c r="D268">
        <v>1000</v>
      </c>
      <c r="E268">
        <v>36</v>
      </c>
      <c r="F268">
        <v>2000</v>
      </c>
      <c r="G268">
        <f t="shared" si="16"/>
        <v>72000</v>
      </c>
    </row>
    <row r="269" spans="3:11" x14ac:dyDescent="0.25">
      <c r="C269">
        <v>450</v>
      </c>
      <c r="D269">
        <v>710</v>
      </c>
      <c r="E269">
        <v>16</v>
      </c>
      <c r="F269">
        <v>3577</v>
      </c>
      <c r="G269">
        <f t="shared" si="16"/>
        <v>57232</v>
      </c>
    </row>
    <row r="270" spans="3:11" x14ac:dyDescent="0.25">
      <c r="C270">
        <v>315</v>
      </c>
      <c r="D270">
        <v>450</v>
      </c>
      <c r="E270">
        <v>0</v>
      </c>
      <c r="F270">
        <v>5423</v>
      </c>
      <c r="G270">
        <f t="shared" si="16"/>
        <v>0</v>
      </c>
    </row>
    <row r="271" spans="3:11" x14ac:dyDescent="0.25">
      <c r="C271" t="s">
        <v>16</v>
      </c>
      <c r="G271">
        <f>SUM(G261:G270)</f>
        <v>325276</v>
      </c>
      <c r="H271">
        <f>G74</f>
        <v>308988.5</v>
      </c>
    </row>
    <row r="273" spans="3:11" x14ac:dyDescent="0.25">
      <c r="C273" t="s">
        <v>23</v>
      </c>
    </row>
    <row r="274" spans="3:11" x14ac:dyDescent="0.25">
      <c r="C274" t="s">
        <v>11</v>
      </c>
      <c r="D274" t="s">
        <v>12</v>
      </c>
      <c r="E274" t="s">
        <v>13</v>
      </c>
      <c r="F274" t="s">
        <v>14</v>
      </c>
      <c r="G274" t="s">
        <v>15</v>
      </c>
    </row>
    <row r="275" spans="3:11" x14ac:dyDescent="0.25">
      <c r="C275">
        <v>4000</v>
      </c>
      <c r="D275">
        <v>5000</v>
      </c>
      <c r="E275">
        <v>90</v>
      </c>
      <c r="F275">
        <v>22</v>
      </c>
      <c r="G275">
        <f>E275*F275</f>
        <v>1980</v>
      </c>
    </row>
    <row r="276" spans="3:11" x14ac:dyDescent="0.25">
      <c r="C276">
        <v>3000</v>
      </c>
      <c r="D276">
        <v>4000</v>
      </c>
      <c r="E276">
        <v>815</v>
      </c>
      <c r="F276">
        <v>32</v>
      </c>
      <c r="G276">
        <f t="shared" ref="G276:G284" si="17">E276*F276</f>
        <v>26080</v>
      </c>
    </row>
    <row r="277" spans="3:11" x14ac:dyDescent="0.25">
      <c r="C277">
        <v>2380</v>
      </c>
      <c r="D277">
        <v>3000</v>
      </c>
      <c r="E277">
        <v>400</v>
      </c>
      <c r="F277">
        <v>47</v>
      </c>
      <c r="G277">
        <f t="shared" si="17"/>
        <v>18800</v>
      </c>
    </row>
    <row r="278" spans="3:11" x14ac:dyDescent="0.25">
      <c r="C278">
        <v>2000</v>
      </c>
      <c r="D278">
        <v>2380</v>
      </c>
      <c r="E278">
        <v>195</v>
      </c>
      <c r="F278">
        <v>95</v>
      </c>
      <c r="G278">
        <f t="shared" si="17"/>
        <v>18525</v>
      </c>
    </row>
    <row r="279" spans="3:11" x14ac:dyDescent="0.25">
      <c r="C279">
        <v>1800</v>
      </c>
      <c r="D279">
        <v>2000</v>
      </c>
      <c r="E279">
        <v>250</v>
      </c>
      <c r="F279">
        <v>173</v>
      </c>
      <c r="G279">
        <f t="shared" si="17"/>
        <v>43250</v>
      </c>
      <c r="I279">
        <f>SUM(G275:G279)</f>
        <v>108635</v>
      </c>
      <c r="J279">
        <f>(C276*G276+C277*G277+C278*G278+C279*G279+C280*G280+C281*G281+C282*G282+C283*G283+C284*G284)/G285</f>
        <v>1270.421129807034</v>
      </c>
      <c r="K279">
        <f>(C276*G276+C277*G277+C278*G278+C279*G279)/SUM(G276:G279)</f>
        <v>2230.4064507055459</v>
      </c>
    </row>
    <row r="280" spans="3:11" x14ac:dyDescent="0.25">
      <c r="C280">
        <v>1320</v>
      </c>
      <c r="D280">
        <v>1800</v>
      </c>
      <c r="E280">
        <v>82</v>
      </c>
      <c r="F280">
        <v>290</v>
      </c>
      <c r="G280">
        <f t="shared" si="17"/>
        <v>23780</v>
      </c>
    </row>
    <row r="281" spans="3:11" x14ac:dyDescent="0.25">
      <c r="C281">
        <v>1000</v>
      </c>
      <c r="D281">
        <v>1320</v>
      </c>
      <c r="E281">
        <v>82</v>
      </c>
      <c r="F281">
        <v>846</v>
      </c>
      <c r="G281">
        <f t="shared" si="17"/>
        <v>69372</v>
      </c>
    </row>
    <row r="282" spans="3:11" x14ac:dyDescent="0.25">
      <c r="C282">
        <v>710</v>
      </c>
      <c r="D282">
        <v>1000</v>
      </c>
      <c r="E282">
        <v>42</v>
      </c>
      <c r="F282">
        <v>2000</v>
      </c>
      <c r="G282">
        <f t="shared" si="17"/>
        <v>84000</v>
      </c>
    </row>
    <row r="283" spans="3:11" x14ac:dyDescent="0.25">
      <c r="C283">
        <v>450</v>
      </c>
      <c r="D283">
        <v>710</v>
      </c>
      <c r="E283">
        <v>12</v>
      </c>
      <c r="F283">
        <v>3577</v>
      </c>
      <c r="G283">
        <f t="shared" si="17"/>
        <v>42924</v>
      </c>
    </row>
    <row r="284" spans="3:11" x14ac:dyDescent="0.25">
      <c r="C284">
        <v>315</v>
      </c>
      <c r="D284">
        <v>450</v>
      </c>
      <c r="E284">
        <v>0</v>
      </c>
      <c r="F284">
        <v>5423</v>
      </c>
      <c r="G284">
        <f t="shared" si="17"/>
        <v>0</v>
      </c>
    </row>
    <row r="285" spans="3:11" x14ac:dyDescent="0.25">
      <c r="C285" t="s">
        <v>16</v>
      </c>
      <c r="G285">
        <f>SUM(G275:G284)</f>
        <v>328711</v>
      </c>
      <c r="H285">
        <f>G83</f>
        <v>320930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4" sqref="E14"/>
    </sheetView>
  </sheetViews>
  <sheetFormatPr defaultRowHeight="15" x14ac:dyDescent="0.25"/>
  <cols>
    <col min="3" max="3" width="29" customWidth="1"/>
    <col min="4" max="4" width="9" customWidth="1"/>
  </cols>
  <sheetData>
    <row r="1" spans="1:4" x14ac:dyDescent="0.25">
      <c r="A1" t="s">
        <v>85</v>
      </c>
      <c r="B1" t="s">
        <v>86</v>
      </c>
      <c r="C1" t="s">
        <v>87</v>
      </c>
    </row>
    <row r="2" spans="1:4" x14ac:dyDescent="0.25">
      <c r="A2" t="s">
        <v>88</v>
      </c>
      <c r="B2" s="6">
        <f>148440/1000000*100</f>
        <v>14.843999999999999</v>
      </c>
      <c r="D2">
        <v>148440</v>
      </c>
    </row>
    <row r="3" spans="1:4" x14ac:dyDescent="0.25">
      <c r="A3" t="s">
        <v>89</v>
      </c>
      <c r="B3" s="6">
        <f>24290/1000000*100</f>
        <v>2.4289999999999998</v>
      </c>
      <c r="D3">
        <v>24290</v>
      </c>
    </row>
    <row r="4" spans="1:4" x14ac:dyDescent="0.25">
      <c r="A4" t="s">
        <v>90</v>
      </c>
      <c r="B4" s="6">
        <f>95480/1000000*100</f>
        <v>9.548</v>
      </c>
      <c r="D4">
        <v>95480</v>
      </c>
    </row>
    <row r="5" spans="1:4" x14ac:dyDescent="0.25">
      <c r="A5" t="s">
        <v>91</v>
      </c>
      <c r="B5" s="6">
        <f>72715/1000000*100</f>
        <v>7.2715000000000005</v>
      </c>
      <c r="D5">
        <v>72715</v>
      </c>
    </row>
    <row r="6" spans="1:4" x14ac:dyDescent="0.25">
      <c r="A6" t="s">
        <v>92</v>
      </c>
      <c r="B6" s="6">
        <f>104185/1000000*100</f>
        <v>10.4185</v>
      </c>
      <c r="D6">
        <v>104185</v>
      </c>
    </row>
    <row r="7" spans="1:4" x14ac:dyDescent="0.25">
      <c r="A7" t="s">
        <v>93</v>
      </c>
      <c r="B7" s="6">
        <f>75655/1000000*100</f>
        <v>7.5655000000000001</v>
      </c>
      <c r="D7">
        <v>75655</v>
      </c>
    </row>
    <row r="8" spans="1:4" x14ac:dyDescent="0.25">
      <c r="A8" t="s">
        <v>94</v>
      </c>
      <c r="B8" s="6">
        <f>95020/1000000*100</f>
        <v>9.5019999999999989</v>
      </c>
      <c r="D8">
        <v>95020</v>
      </c>
    </row>
    <row r="9" spans="1:4" x14ac:dyDescent="0.25">
      <c r="A9" t="s">
        <v>95</v>
      </c>
      <c r="B9" s="6">
        <f>106655/1000000*100</f>
        <v>10.6655</v>
      </c>
      <c r="D9">
        <v>106655</v>
      </c>
    </row>
    <row r="10" spans="1:4" x14ac:dyDescent="0.25">
      <c r="A10" t="s">
        <v>88</v>
      </c>
      <c r="B10" s="6">
        <v>1412.2421193036455</v>
      </c>
      <c r="C10" s="7">
        <v>2110.0801670708702</v>
      </c>
    </row>
    <row r="11" spans="1:4" x14ac:dyDescent="0.25">
      <c r="A11" t="s">
        <v>89</v>
      </c>
      <c r="B11" s="6">
        <v>838.17790996767997</v>
      </c>
      <c r="C11" s="7">
        <v>2378.5302593659944</v>
      </c>
    </row>
    <row r="12" spans="1:4" x14ac:dyDescent="0.25">
      <c r="A12" t="s">
        <v>90</v>
      </c>
      <c r="B12" s="6">
        <v>1161.7054742955474</v>
      </c>
      <c r="C12" s="7">
        <v>2008.4520318391287</v>
      </c>
    </row>
    <row r="13" spans="1:4" x14ac:dyDescent="0.25">
      <c r="A13" t="s">
        <v>91</v>
      </c>
      <c r="B13" s="6">
        <v>1113.1316123687814</v>
      </c>
      <c r="C13" s="7">
        <v>2201.2170803823146</v>
      </c>
    </row>
    <row r="14" spans="1:4" x14ac:dyDescent="0.25">
      <c r="A14" t="s">
        <v>92</v>
      </c>
      <c r="B14" s="6">
        <v>1228.4104898466444</v>
      </c>
      <c r="C14" s="7">
        <v>2212.0266833037385</v>
      </c>
    </row>
    <row r="15" spans="1:4" x14ac:dyDescent="0.25">
      <c r="A15" t="s">
        <v>93</v>
      </c>
      <c r="B15" s="6">
        <v>1416.7240806952811</v>
      </c>
      <c r="C15" s="7">
        <v>2306.6618201044212</v>
      </c>
    </row>
    <row r="16" spans="1:4" x14ac:dyDescent="0.25">
      <c r="A16" t="s">
        <v>94</v>
      </c>
      <c r="B16" s="6">
        <v>1217.485725809501</v>
      </c>
      <c r="C16" s="7">
        <v>2203.1698589770576</v>
      </c>
    </row>
    <row r="17" spans="1:3" x14ac:dyDescent="0.25">
      <c r="A17" t="s">
        <v>95</v>
      </c>
      <c r="B17" s="6">
        <v>1278.119921280809</v>
      </c>
      <c r="C17" s="7">
        <v>2230.4064507055459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N9" sqref="N9"/>
    </sheetView>
  </sheetViews>
  <sheetFormatPr defaultRowHeight="15" x14ac:dyDescent="0.25"/>
  <cols>
    <col min="2" max="2" width="20.5703125" customWidth="1"/>
    <col min="3" max="3" width="15.7109375" customWidth="1"/>
    <col min="4" max="4" width="14.85546875" customWidth="1"/>
  </cols>
  <sheetData>
    <row r="1" spans="1:10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5">
      <c r="A2" t="s">
        <v>59</v>
      </c>
      <c r="B2" s="5">
        <v>42574.299340277779</v>
      </c>
      <c r="C2">
        <v>102.37</v>
      </c>
      <c r="D2">
        <v>37084</v>
      </c>
      <c r="E2">
        <v>103.7</v>
      </c>
      <c r="F2">
        <v>8.52</v>
      </c>
      <c r="G2">
        <v>158.4</v>
      </c>
      <c r="H2">
        <v>8.1300000000000008</v>
      </c>
      <c r="I2">
        <v>28.65</v>
      </c>
      <c r="J2">
        <v>16.5</v>
      </c>
    </row>
    <row r="3" spans="1:10" x14ac:dyDescent="0.25">
      <c r="A3" t="s">
        <v>59</v>
      </c>
      <c r="B3" s="5">
        <v>42574.34101851852</v>
      </c>
      <c r="C3">
        <v>102.38</v>
      </c>
      <c r="D3">
        <v>36703</v>
      </c>
      <c r="E3">
        <v>97.8</v>
      </c>
      <c r="F3">
        <v>8.1300000000000008</v>
      </c>
      <c r="G3">
        <v>116</v>
      </c>
      <c r="H3">
        <v>8.19</v>
      </c>
      <c r="I3">
        <v>28.78</v>
      </c>
      <c r="J3">
        <v>15.8</v>
      </c>
    </row>
    <row r="4" spans="1:10" x14ac:dyDescent="0.25">
      <c r="A4" t="s">
        <v>59</v>
      </c>
      <c r="B4" s="5">
        <v>42574.382685185185</v>
      </c>
      <c r="C4">
        <v>102.41</v>
      </c>
      <c r="D4">
        <v>36516</v>
      </c>
      <c r="E4">
        <v>98.8</v>
      </c>
      <c r="F4">
        <v>8.25</v>
      </c>
      <c r="G4">
        <v>101.7</v>
      </c>
      <c r="H4">
        <v>8.18</v>
      </c>
      <c r="I4">
        <v>28.81</v>
      </c>
      <c r="J4">
        <v>15.6</v>
      </c>
    </row>
    <row r="5" spans="1:10" x14ac:dyDescent="0.25">
      <c r="A5" t="s">
        <v>59</v>
      </c>
      <c r="B5" s="5">
        <v>42574.424351851849</v>
      </c>
      <c r="C5">
        <v>102.43</v>
      </c>
      <c r="D5">
        <v>36851</v>
      </c>
      <c r="E5">
        <v>96.5</v>
      </c>
      <c r="F5">
        <v>7.99</v>
      </c>
      <c r="G5">
        <v>95</v>
      </c>
      <c r="H5">
        <v>8.19</v>
      </c>
      <c r="I5">
        <v>28.74</v>
      </c>
      <c r="J5">
        <v>16.100000000000001</v>
      </c>
    </row>
    <row r="6" spans="1:10" x14ac:dyDescent="0.25">
      <c r="A6" t="s">
        <v>59</v>
      </c>
      <c r="B6" s="5">
        <v>42574.46601851852</v>
      </c>
      <c r="C6">
        <v>102.42</v>
      </c>
      <c r="D6">
        <v>36735</v>
      </c>
      <c r="E6">
        <v>99.2</v>
      </c>
      <c r="F6">
        <v>8.24</v>
      </c>
      <c r="G6">
        <v>91.7</v>
      </c>
      <c r="H6">
        <v>8.19</v>
      </c>
      <c r="I6">
        <v>28.78</v>
      </c>
      <c r="J6">
        <v>15.9</v>
      </c>
    </row>
    <row r="7" spans="1:10" x14ac:dyDescent="0.25">
      <c r="A7" t="s">
        <v>59</v>
      </c>
      <c r="B7" s="5">
        <v>42574.507685185185</v>
      </c>
      <c r="C7">
        <v>102.4</v>
      </c>
      <c r="D7">
        <v>36697</v>
      </c>
      <c r="E7">
        <v>99.1</v>
      </c>
      <c r="F7">
        <v>8.24</v>
      </c>
      <c r="G7">
        <v>92</v>
      </c>
      <c r="H7">
        <v>8.2100000000000009</v>
      </c>
      <c r="I7">
        <v>28.82</v>
      </c>
      <c r="J7">
        <v>15.8</v>
      </c>
    </row>
    <row r="8" spans="1:10" x14ac:dyDescent="0.25">
      <c r="A8" t="s">
        <v>59</v>
      </c>
      <c r="B8" s="5">
        <v>42574.549351851849</v>
      </c>
      <c r="C8">
        <v>102.37</v>
      </c>
      <c r="D8">
        <v>36931</v>
      </c>
      <c r="E8">
        <v>99.6</v>
      </c>
      <c r="F8">
        <v>8.24</v>
      </c>
      <c r="G8">
        <v>90.3</v>
      </c>
      <c r="H8">
        <v>8.2100000000000009</v>
      </c>
      <c r="I8">
        <v>28.83</v>
      </c>
      <c r="J8">
        <v>16</v>
      </c>
    </row>
    <row r="9" spans="1:10" x14ac:dyDescent="0.25">
      <c r="A9" t="s">
        <v>59</v>
      </c>
      <c r="B9" s="5">
        <v>42574.59101851852</v>
      </c>
      <c r="C9">
        <v>102.36</v>
      </c>
      <c r="D9">
        <v>37308</v>
      </c>
      <c r="E9">
        <v>98.7</v>
      </c>
      <c r="F9">
        <v>8.1</v>
      </c>
      <c r="G9">
        <v>91</v>
      </c>
      <c r="H9">
        <v>8.2100000000000009</v>
      </c>
      <c r="I9">
        <v>28.82</v>
      </c>
      <c r="J9">
        <v>16.5</v>
      </c>
    </row>
    <row r="10" spans="1:10" x14ac:dyDescent="0.25">
      <c r="A10" t="s">
        <v>59</v>
      </c>
      <c r="B10" s="5">
        <v>42574.632685185185</v>
      </c>
      <c r="C10">
        <v>102.38</v>
      </c>
      <c r="D10">
        <v>36765</v>
      </c>
      <c r="E10">
        <v>100.3</v>
      </c>
      <c r="F10">
        <v>8.33</v>
      </c>
      <c r="G10">
        <v>91.6</v>
      </c>
      <c r="H10">
        <v>8.1999999999999993</v>
      </c>
      <c r="I10">
        <v>28.81</v>
      </c>
      <c r="J10">
        <v>15.9</v>
      </c>
    </row>
    <row r="11" spans="1:10" x14ac:dyDescent="0.25">
      <c r="A11" t="s">
        <v>59</v>
      </c>
      <c r="B11" s="5">
        <v>42574.674351851849</v>
      </c>
      <c r="C11">
        <v>102.34</v>
      </c>
      <c r="D11">
        <v>36691</v>
      </c>
      <c r="E11">
        <v>99.2</v>
      </c>
      <c r="F11">
        <v>8.26</v>
      </c>
      <c r="G11">
        <v>91.2</v>
      </c>
      <c r="H11">
        <v>8.2100000000000009</v>
      </c>
      <c r="I11">
        <v>28.86</v>
      </c>
      <c r="J11">
        <v>15.7</v>
      </c>
    </row>
    <row r="12" spans="1:10" x14ac:dyDescent="0.25">
      <c r="A12" t="s">
        <v>59</v>
      </c>
      <c r="B12" s="5">
        <v>42574.71601851852</v>
      </c>
      <c r="C12">
        <v>102.28</v>
      </c>
      <c r="D12">
        <v>36600</v>
      </c>
      <c r="E12">
        <v>97.8</v>
      </c>
      <c r="F12">
        <v>8.17</v>
      </c>
      <c r="G12">
        <v>90.8</v>
      </c>
      <c r="H12">
        <v>8.2200000000000006</v>
      </c>
      <c r="I12">
        <v>28.93</v>
      </c>
      <c r="J12">
        <v>15.5</v>
      </c>
    </row>
    <row r="13" spans="1:10" x14ac:dyDescent="0.25">
      <c r="A13" t="s">
        <v>59</v>
      </c>
      <c r="B13" s="5">
        <v>42574.757685185185</v>
      </c>
      <c r="C13">
        <v>102.23</v>
      </c>
      <c r="D13">
        <v>36944</v>
      </c>
      <c r="E13">
        <v>100.2</v>
      </c>
      <c r="F13">
        <v>8.3000000000000007</v>
      </c>
      <c r="G13">
        <v>90.8</v>
      </c>
      <c r="H13">
        <v>8.2200000000000006</v>
      </c>
      <c r="I13">
        <v>28.86</v>
      </c>
      <c r="J13">
        <v>16</v>
      </c>
    </row>
    <row r="14" spans="1:10" x14ac:dyDescent="0.25">
      <c r="A14" t="s">
        <v>59</v>
      </c>
      <c r="B14" s="5">
        <v>42574.799351851849</v>
      </c>
      <c r="C14">
        <v>102.19</v>
      </c>
      <c r="D14">
        <v>37127</v>
      </c>
      <c r="E14">
        <v>101.9</v>
      </c>
      <c r="F14">
        <v>8.39</v>
      </c>
      <c r="G14">
        <v>92.7</v>
      </c>
      <c r="H14">
        <v>8.2200000000000006</v>
      </c>
      <c r="I14">
        <v>28.83</v>
      </c>
      <c r="J14">
        <v>16.3</v>
      </c>
    </row>
    <row r="15" spans="1:10" x14ac:dyDescent="0.25">
      <c r="A15" t="s">
        <v>59</v>
      </c>
      <c r="B15" s="5">
        <v>42574.84101851852</v>
      </c>
      <c r="C15">
        <v>102.17</v>
      </c>
      <c r="D15">
        <v>36894</v>
      </c>
      <c r="E15">
        <v>98.9</v>
      </c>
      <c r="F15">
        <v>8.1999999999999993</v>
      </c>
      <c r="G15">
        <v>90</v>
      </c>
      <c r="H15">
        <v>8.2100000000000009</v>
      </c>
      <c r="I15">
        <v>28.84</v>
      </c>
      <c r="J15">
        <v>16</v>
      </c>
    </row>
    <row r="16" spans="1:10" x14ac:dyDescent="0.25">
      <c r="A16" t="s">
        <v>59</v>
      </c>
      <c r="B16" s="5">
        <v>42574.882685185185</v>
      </c>
      <c r="C16">
        <v>102.19</v>
      </c>
      <c r="D16">
        <v>36343</v>
      </c>
      <c r="E16">
        <v>98.1</v>
      </c>
      <c r="F16">
        <v>8.15</v>
      </c>
      <c r="G16">
        <v>87.2</v>
      </c>
      <c r="H16">
        <v>8.16</v>
      </c>
      <c r="I16">
        <v>28.38</v>
      </c>
      <c r="J16">
        <v>16</v>
      </c>
    </row>
    <row r="17" spans="1:10" x14ac:dyDescent="0.25">
      <c r="A17" t="s">
        <v>59</v>
      </c>
      <c r="B17" s="5">
        <v>42574.924351851849</v>
      </c>
      <c r="C17">
        <v>102.19</v>
      </c>
      <c r="D17">
        <v>36111</v>
      </c>
      <c r="E17">
        <v>97.4</v>
      </c>
      <c r="F17">
        <v>8.11</v>
      </c>
      <c r="G17">
        <v>89.5</v>
      </c>
      <c r="H17">
        <v>8.1199999999999992</v>
      </c>
      <c r="I17">
        <v>28.2</v>
      </c>
      <c r="J17">
        <v>15.9</v>
      </c>
    </row>
    <row r="18" spans="1:10" x14ac:dyDescent="0.25">
      <c r="A18" t="s">
        <v>59</v>
      </c>
      <c r="B18" s="5">
        <v>42574.96601851852</v>
      </c>
      <c r="C18">
        <v>102.17</v>
      </c>
      <c r="D18">
        <v>35858</v>
      </c>
      <c r="E18">
        <v>93.5</v>
      </c>
      <c r="F18">
        <v>7.84</v>
      </c>
      <c r="G18">
        <v>91.5</v>
      </c>
      <c r="H18">
        <v>8.09</v>
      </c>
      <c r="I18">
        <v>28.27</v>
      </c>
      <c r="J18">
        <v>15.5</v>
      </c>
    </row>
    <row r="19" spans="1:10" x14ac:dyDescent="0.25">
      <c r="A19" t="s">
        <v>59</v>
      </c>
      <c r="B19" s="5">
        <v>42575.007685185185</v>
      </c>
      <c r="C19">
        <v>102.15</v>
      </c>
      <c r="D19">
        <v>35927</v>
      </c>
      <c r="E19">
        <v>93.8</v>
      </c>
      <c r="F19">
        <v>7.89</v>
      </c>
      <c r="G19">
        <v>92.8</v>
      </c>
      <c r="H19">
        <v>8.1</v>
      </c>
      <c r="I19">
        <v>28.48</v>
      </c>
      <c r="J19">
        <v>15.3</v>
      </c>
    </row>
    <row r="20" spans="1:10" x14ac:dyDescent="0.25">
      <c r="A20" t="s">
        <v>59</v>
      </c>
      <c r="B20" s="5">
        <v>42575.049351851849</v>
      </c>
      <c r="C20">
        <v>102.11</v>
      </c>
      <c r="D20">
        <v>36011</v>
      </c>
      <c r="E20">
        <v>96.2</v>
      </c>
      <c r="F20">
        <v>8.16</v>
      </c>
      <c r="G20">
        <v>92.1</v>
      </c>
      <c r="H20">
        <v>8.19</v>
      </c>
      <c r="I20">
        <v>28.97</v>
      </c>
      <c r="J20">
        <v>14.7</v>
      </c>
    </row>
    <row r="21" spans="1:10" x14ac:dyDescent="0.25">
      <c r="A21" t="s">
        <v>59</v>
      </c>
      <c r="B21" s="5">
        <v>42575.09101851852</v>
      </c>
      <c r="C21">
        <v>102.06</v>
      </c>
      <c r="D21">
        <v>36411</v>
      </c>
      <c r="E21">
        <v>95</v>
      </c>
      <c r="F21">
        <v>7.99</v>
      </c>
      <c r="G21">
        <v>92.2</v>
      </c>
      <c r="H21">
        <v>8.1999999999999993</v>
      </c>
      <c r="I21">
        <v>29.03</v>
      </c>
      <c r="J21">
        <v>15.1</v>
      </c>
    </row>
    <row r="22" spans="1:10" x14ac:dyDescent="0.25">
      <c r="A22" t="s">
        <v>59</v>
      </c>
      <c r="B22" s="5">
        <v>42575.132685185185</v>
      </c>
      <c r="C22">
        <v>102.03</v>
      </c>
      <c r="D22">
        <v>36426</v>
      </c>
      <c r="E22">
        <v>97</v>
      </c>
      <c r="F22">
        <v>8.15</v>
      </c>
      <c r="G22">
        <v>91.9</v>
      </c>
      <c r="H22">
        <v>8.2100000000000009</v>
      </c>
      <c r="I22">
        <v>28.99</v>
      </c>
      <c r="J22">
        <v>15.2</v>
      </c>
    </row>
    <row r="23" spans="1:10" x14ac:dyDescent="0.25">
      <c r="A23" t="s">
        <v>59</v>
      </c>
      <c r="B23" s="5">
        <v>42575.174351851849</v>
      </c>
      <c r="C23">
        <v>102</v>
      </c>
      <c r="D23">
        <v>36591</v>
      </c>
      <c r="E23">
        <v>95.5</v>
      </c>
      <c r="F23">
        <v>8</v>
      </c>
      <c r="G23">
        <v>91.7</v>
      </c>
      <c r="H23">
        <v>8.2100000000000009</v>
      </c>
      <c r="I23">
        <v>29.04</v>
      </c>
      <c r="J23">
        <v>15.3</v>
      </c>
    </row>
    <row r="24" spans="1:10" x14ac:dyDescent="0.25">
      <c r="A24" t="s">
        <v>59</v>
      </c>
      <c r="B24" s="5">
        <v>42575.21601851852</v>
      </c>
      <c r="C24">
        <v>102.01</v>
      </c>
      <c r="D24">
        <v>37326</v>
      </c>
      <c r="E24">
        <v>99.9</v>
      </c>
      <c r="F24">
        <v>8.19</v>
      </c>
      <c r="G24">
        <v>91.5</v>
      </c>
      <c r="H24">
        <v>8.19</v>
      </c>
      <c r="I24">
        <v>28.79</v>
      </c>
      <c r="J24">
        <v>16.600000000000001</v>
      </c>
    </row>
    <row r="25" spans="1:10" x14ac:dyDescent="0.25">
      <c r="A25" t="s">
        <v>59</v>
      </c>
      <c r="B25" s="5">
        <v>42575.257685185185</v>
      </c>
      <c r="C25">
        <v>102</v>
      </c>
      <c r="D25">
        <v>37536</v>
      </c>
      <c r="E25">
        <v>76.8</v>
      </c>
      <c r="F25">
        <v>6.26</v>
      </c>
      <c r="G25">
        <v>100.2</v>
      </c>
      <c r="H25">
        <v>8.15</v>
      </c>
      <c r="I25">
        <v>28.78</v>
      </c>
      <c r="J25">
        <v>16.8</v>
      </c>
    </row>
    <row r="26" spans="1:10" x14ac:dyDescent="0.25">
      <c r="A26" t="s">
        <v>59</v>
      </c>
      <c r="B26" s="5">
        <v>42575.299351851849</v>
      </c>
      <c r="C26">
        <v>101.97</v>
      </c>
      <c r="D26">
        <v>37597</v>
      </c>
      <c r="E26">
        <v>72.5</v>
      </c>
      <c r="F26">
        <v>5.9</v>
      </c>
      <c r="G26">
        <v>103</v>
      </c>
      <c r="H26">
        <v>8.1300000000000008</v>
      </c>
      <c r="I26">
        <v>28.76</v>
      </c>
      <c r="J26">
        <v>16.899999999999999</v>
      </c>
    </row>
    <row r="27" spans="1:10" x14ac:dyDescent="0.25">
      <c r="A27" t="s">
        <v>59</v>
      </c>
      <c r="B27" s="5">
        <v>42575.34101851852</v>
      </c>
      <c r="C27">
        <v>101.95</v>
      </c>
      <c r="D27">
        <v>37710</v>
      </c>
      <c r="E27">
        <v>72.7</v>
      </c>
      <c r="F27">
        <v>5.9</v>
      </c>
      <c r="G27">
        <v>104.2</v>
      </c>
      <c r="H27">
        <v>8.17</v>
      </c>
      <c r="I27">
        <v>28.77</v>
      </c>
      <c r="J27">
        <v>17.100000000000001</v>
      </c>
    </row>
    <row r="28" spans="1:10" x14ac:dyDescent="0.25">
      <c r="A28" t="s">
        <v>59</v>
      </c>
      <c r="B28" s="5">
        <v>42575.382685185185</v>
      </c>
      <c r="C28">
        <v>101.96</v>
      </c>
      <c r="D28">
        <v>37011</v>
      </c>
      <c r="E28">
        <v>99</v>
      </c>
      <c r="F28">
        <v>8.17</v>
      </c>
      <c r="G28">
        <v>101.6</v>
      </c>
      <c r="H28">
        <v>8.19</v>
      </c>
      <c r="I28">
        <v>28.81</v>
      </c>
      <c r="J28">
        <v>16.2</v>
      </c>
    </row>
    <row r="29" spans="1:10" x14ac:dyDescent="0.25">
      <c r="A29" t="s">
        <v>59</v>
      </c>
      <c r="B29" s="5">
        <v>42575.424351851849</v>
      </c>
      <c r="C29">
        <v>101.9</v>
      </c>
      <c r="D29">
        <v>37039</v>
      </c>
      <c r="E29">
        <v>99.3</v>
      </c>
      <c r="F29">
        <v>8.2200000000000006</v>
      </c>
      <c r="G29">
        <v>91.9</v>
      </c>
      <c r="H29">
        <v>8.2200000000000006</v>
      </c>
      <c r="I29">
        <v>28.93</v>
      </c>
      <c r="J29">
        <v>16</v>
      </c>
    </row>
    <row r="30" spans="1:10" x14ac:dyDescent="0.25">
      <c r="A30" t="s">
        <v>59</v>
      </c>
      <c r="B30" s="5">
        <v>42575.46601851852</v>
      </c>
      <c r="C30">
        <v>101.87</v>
      </c>
      <c r="D30">
        <v>37267</v>
      </c>
      <c r="E30">
        <v>97.2</v>
      </c>
      <c r="F30">
        <v>8.01</v>
      </c>
      <c r="G30">
        <v>86.8</v>
      </c>
      <c r="H30">
        <v>8.24</v>
      </c>
      <c r="I30">
        <v>28.99</v>
      </c>
      <c r="J30">
        <v>16.2</v>
      </c>
    </row>
    <row r="31" spans="1:10" x14ac:dyDescent="0.25">
      <c r="A31" t="s">
        <v>59</v>
      </c>
      <c r="B31" s="5">
        <v>42575.507685185185</v>
      </c>
      <c r="C31">
        <v>101.83</v>
      </c>
      <c r="D31">
        <v>37474</v>
      </c>
      <c r="E31">
        <v>98.5</v>
      </c>
      <c r="F31">
        <v>8.08</v>
      </c>
      <c r="G31">
        <v>82.6</v>
      </c>
      <c r="H31">
        <v>8.25</v>
      </c>
      <c r="I31">
        <v>29.01</v>
      </c>
      <c r="J31">
        <v>16.399999999999999</v>
      </c>
    </row>
    <row r="32" spans="1:10" x14ac:dyDescent="0.25">
      <c r="A32" t="s">
        <v>59</v>
      </c>
      <c r="B32" s="5">
        <v>42575.549351851849</v>
      </c>
      <c r="C32">
        <v>101.77</v>
      </c>
      <c r="D32">
        <v>37488</v>
      </c>
      <c r="E32">
        <v>98.3</v>
      </c>
      <c r="F32">
        <v>8.07</v>
      </c>
      <c r="G32">
        <v>76.599999999999994</v>
      </c>
      <c r="H32">
        <v>8.26</v>
      </c>
      <c r="I32">
        <v>29.04</v>
      </c>
      <c r="J32">
        <v>16.399999999999999</v>
      </c>
    </row>
    <row r="33" spans="1:10" x14ac:dyDescent="0.25">
      <c r="A33" t="s">
        <v>59</v>
      </c>
      <c r="B33" s="5">
        <v>42575.59101851852</v>
      </c>
      <c r="C33">
        <v>101.73</v>
      </c>
      <c r="D33">
        <v>37467</v>
      </c>
      <c r="E33">
        <v>97.6</v>
      </c>
      <c r="F33">
        <v>8.01</v>
      </c>
      <c r="G33">
        <v>72.8</v>
      </c>
      <c r="H33">
        <v>8.27</v>
      </c>
      <c r="I33">
        <v>29.08</v>
      </c>
      <c r="J33">
        <v>16.3</v>
      </c>
    </row>
    <row r="34" spans="1:10" x14ac:dyDescent="0.25">
      <c r="A34" t="s">
        <v>59</v>
      </c>
      <c r="B34" s="5">
        <v>42575.632685185185</v>
      </c>
      <c r="C34">
        <v>101.69</v>
      </c>
      <c r="D34">
        <v>37455</v>
      </c>
      <c r="E34">
        <v>99.2</v>
      </c>
      <c r="F34">
        <v>8.15</v>
      </c>
      <c r="G34">
        <v>70.400000000000006</v>
      </c>
      <c r="H34">
        <v>8.27</v>
      </c>
      <c r="I34">
        <v>29.09</v>
      </c>
      <c r="J34">
        <v>16.3</v>
      </c>
    </row>
    <row r="35" spans="1:10" x14ac:dyDescent="0.25">
      <c r="A35" t="s">
        <v>59</v>
      </c>
      <c r="B35" s="5">
        <v>42575.674351851849</v>
      </c>
      <c r="C35">
        <v>101.62</v>
      </c>
      <c r="D35">
        <v>37466</v>
      </c>
      <c r="E35">
        <v>98.6</v>
      </c>
      <c r="F35">
        <v>8.09</v>
      </c>
      <c r="G35">
        <v>70.099999999999994</v>
      </c>
      <c r="H35">
        <v>8.35</v>
      </c>
      <c r="I35">
        <v>29.02</v>
      </c>
      <c r="J35">
        <v>16.399999999999999</v>
      </c>
    </row>
    <row r="36" spans="1:10" x14ac:dyDescent="0.25">
      <c r="A36" t="s">
        <v>59</v>
      </c>
      <c r="B36" s="5">
        <v>42575.71601851852</v>
      </c>
      <c r="C36">
        <v>101.56</v>
      </c>
      <c r="D36">
        <v>37691</v>
      </c>
      <c r="E36">
        <v>99.2</v>
      </c>
      <c r="F36">
        <v>8.08</v>
      </c>
      <c r="G36">
        <v>75.3</v>
      </c>
      <c r="H36">
        <v>8.2899999999999991</v>
      </c>
      <c r="I36">
        <v>28.94</v>
      </c>
      <c r="J36">
        <v>16.8</v>
      </c>
    </row>
    <row r="37" spans="1:10" x14ac:dyDescent="0.25">
      <c r="A37" t="s">
        <v>59</v>
      </c>
      <c r="B37" s="5">
        <v>42575.757685185185</v>
      </c>
      <c r="C37">
        <v>101.51</v>
      </c>
      <c r="D37">
        <v>37714</v>
      </c>
      <c r="E37">
        <v>100.7</v>
      </c>
      <c r="F37">
        <v>8.19</v>
      </c>
      <c r="G37">
        <v>80.099999999999994</v>
      </c>
      <c r="H37">
        <v>8.27</v>
      </c>
      <c r="I37">
        <v>28.89</v>
      </c>
      <c r="J37">
        <v>16.899999999999999</v>
      </c>
    </row>
    <row r="38" spans="1:10" x14ac:dyDescent="0.25">
      <c r="A38" t="s">
        <v>59</v>
      </c>
      <c r="B38" s="5">
        <v>42575.799351851849</v>
      </c>
      <c r="C38">
        <v>101.5</v>
      </c>
      <c r="D38">
        <v>38406</v>
      </c>
      <c r="E38">
        <v>99.1</v>
      </c>
      <c r="F38">
        <v>7.92</v>
      </c>
      <c r="G38">
        <v>88.2</v>
      </c>
      <c r="H38">
        <v>8.25</v>
      </c>
      <c r="I38">
        <v>28.76</v>
      </c>
      <c r="J38">
        <v>17.899999999999999</v>
      </c>
    </row>
    <row r="39" spans="1:10" x14ac:dyDescent="0.25">
      <c r="A39" t="s">
        <v>59</v>
      </c>
      <c r="B39" s="5">
        <v>42575.84101851852</v>
      </c>
      <c r="C39">
        <v>101.51</v>
      </c>
      <c r="D39">
        <v>38477</v>
      </c>
      <c r="E39">
        <v>97.9</v>
      </c>
      <c r="F39">
        <v>7.81</v>
      </c>
      <c r="G39">
        <v>93.3</v>
      </c>
      <c r="H39">
        <v>8.24</v>
      </c>
      <c r="I39">
        <v>28.78</v>
      </c>
      <c r="J39">
        <v>18</v>
      </c>
    </row>
    <row r="40" spans="1:10" x14ac:dyDescent="0.25">
      <c r="A40" t="s">
        <v>59</v>
      </c>
      <c r="B40" s="5">
        <v>42575.882685185185</v>
      </c>
      <c r="C40">
        <v>101.53</v>
      </c>
      <c r="D40">
        <v>37267</v>
      </c>
      <c r="E40">
        <v>100.3</v>
      </c>
      <c r="F40">
        <v>8.24</v>
      </c>
      <c r="G40">
        <v>95.3</v>
      </c>
      <c r="H40">
        <v>8.23</v>
      </c>
      <c r="I40">
        <v>28.9</v>
      </c>
      <c r="J40">
        <v>16.3</v>
      </c>
    </row>
    <row r="41" spans="1:10" x14ac:dyDescent="0.25">
      <c r="A41" t="s">
        <v>59</v>
      </c>
      <c r="B41" s="5">
        <v>42575.924351851849</v>
      </c>
      <c r="C41">
        <v>101.58</v>
      </c>
      <c r="D41">
        <v>37688</v>
      </c>
      <c r="E41">
        <v>96.5</v>
      </c>
      <c r="F41">
        <v>7.85</v>
      </c>
      <c r="G41">
        <v>96.3</v>
      </c>
      <c r="H41">
        <v>8.23</v>
      </c>
      <c r="I41">
        <v>28.84</v>
      </c>
      <c r="J41">
        <v>16.899999999999999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K39" sqref="K39"/>
    </sheetView>
  </sheetViews>
  <sheetFormatPr defaultRowHeight="15" x14ac:dyDescent="0.25"/>
  <cols>
    <col min="3" max="3" width="18.85546875" customWidth="1"/>
  </cols>
  <sheetData>
    <row r="1" spans="1:5" x14ac:dyDescent="0.25">
      <c r="A1" t="s">
        <v>84</v>
      </c>
      <c r="B1" t="s">
        <v>70</v>
      </c>
      <c r="C1" t="s">
        <v>1</v>
      </c>
      <c r="D1" t="s">
        <v>71</v>
      </c>
      <c r="E1" t="s">
        <v>72</v>
      </c>
    </row>
    <row r="2" spans="1:5" x14ac:dyDescent="0.25">
      <c r="A2">
        <v>1</v>
      </c>
      <c r="B2">
        <v>1</v>
      </c>
      <c r="C2" s="1">
        <v>42559</v>
      </c>
      <c r="D2" t="s">
        <v>73</v>
      </c>
      <c r="E2" t="s">
        <v>74</v>
      </c>
    </row>
    <row r="3" spans="1:5" x14ac:dyDescent="0.25">
      <c r="A3">
        <v>2</v>
      </c>
      <c r="B3">
        <v>3</v>
      </c>
      <c r="C3" s="1">
        <v>42561</v>
      </c>
      <c r="D3">
        <v>1</v>
      </c>
      <c r="E3" t="s">
        <v>29</v>
      </c>
    </row>
    <row r="4" spans="1:5" x14ac:dyDescent="0.25">
      <c r="A4">
        <v>3</v>
      </c>
      <c r="B4">
        <v>3</v>
      </c>
      <c r="C4" s="1">
        <v>42561</v>
      </c>
      <c r="D4">
        <v>2</v>
      </c>
      <c r="E4" t="s">
        <v>29</v>
      </c>
    </row>
    <row r="5" spans="1:5" x14ac:dyDescent="0.25">
      <c r="A5">
        <v>4</v>
      </c>
      <c r="B5">
        <v>3</v>
      </c>
      <c r="C5" s="1">
        <v>42561</v>
      </c>
      <c r="D5">
        <v>3</v>
      </c>
      <c r="E5" t="s">
        <v>29</v>
      </c>
    </row>
    <row r="6" spans="1:5" x14ac:dyDescent="0.25">
      <c r="A6">
        <v>5</v>
      </c>
      <c r="B6">
        <v>3</v>
      </c>
      <c r="C6" s="1">
        <v>42561</v>
      </c>
      <c r="D6">
        <v>4</v>
      </c>
      <c r="E6" t="s">
        <v>29</v>
      </c>
    </row>
    <row r="7" spans="1:5" x14ac:dyDescent="0.25">
      <c r="A7">
        <v>6</v>
      </c>
      <c r="B7">
        <v>3</v>
      </c>
      <c r="C7" s="1">
        <v>42561</v>
      </c>
      <c r="D7">
        <v>7</v>
      </c>
      <c r="E7" t="s">
        <v>28</v>
      </c>
    </row>
    <row r="8" spans="1:5" x14ac:dyDescent="0.25">
      <c r="A8">
        <v>7</v>
      </c>
      <c r="B8">
        <v>3</v>
      </c>
      <c r="C8" s="1">
        <v>42561</v>
      </c>
      <c r="D8">
        <v>8</v>
      </c>
      <c r="E8" t="s">
        <v>28</v>
      </c>
    </row>
    <row r="9" spans="1:5" x14ac:dyDescent="0.25">
      <c r="A9">
        <v>8</v>
      </c>
      <c r="B9">
        <v>3</v>
      </c>
      <c r="C9" s="1">
        <v>42561</v>
      </c>
      <c r="D9">
        <v>9</v>
      </c>
      <c r="E9" t="s">
        <v>28</v>
      </c>
    </row>
    <row r="10" spans="1:5" x14ac:dyDescent="0.25">
      <c r="A10">
        <v>9</v>
      </c>
      <c r="B10">
        <v>3</v>
      </c>
      <c r="C10" s="1">
        <v>42561</v>
      </c>
      <c r="D10">
        <v>10</v>
      </c>
      <c r="E10" t="s">
        <v>28</v>
      </c>
    </row>
    <row r="11" spans="1:5" x14ac:dyDescent="0.25">
      <c r="A11">
        <v>10</v>
      </c>
      <c r="B11">
        <v>5</v>
      </c>
      <c r="C11" s="1">
        <v>42563</v>
      </c>
      <c r="D11">
        <v>1</v>
      </c>
      <c r="E11" t="s">
        <v>29</v>
      </c>
    </row>
    <row r="12" spans="1:5" x14ac:dyDescent="0.25">
      <c r="A12">
        <v>11</v>
      </c>
      <c r="B12">
        <v>5</v>
      </c>
      <c r="C12" s="1">
        <v>42563</v>
      </c>
      <c r="D12">
        <v>2</v>
      </c>
      <c r="E12" t="s">
        <v>29</v>
      </c>
    </row>
    <row r="13" spans="1:5" x14ac:dyDescent="0.25">
      <c r="A13">
        <v>12</v>
      </c>
      <c r="B13">
        <v>5</v>
      </c>
      <c r="C13" s="1">
        <v>42563</v>
      </c>
      <c r="D13">
        <v>3</v>
      </c>
      <c r="E13" t="s">
        <v>29</v>
      </c>
    </row>
    <row r="14" spans="1:5" x14ac:dyDescent="0.25">
      <c r="A14">
        <v>13</v>
      </c>
      <c r="B14">
        <v>5</v>
      </c>
      <c r="C14" s="1">
        <v>42563</v>
      </c>
      <c r="D14">
        <v>4</v>
      </c>
      <c r="E14" t="s">
        <v>29</v>
      </c>
    </row>
    <row r="15" spans="1:5" x14ac:dyDescent="0.25">
      <c r="A15">
        <v>14</v>
      </c>
      <c r="B15">
        <v>5</v>
      </c>
      <c r="C15" s="1">
        <v>42563</v>
      </c>
      <c r="D15">
        <v>7</v>
      </c>
      <c r="E15" t="s">
        <v>28</v>
      </c>
    </row>
    <row r="16" spans="1:5" x14ac:dyDescent="0.25">
      <c r="A16">
        <v>15</v>
      </c>
      <c r="B16">
        <v>5</v>
      </c>
      <c r="C16" s="1">
        <v>42563</v>
      </c>
      <c r="D16">
        <v>8</v>
      </c>
      <c r="E16" t="s">
        <v>28</v>
      </c>
    </row>
    <row r="17" spans="1:5" x14ac:dyDescent="0.25">
      <c r="A17">
        <v>16</v>
      </c>
      <c r="B17">
        <v>5</v>
      </c>
      <c r="C17" s="1">
        <v>42563</v>
      </c>
      <c r="D17">
        <v>9</v>
      </c>
      <c r="E17" t="s">
        <v>28</v>
      </c>
    </row>
    <row r="18" spans="1:5" x14ac:dyDescent="0.25">
      <c r="A18">
        <v>17</v>
      </c>
      <c r="B18">
        <v>5</v>
      </c>
      <c r="C18" s="1">
        <v>42563</v>
      </c>
      <c r="D18">
        <v>10</v>
      </c>
      <c r="E18" t="s">
        <v>28</v>
      </c>
    </row>
    <row r="19" spans="1:5" x14ac:dyDescent="0.25">
      <c r="A19">
        <v>18</v>
      </c>
      <c r="B19">
        <v>7</v>
      </c>
      <c r="C19" s="1">
        <v>42565</v>
      </c>
      <c r="D19">
        <v>1</v>
      </c>
      <c r="E19" t="s">
        <v>29</v>
      </c>
    </row>
    <row r="20" spans="1:5" x14ac:dyDescent="0.25">
      <c r="A20">
        <v>19</v>
      </c>
      <c r="B20">
        <v>7</v>
      </c>
      <c r="C20" s="1">
        <v>42565</v>
      </c>
      <c r="D20">
        <v>2</v>
      </c>
      <c r="E20" t="s">
        <v>29</v>
      </c>
    </row>
    <row r="21" spans="1:5" x14ac:dyDescent="0.25">
      <c r="A21">
        <v>20</v>
      </c>
      <c r="B21">
        <v>7</v>
      </c>
      <c r="C21" s="1">
        <v>42565</v>
      </c>
      <c r="D21">
        <v>3</v>
      </c>
      <c r="E21" t="s">
        <v>29</v>
      </c>
    </row>
    <row r="22" spans="1:5" x14ac:dyDescent="0.25">
      <c r="A22">
        <v>21</v>
      </c>
      <c r="B22">
        <v>7</v>
      </c>
      <c r="C22" s="1">
        <v>42565</v>
      </c>
      <c r="D22">
        <v>4</v>
      </c>
      <c r="E22" t="s">
        <v>29</v>
      </c>
    </row>
    <row r="23" spans="1:5" x14ac:dyDescent="0.25">
      <c r="A23">
        <v>22</v>
      </c>
      <c r="B23">
        <v>7</v>
      </c>
      <c r="C23" s="1">
        <v>42565</v>
      </c>
      <c r="D23">
        <v>7</v>
      </c>
      <c r="E23" t="s">
        <v>28</v>
      </c>
    </row>
    <row r="24" spans="1:5" x14ac:dyDescent="0.25">
      <c r="A24">
        <v>23</v>
      </c>
      <c r="B24">
        <v>7</v>
      </c>
      <c r="C24" s="1">
        <v>42565</v>
      </c>
      <c r="D24">
        <v>8</v>
      </c>
      <c r="E24" t="s">
        <v>28</v>
      </c>
    </row>
    <row r="25" spans="1:5" x14ac:dyDescent="0.25">
      <c r="A25">
        <v>24</v>
      </c>
      <c r="B25">
        <v>7</v>
      </c>
      <c r="C25" s="1">
        <v>42565</v>
      </c>
      <c r="D25">
        <v>9</v>
      </c>
      <c r="E25" t="s">
        <v>28</v>
      </c>
    </row>
    <row r="26" spans="1:5" x14ac:dyDescent="0.25">
      <c r="A26">
        <v>25</v>
      </c>
      <c r="B26">
        <v>7</v>
      </c>
      <c r="C26" s="1">
        <v>42565</v>
      </c>
      <c r="D26">
        <v>10</v>
      </c>
      <c r="E26" t="s">
        <v>28</v>
      </c>
    </row>
    <row r="27" spans="1:5" x14ac:dyDescent="0.25">
      <c r="A27">
        <v>26</v>
      </c>
      <c r="B27">
        <v>9</v>
      </c>
      <c r="C27" s="1">
        <v>42567</v>
      </c>
      <c r="D27">
        <v>1</v>
      </c>
      <c r="E27" t="s">
        <v>29</v>
      </c>
    </row>
    <row r="28" spans="1:5" x14ac:dyDescent="0.25">
      <c r="A28">
        <v>27</v>
      </c>
      <c r="B28">
        <v>9</v>
      </c>
      <c r="C28" s="1">
        <v>42567</v>
      </c>
      <c r="D28">
        <v>2</v>
      </c>
      <c r="E28" t="s">
        <v>29</v>
      </c>
    </row>
    <row r="29" spans="1:5" x14ac:dyDescent="0.25">
      <c r="A29">
        <v>28</v>
      </c>
      <c r="B29">
        <v>9</v>
      </c>
      <c r="C29" s="1">
        <v>42567</v>
      </c>
      <c r="D29">
        <v>3</v>
      </c>
      <c r="E29" t="s">
        <v>29</v>
      </c>
    </row>
    <row r="30" spans="1:5" x14ac:dyDescent="0.25">
      <c r="A30">
        <v>29</v>
      </c>
      <c r="B30">
        <v>9</v>
      </c>
      <c r="C30" s="1">
        <v>42567</v>
      </c>
      <c r="D30">
        <v>4</v>
      </c>
      <c r="E30" t="s">
        <v>29</v>
      </c>
    </row>
    <row r="31" spans="1:5" x14ac:dyDescent="0.25">
      <c r="A31">
        <v>30</v>
      </c>
      <c r="B31">
        <v>9</v>
      </c>
      <c r="C31" s="1">
        <v>42567</v>
      </c>
      <c r="D31">
        <v>7</v>
      </c>
      <c r="E31" t="s">
        <v>28</v>
      </c>
    </row>
    <row r="32" spans="1:5" x14ac:dyDescent="0.25">
      <c r="A32">
        <v>31</v>
      </c>
      <c r="B32">
        <v>9</v>
      </c>
      <c r="C32" s="1">
        <v>42567</v>
      </c>
      <c r="D32">
        <v>8</v>
      </c>
      <c r="E32" t="s">
        <v>28</v>
      </c>
    </row>
    <row r="33" spans="1:5" x14ac:dyDescent="0.25">
      <c r="A33">
        <v>32</v>
      </c>
      <c r="B33">
        <v>9</v>
      </c>
      <c r="C33" s="1">
        <v>42567</v>
      </c>
      <c r="D33">
        <v>9</v>
      </c>
      <c r="E33" t="s">
        <v>28</v>
      </c>
    </row>
    <row r="34" spans="1:5" x14ac:dyDescent="0.25">
      <c r="A34">
        <v>33</v>
      </c>
      <c r="B34">
        <v>9</v>
      </c>
      <c r="C34" s="1">
        <v>42567</v>
      </c>
      <c r="D34">
        <v>10</v>
      </c>
      <c r="E34" t="s">
        <v>28</v>
      </c>
    </row>
    <row r="35" spans="1:5" x14ac:dyDescent="0.25">
      <c r="A35">
        <v>34</v>
      </c>
      <c r="B35">
        <v>11</v>
      </c>
      <c r="C35" s="1">
        <v>42569</v>
      </c>
      <c r="D35">
        <v>1</v>
      </c>
      <c r="E35" t="s">
        <v>29</v>
      </c>
    </row>
    <row r="36" spans="1:5" x14ac:dyDescent="0.25">
      <c r="A36">
        <v>35</v>
      </c>
      <c r="B36">
        <v>11</v>
      </c>
      <c r="C36" s="1">
        <v>42569</v>
      </c>
      <c r="D36">
        <v>2</v>
      </c>
      <c r="E36" t="s">
        <v>29</v>
      </c>
    </row>
    <row r="37" spans="1:5" x14ac:dyDescent="0.25">
      <c r="A37">
        <v>36</v>
      </c>
      <c r="B37">
        <v>11</v>
      </c>
      <c r="C37" s="1">
        <v>42569</v>
      </c>
      <c r="D37">
        <v>3</v>
      </c>
      <c r="E37" t="s">
        <v>29</v>
      </c>
    </row>
    <row r="38" spans="1:5" x14ac:dyDescent="0.25">
      <c r="A38">
        <v>37</v>
      </c>
      <c r="B38">
        <v>11</v>
      </c>
      <c r="C38" s="1">
        <v>42569</v>
      </c>
      <c r="D38">
        <v>4</v>
      </c>
      <c r="E38" t="s">
        <v>29</v>
      </c>
    </row>
    <row r="39" spans="1:5" x14ac:dyDescent="0.25">
      <c r="A39">
        <v>38</v>
      </c>
      <c r="B39">
        <v>11</v>
      </c>
      <c r="C39" s="1">
        <v>42569</v>
      </c>
      <c r="D39">
        <v>7</v>
      </c>
      <c r="E39" t="s">
        <v>28</v>
      </c>
    </row>
    <row r="40" spans="1:5" x14ac:dyDescent="0.25">
      <c r="A40">
        <v>39</v>
      </c>
      <c r="B40">
        <v>11</v>
      </c>
      <c r="C40" s="1">
        <v>42569</v>
      </c>
      <c r="D40">
        <v>8</v>
      </c>
      <c r="E40" t="s">
        <v>28</v>
      </c>
    </row>
    <row r="41" spans="1:5" x14ac:dyDescent="0.25">
      <c r="A41">
        <v>40</v>
      </c>
      <c r="B41">
        <v>11</v>
      </c>
      <c r="C41" s="1">
        <v>42569</v>
      </c>
      <c r="D41">
        <v>9</v>
      </c>
      <c r="E41" t="s">
        <v>28</v>
      </c>
    </row>
    <row r="42" spans="1:5" x14ac:dyDescent="0.25">
      <c r="A42">
        <v>41</v>
      </c>
      <c r="B42">
        <v>11</v>
      </c>
      <c r="C42" s="1">
        <v>42569</v>
      </c>
      <c r="D42">
        <v>10</v>
      </c>
      <c r="E42" t="s">
        <v>28</v>
      </c>
    </row>
    <row r="43" spans="1:5" x14ac:dyDescent="0.25">
      <c r="A43">
        <v>42</v>
      </c>
      <c r="B43">
        <v>13</v>
      </c>
      <c r="C43" s="1">
        <v>42571</v>
      </c>
      <c r="D43">
        <v>1</v>
      </c>
      <c r="E43" t="s">
        <v>29</v>
      </c>
    </row>
    <row r="44" spans="1:5" x14ac:dyDescent="0.25">
      <c r="A44">
        <v>43</v>
      </c>
      <c r="B44">
        <v>13</v>
      </c>
      <c r="C44" s="1">
        <v>42571</v>
      </c>
      <c r="D44">
        <v>2</v>
      </c>
      <c r="E44" t="s">
        <v>29</v>
      </c>
    </row>
    <row r="45" spans="1:5" x14ac:dyDescent="0.25">
      <c r="A45">
        <v>44</v>
      </c>
      <c r="B45">
        <v>13</v>
      </c>
      <c r="C45" s="1">
        <v>42571</v>
      </c>
      <c r="D45">
        <v>3</v>
      </c>
      <c r="E45" t="s">
        <v>29</v>
      </c>
    </row>
    <row r="46" spans="1:5" x14ac:dyDescent="0.25">
      <c r="A46">
        <v>45</v>
      </c>
      <c r="B46">
        <v>13</v>
      </c>
      <c r="C46" s="1">
        <v>42571</v>
      </c>
      <c r="D46">
        <v>4</v>
      </c>
      <c r="E46" t="s">
        <v>29</v>
      </c>
    </row>
    <row r="47" spans="1:5" x14ac:dyDescent="0.25">
      <c r="A47">
        <v>46</v>
      </c>
      <c r="B47">
        <v>13</v>
      </c>
      <c r="C47" s="1">
        <v>42571</v>
      </c>
      <c r="D47">
        <v>7</v>
      </c>
      <c r="E47" t="s">
        <v>28</v>
      </c>
    </row>
    <row r="48" spans="1:5" x14ac:dyDescent="0.25">
      <c r="A48">
        <v>47</v>
      </c>
      <c r="B48">
        <v>13</v>
      </c>
      <c r="C48" s="1">
        <v>42571</v>
      </c>
      <c r="D48">
        <v>8</v>
      </c>
      <c r="E48" t="s">
        <v>28</v>
      </c>
    </row>
    <row r="49" spans="1:5" x14ac:dyDescent="0.25">
      <c r="A49">
        <v>48</v>
      </c>
      <c r="B49">
        <v>13</v>
      </c>
      <c r="C49" s="1">
        <v>42571</v>
      </c>
      <c r="D49">
        <v>9</v>
      </c>
      <c r="E49" t="s">
        <v>28</v>
      </c>
    </row>
    <row r="50" spans="1:5" x14ac:dyDescent="0.25">
      <c r="A50">
        <v>49</v>
      </c>
      <c r="B50">
        <v>13</v>
      </c>
      <c r="C50" s="1">
        <v>42571</v>
      </c>
      <c r="D50">
        <v>10</v>
      </c>
      <c r="E50" t="s">
        <v>28</v>
      </c>
    </row>
    <row r="51" spans="1:5" x14ac:dyDescent="0.25">
      <c r="A51">
        <v>50</v>
      </c>
      <c r="B51">
        <v>15</v>
      </c>
      <c r="C51" s="1">
        <v>42573</v>
      </c>
      <c r="D51">
        <v>1</v>
      </c>
      <c r="E51" t="s">
        <v>29</v>
      </c>
    </row>
    <row r="52" spans="1:5" x14ac:dyDescent="0.25">
      <c r="A52">
        <v>51</v>
      </c>
      <c r="B52">
        <v>15</v>
      </c>
      <c r="C52" s="1">
        <v>42573</v>
      </c>
      <c r="D52">
        <v>2</v>
      </c>
      <c r="E52" t="s">
        <v>29</v>
      </c>
    </row>
    <row r="53" spans="1:5" x14ac:dyDescent="0.25">
      <c r="A53">
        <v>52</v>
      </c>
      <c r="B53">
        <v>15</v>
      </c>
      <c r="C53" s="1">
        <v>42573</v>
      </c>
      <c r="D53">
        <v>3</v>
      </c>
      <c r="E53" t="s">
        <v>29</v>
      </c>
    </row>
    <row r="54" spans="1:5" x14ac:dyDescent="0.25">
      <c r="A54">
        <v>53</v>
      </c>
      <c r="B54">
        <v>15</v>
      </c>
      <c r="C54" s="1">
        <v>42573</v>
      </c>
      <c r="D54">
        <v>4</v>
      </c>
      <c r="E54" t="s">
        <v>29</v>
      </c>
    </row>
    <row r="55" spans="1:5" x14ac:dyDescent="0.25">
      <c r="A55">
        <v>54</v>
      </c>
      <c r="B55">
        <v>15</v>
      </c>
      <c r="C55" s="1">
        <v>42573</v>
      </c>
      <c r="D55">
        <v>7</v>
      </c>
      <c r="E55" t="s">
        <v>28</v>
      </c>
    </row>
    <row r="56" spans="1:5" x14ac:dyDescent="0.25">
      <c r="A56">
        <v>55</v>
      </c>
      <c r="B56">
        <v>15</v>
      </c>
      <c r="C56" s="1">
        <v>42573</v>
      </c>
      <c r="D56">
        <v>8</v>
      </c>
      <c r="E56" t="s">
        <v>28</v>
      </c>
    </row>
    <row r="57" spans="1:5" x14ac:dyDescent="0.25">
      <c r="A57">
        <v>56</v>
      </c>
      <c r="B57">
        <v>15</v>
      </c>
      <c r="C57" s="1">
        <v>42573</v>
      </c>
      <c r="D57">
        <v>9</v>
      </c>
      <c r="E57" t="s">
        <v>28</v>
      </c>
    </row>
    <row r="58" spans="1:5" x14ac:dyDescent="0.25">
      <c r="A58">
        <v>57</v>
      </c>
      <c r="B58">
        <v>15</v>
      </c>
      <c r="C58" s="1">
        <v>42573</v>
      </c>
      <c r="D58">
        <v>10</v>
      </c>
      <c r="E58" t="s">
        <v>28</v>
      </c>
    </row>
    <row r="59" spans="1:5" x14ac:dyDescent="0.25">
      <c r="A59">
        <v>58</v>
      </c>
      <c r="B59">
        <v>17</v>
      </c>
      <c r="C59" s="1">
        <v>42575</v>
      </c>
      <c r="D59">
        <v>1</v>
      </c>
      <c r="E59" t="s">
        <v>29</v>
      </c>
    </row>
    <row r="60" spans="1:5" x14ac:dyDescent="0.25">
      <c r="A60">
        <v>59</v>
      </c>
      <c r="B60">
        <v>17</v>
      </c>
      <c r="C60" s="1">
        <v>42575</v>
      </c>
      <c r="D60">
        <v>2</v>
      </c>
      <c r="E60" t="s">
        <v>29</v>
      </c>
    </row>
    <row r="61" spans="1:5" x14ac:dyDescent="0.25">
      <c r="A61">
        <v>60</v>
      </c>
      <c r="B61">
        <v>17</v>
      </c>
      <c r="C61" s="1">
        <v>42575</v>
      </c>
      <c r="D61">
        <v>3</v>
      </c>
      <c r="E61" t="s">
        <v>29</v>
      </c>
    </row>
    <row r="62" spans="1:5" x14ac:dyDescent="0.25">
      <c r="A62">
        <v>61</v>
      </c>
      <c r="B62">
        <v>17</v>
      </c>
      <c r="C62" s="1">
        <v>42575</v>
      </c>
      <c r="D62">
        <v>4</v>
      </c>
      <c r="E62" t="s">
        <v>29</v>
      </c>
    </row>
    <row r="63" spans="1:5" x14ac:dyDescent="0.25">
      <c r="A63">
        <v>62</v>
      </c>
      <c r="B63">
        <v>17</v>
      </c>
      <c r="C63" s="1">
        <v>42575</v>
      </c>
      <c r="D63">
        <v>7</v>
      </c>
      <c r="E63" t="s">
        <v>28</v>
      </c>
    </row>
    <row r="64" spans="1:5" x14ac:dyDescent="0.25">
      <c r="A64">
        <v>63</v>
      </c>
      <c r="B64">
        <v>17</v>
      </c>
      <c r="C64" s="1">
        <v>42575</v>
      </c>
      <c r="D64">
        <v>8</v>
      </c>
      <c r="E64" t="s">
        <v>28</v>
      </c>
    </row>
    <row r="65" spans="1:5" x14ac:dyDescent="0.25">
      <c r="A65">
        <v>64</v>
      </c>
      <c r="B65">
        <v>17</v>
      </c>
      <c r="C65" s="1">
        <v>42575</v>
      </c>
      <c r="D65">
        <v>9</v>
      </c>
      <c r="E65" t="s">
        <v>28</v>
      </c>
    </row>
    <row r="66" spans="1:5" x14ac:dyDescent="0.25">
      <c r="A66">
        <v>65</v>
      </c>
      <c r="B66">
        <v>17</v>
      </c>
      <c r="C66" s="1">
        <v>42575</v>
      </c>
      <c r="D66">
        <v>10</v>
      </c>
      <c r="E66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opLeftCell="A3" workbookViewId="0">
      <selection activeCell="C20" sqref="C20"/>
    </sheetView>
  </sheetViews>
  <sheetFormatPr defaultRowHeight="15" x14ac:dyDescent="0.25"/>
  <sheetData>
    <row r="2" spans="1:4" x14ac:dyDescent="0.25">
      <c r="A2" t="s">
        <v>96</v>
      </c>
      <c r="B2" t="s">
        <v>96</v>
      </c>
      <c r="C2" t="s">
        <v>96</v>
      </c>
      <c r="D2" t="s">
        <v>96</v>
      </c>
    </row>
    <row r="3" spans="1:4" x14ac:dyDescent="0.25">
      <c r="A3" t="s">
        <v>99</v>
      </c>
      <c r="B3" s="6">
        <f>288021.5/1000000*100</f>
        <v>28.802149999999997</v>
      </c>
      <c r="C3" s="9">
        <f>37595.1/1000000*100</f>
        <v>3.7595100000000001</v>
      </c>
      <c r="D3">
        <v>3.51</v>
      </c>
    </row>
    <row r="4" spans="1:4" x14ac:dyDescent="0.25">
      <c r="A4" t="s">
        <v>100</v>
      </c>
      <c r="B4" s="6">
        <f>297212.5/1000000*100</f>
        <v>29.721249999999998</v>
      </c>
      <c r="C4" s="6">
        <f>79805.6666666667/1000000*100</f>
        <v>7.9805666666666708</v>
      </c>
      <c r="D4">
        <v>2.59</v>
      </c>
    </row>
    <row r="5" spans="1:4" x14ac:dyDescent="0.25">
      <c r="A5" t="s">
        <v>101</v>
      </c>
      <c r="B5" s="6">
        <f>308988.5/1000000*100</f>
        <v>30.898849999999999</v>
      </c>
      <c r="C5" s="6">
        <f>239005.893333333/1000000*100</f>
        <v>23.900589333333301</v>
      </c>
      <c r="D5">
        <v>2.38</v>
      </c>
    </row>
    <row r="8" spans="1:4" x14ac:dyDescent="0.25">
      <c r="A8" t="s">
        <v>96</v>
      </c>
      <c r="B8" t="s">
        <v>97</v>
      </c>
      <c r="C8" t="s">
        <v>98</v>
      </c>
    </row>
    <row r="9" spans="1:4" x14ac:dyDescent="0.25">
      <c r="A9">
        <v>2</v>
      </c>
      <c r="B9">
        <f>100-28.80215</f>
        <v>71.197850000000003</v>
      </c>
      <c r="C9">
        <f>100-3.75951</f>
        <v>96.240489999999994</v>
      </c>
    </row>
    <row r="10" spans="1:4" x14ac:dyDescent="0.25">
      <c r="A10">
        <v>3</v>
      </c>
      <c r="B10">
        <f>100-29.72125</f>
        <v>70.278750000000002</v>
      </c>
      <c r="C10">
        <f>100-7.98056666666667</f>
        <v>92.019433333333325</v>
      </c>
    </row>
    <row r="11" spans="1:4" x14ac:dyDescent="0.25">
      <c r="A11">
        <v>9</v>
      </c>
      <c r="B11">
        <f>100-30.89885</f>
        <v>69.101150000000004</v>
      </c>
      <c r="C11">
        <f>100-23.9005893333333</f>
        <v>76.099410666666699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Elliott</dc:creator>
  <cp:lastModifiedBy>Rhonda</cp:lastModifiedBy>
  <dcterms:created xsi:type="dcterms:W3CDTF">2016-07-08T17:51:23Z</dcterms:created>
  <dcterms:modified xsi:type="dcterms:W3CDTF">2017-04-26T00:40:22Z</dcterms:modified>
</cp:coreProperties>
</file>