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Harvard SJD\Thesis\TIPS\"/>
    </mc:Choice>
  </mc:AlternateContent>
  <xr:revisionPtr revIDLastSave="0" documentId="13_ncr:1_{4D7F2B7C-4E98-42EA-873F-DECB278C5AB5}" xr6:coauthVersionLast="47" xr6:coauthVersionMax="47" xr10:uidLastSave="{00000000-0000-0000-0000-000000000000}"/>
  <bookViews>
    <workbookView xWindow="-108" yWindow="-108" windowWidth="23256" windowHeight="12576" xr2:uid="{00DA647F-90E3-4C81-B03E-9EAFFFE47F6F}"/>
  </bookViews>
  <sheets>
    <sheet name="5 percent" sheetId="2" r:id="rId1"/>
    <sheet name="20 perc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21" i="1"/>
  <c r="O19" i="1"/>
  <c r="N19" i="1"/>
  <c r="O17" i="1"/>
  <c r="N17" i="1"/>
  <c r="O10" i="1"/>
  <c r="O8" i="1"/>
  <c r="N8" i="1"/>
  <c r="H22" i="1"/>
  <c r="H21" i="1"/>
  <c r="H20" i="1"/>
  <c r="H19" i="1"/>
  <c r="G19" i="1"/>
  <c r="H18" i="1"/>
  <c r="G18" i="1"/>
  <c r="D20" i="1"/>
  <c r="D19" i="1"/>
  <c r="C19" i="1"/>
  <c r="D10" i="1"/>
  <c r="H11" i="1"/>
  <c r="H8" i="1"/>
  <c r="G8" i="1"/>
  <c r="G9" i="1"/>
  <c r="D9" i="1"/>
  <c r="C9" i="1"/>
  <c r="B3" i="1"/>
  <c r="H3" i="1"/>
  <c r="N18" i="2"/>
  <c r="N20" i="2" s="1"/>
  <c r="O9" i="2"/>
  <c r="O10" i="2" s="1"/>
  <c r="N9" i="2"/>
  <c r="N10" i="2" s="1"/>
  <c r="H21" i="2"/>
  <c r="G18" i="2"/>
  <c r="H18" i="2" s="1"/>
  <c r="H22" i="2" s="1"/>
  <c r="G9" i="2"/>
  <c r="H9" i="2" s="1"/>
  <c r="H12" i="2" s="1"/>
  <c r="G19" i="2"/>
  <c r="D19" i="2"/>
  <c r="C19" i="2"/>
  <c r="D20" i="2" s="1"/>
  <c r="D10" i="2"/>
  <c r="C10" i="2"/>
  <c r="D11" i="2" s="1"/>
  <c r="H5" i="2"/>
  <c r="F5" i="2"/>
  <c r="N12" i="2"/>
  <c r="S11" i="2"/>
  <c r="S12" i="2" s="1"/>
  <c r="K11" i="2"/>
  <c r="U5" i="2"/>
  <c r="U3" i="2"/>
  <c r="U2" i="2"/>
  <c r="U1" i="2"/>
  <c r="V1" i="2" s="1"/>
  <c r="O9" i="1"/>
  <c r="S10" i="1"/>
  <c r="S11" i="1" s="1"/>
  <c r="O18" i="1"/>
  <c r="N11" i="1"/>
  <c r="K10" i="1"/>
  <c r="U4" i="1"/>
  <c r="O11" i="2" l="1"/>
  <c r="O18" i="2"/>
  <c r="O20" i="2" s="1"/>
  <c r="O21" i="2" s="1"/>
  <c r="G10" i="2"/>
  <c r="H9" i="1"/>
  <c r="H23" i="1"/>
  <c r="F3" i="1"/>
  <c r="O20" i="1"/>
  <c r="O22" i="1"/>
  <c r="H10" i="1"/>
  <c r="N21" i="2"/>
  <c r="O19" i="2"/>
  <c r="O12" i="2"/>
  <c r="O14" i="2" s="1"/>
  <c r="O15" i="2" s="1"/>
  <c r="H19" i="2"/>
  <c r="H10" i="2"/>
  <c r="H11" i="2" s="1"/>
  <c r="H15" i="2" s="1"/>
  <c r="V2" i="2"/>
  <c r="D24" i="2"/>
  <c r="D15" i="2"/>
  <c r="D24" i="1"/>
  <c r="D14" i="1"/>
  <c r="O22" i="2" l="1"/>
  <c r="O24" i="2" s="1"/>
  <c r="O25" i="2" s="1"/>
  <c r="H20" i="2"/>
  <c r="N20" i="1"/>
  <c r="O24" i="1"/>
  <c r="H23" i="2"/>
  <c r="H24" i="2" s="1"/>
  <c r="J20" i="2"/>
  <c r="O23" i="2"/>
  <c r="O27" i="2" s="1"/>
  <c r="O28" i="2" s="1"/>
  <c r="H24" i="1"/>
  <c r="H14" i="1"/>
  <c r="N9" i="1"/>
  <c r="O11" i="1"/>
  <c r="J19" i="1"/>
  <c r="J23" i="2" l="1"/>
  <c r="O26" i="1"/>
  <c r="O27" i="1" s="1"/>
  <c r="O13" i="1"/>
  <c r="O14" i="1" s="1"/>
</calcChain>
</file>

<file path=xl/sharedStrings.xml><?xml version="1.0" encoding="utf-8"?>
<sst xmlns="http://schemas.openxmlformats.org/spreadsheetml/2006/main" count="127" uniqueCount="31">
  <si>
    <t>interest</t>
  </si>
  <si>
    <t>nom</t>
  </si>
  <si>
    <t>tips</t>
  </si>
  <si>
    <t>infl (annual)</t>
  </si>
  <si>
    <t>TIPS</t>
  </si>
  <si>
    <t>Half-year</t>
  </si>
  <si>
    <t>Principal</t>
  </si>
  <si>
    <t>Tax on infl</t>
  </si>
  <si>
    <t>Full year</t>
  </si>
  <si>
    <t>Int (full year)</t>
  </si>
  <si>
    <t>int HY</t>
  </si>
  <si>
    <t>Tax</t>
  </si>
  <si>
    <t>HY</t>
  </si>
  <si>
    <t>FY</t>
  </si>
  <si>
    <t>Nominal</t>
  </si>
  <si>
    <t>tax</t>
  </si>
  <si>
    <t>Int (prin)</t>
  </si>
  <si>
    <t>Comp. Int</t>
  </si>
  <si>
    <t>Total tax:</t>
  </si>
  <si>
    <t>After-tax payoff:</t>
  </si>
  <si>
    <t>Int (HY infl)</t>
  </si>
  <si>
    <t>int</t>
  </si>
  <si>
    <t>Comp. int</t>
  </si>
  <si>
    <t>Tax on comp. int infl</t>
  </si>
  <si>
    <t>Total</t>
  </si>
  <si>
    <t>Suppose: all tax is paid at year end. But it can accrue otherwise.</t>
  </si>
  <si>
    <t>Note: nom = tips_int + tips_infl + tips_int * tips_infl</t>
  </si>
  <si>
    <t>Ex:</t>
  </si>
  <si>
    <t>or: tips_int = (nom - tips_infl)/(1+tips_infl)</t>
  </si>
  <si>
    <t>* numbers do not quite match because the annual inflation is not quite 0.03 or linear</t>
  </si>
  <si>
    <t>infl 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</si>
</sst>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0" xfId="0" applyNumberFormat="1" applyBorder="1"/>
    <xf numFmtId="166" fontId="0" fillId="0" borderId="10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4" xfId="0" applyNumberFormat="1" applyBorder="1" applyAlignment="1">
      <alignment wrapText="1"/>
    </xf>
    <xf numFmtId="166" fontId="0" fillId="0" borderId="7" xfId="0" applyNumberFormat="1" applyBorder="1"/>
    <xf numFmtId="166" fontId="0" fillId="0" borderId="11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166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685B-876A-49A1-984D-69CD4A662D97}">
  <dimension ref="A1:V28"/>
  <sheetViews>
    <sheetView tabSelected="1" workbookViewId="0">
      <selection activeCell="J15" sqref="J15"/>
    </sheetView>
  </sheetViews>
  <sheetFormatPr defaultRowHeight="14.4" x14ac:dyDescent="0.3"/>
  <cols>
    <col min="6" max="6" width="10.44140625" customWidth="1"/>
  </cols>
  <sheetData>
    <row r="1" spans="1:22" x14ac:dyDescent="0.3">
      <c r="B1" t="s">
        <v>12</v>
      </c>
      <c r="U1">
        <f>100*(1+B3/2*(1-0.35))</f>
        <v>101.62500000000001</v>
      </c>
      <c r="V1">
        <f>U1*(1+B3/2*(1-0.35))</f>
        <v>103.27640625000002</v>
      </c>
    </row>
    <row r="2" spans="1:22" x14ac:dyDescent="0.3">
      <c r="B2" t="s">
        <v>0</v>
      </c>
      <c r="C2" t="s">
        <v>30</v>
      </c>
      <c r="U2">
        <f>101.5*(1+B4/2*(1-0.35))</f>
        <v>102.6375079625</v>
      </c>
      <c r="V2">
        <f>(U2*1.015)*(1+B4/2*(1-0.35)) - ((U5)-100)*0.35</f>
        <v>104.55314290752248</v>
      </c>
    </row>
    <row r="3" spans="1:22" x14ac:dyDescent="0.3">
      <c r="A3" t="s">
        <v>1</v>
      </c>
      <c r="B3">
        <v>0.05</v>
      </c>
      <c r="E3" t="s">
        <v>26</v>
      </c>
      <c r="U3">
        <f>101.5*(B4/2*(1-0.35))</f>
        <v>1.1375079625000002</v>
      </c>
    </row>
    <row r="4" spans="1:22" x14ac:dyDescent="0.3">
      <c r="A4" t="s">
        <v>2</v>
      </c>
      <c r="B4">
        <v>3.4483E-2</v>
      </c>
      <c r="C4">
        <v>1.4999999999999999E-2</v>
      </c>
      <c r="E4" t="s">
        <v>28</v>
      </c>
      <c r="M4" t="s">
        <v>25</v>
      </c>
    </row>
    <row r="5" spans="1:22" ht="15" thickBot="1" x14ac:dyDescent="0.35">
      <c r="E5" t="s">
        <v>27</v>
      </c>
      <c r="F5">
        <f>B4+C4+B4*C4</f>
        <v>5.0000244999999999E-2</v>
      </c>
      <c r="H5">
        <f>(B3-C4)/(1+C4)</f>
        <v>3.4482758620689662E-2</v>
      </c>
      <c r="U5">
        <f>101.5*(1+C4/2)</f>
        <v>102.26125</v>
      </c>
    </row>
    <row r="6" spans="1:22" ht="15" thickBot="1" x14ac:dyDescent="0.35">
      <c r="E6" t="s">
        <v>29</v>
      </c>
      <c r="M6" s="1" t="s">
        <v>14</v>
      </c>
      <c r="N6" s="2" t="s">
        <v>12</v>
      </c>
      <c r="O6" s="3" t="s">
        <v>13</v>
      </c>
    </row>
    <row r="7" spans="1:22" ht="15" thickBot="1" x14ac:dyDescent="0.35">
      <c r="B7" s="1"/>
      <c r="C7" s="2" t="s">
        <v>5</v>
      </c>
      <c r="D7" s="2" t="s">
        <v>8</v>
      </c>
      <c r="E7" s="10"/>
      <c r="F7" s="1"/>
      <c r="G7" s="2" t="s">
        <v>5</v>
      </c>
      <c r="H7" s="3" t="s">
        <v>8</v>
      </c>
      <c r="M7" s="7"/>
      <c r="N7" s="8"/>
      <c r="O7" s="9"/>
    </row>
    <row r="8" spans="1:22" x14ac:dyDescent="0.3">
      <c r="B8" s="4" t="s">
        <v>14</v>
      </c>
      <c r="C8" s="5"/>
      <c r="D8" s="5"/>
      <c r="E8" s="11"/>
      <c r="F8" s="4" t="s">
        <v>4</v>
      </c>
      <c r="G8" s="5"/>
      <c r="H8" s="6"/>
      <c r="M8" s="1" t="s">
        <v>6</v>
      </c>
      <c r="N8" s="2">
        <v>100</v>
      </c>
      <c r="O8" s="3">
        <v>100</v>
      </c>
    </row>
    <row r="9" spans="1:22" x14ac:dyDescent="0.3">
      <c r="B9" s="4" t="s">
        <v>6</v>
      </c>
      <c r="C9" s="5">
        <v>100</v>
      </c>
      <c r="D9" s="5">
        <v>100</v>
      </c>
      <c r="E9" s="11"/>
      <c r="F9" s="4" t="s">
        <v>6</v>
      </c>
      <c r="G9" s="5">
        <f>100*(1+$C$4)</f>
        <v>101.49999999999999</v>
      </c>
      <c r="H9" s="6">
        <f>G9*(1+C4)</f>
        <v>103.02249999999998</v>
      </c>
      <c r="M9" s="4" t="s">
        <v>16</v>
      </c>
      <c r="N9" s="5">
        <f>N8*B3</f>
        <v>5</v>
      </c>
      <c r="O9" s="6">
        <f>O8*B3</f>
        <v>5</v>
      </c>
    </row>
    <row r="10" spans="1:22" x14ac:dyDescent="0.3">
      <c r="B10" s="4" t="s">
        <v>21</v>
      </c>
      <c r="C10" s="5">
        <f>C9*B3</f>
        <v>5</v>
      </c>
      <c r="D10" s="5">
        <f>D9*B3</f>
        <v>5</v>
      </c>
      <c r="E10" s="11"/>
      <c r="F10" s="4" t="s">
        <v>10</v>
      </c>
      <c r="G10" s="5">
        <f>G9*B4</f>
        <v>3.5000244999999994</v>
      </c>
      <c r="H10" s="6">
        <f>G10*(H9/G9)</f>
        <v>3.552524867499999</v>
      </c>
      <c r="M10" s="4" t="s">
        <v>15</v>
      </c>
      <c r="N10" s="5">
        <f>N9*0.35</f>
        <v>1.75</v>
      </c>
      <c r="O10" s="6">
        <f>O9*0.35</f>
        <v>1.75</v>
      </c>
    </row>
    <row r="11" spans="1:22" x14ac:dyDescent="0.3">
      <c r="B11" s="4" t="s">
        <v>22</v>
      </c>
      <c r="C11" s="5"/>
      <c r="D11" s="5">
        <f>C10*B3</f>
        <v>0.25</v>
      </c>
      <c r="E11" s="11"/>
      <c r="F11" s="4" t="s">
        <v>22</v>
      </c>
      <c r="G11" s="5"/>
      <c r="H11" s="6">
        <f>H10*B4</f>
        <v>0.12250171500600246</v>
      </c>
      <c r="K11">
        <f>103-3*0.35</f>
        <v>101.95</v>
      </c>
      <c r="M11" s="4" t="s">
        <v>17</v>
      </c>
      <c r="N11" s="5">
        <v>0</v>
      </c>
      <c r="O11" s="6">
        <f>N9*B3</f>
        <v>0.25</v>
      </c>
      <c r="S11">
        <f>100*1.05</f>
        <v>105</v>
      </c>
    </row>
    <row r="12" spans="1:22" x14ac:dyDescent="0.3">
      <c r="B12" s="4"/>
      <c r="C12" s="5"/>
      <c r="D12" s="5"/>
      <c r="E12" s="11"/>
      <c r="F12" s="4" t="s">
        <v>9</v>
      </c>
      <c r="G12" s="5"/>
      <c r="H12" s="6">
        <f>H9*B4</f>
        <v>3.5525248674999994</v>
      </c>
      <c r="M12" s="4" t="s">
        <v>15</v>
      </c>
      <c r="N12" s="5">
        <f>N11*0.35</f>
        <v>0</v>
      </c>
      <c r="O12" s="6">
        <f>O11*0.35</f>
        <v>8.7499999999999994E-2</v>
      </c>
      <c r="S12">
        <f>S11*1.05</f>
        <v>110.25</v>
      </c>
    </row>
    <row r="13" spans="1:22" x14ac:dyDescent="0.3">
      <c r="B13" s="4"/>
      <c r="C13" s="5"/>
      <c r="D13" s="5"/>
      <c r="E13" s="11"/>
      <c r="F13" s="4"/>
      <c r="G13" s="5"/>
      <c r="H13" s="6"/>
      <c r="M13" s="4"/>
      <c r="N13" s="5"/>
      <c r="O13" s="6"/>
    </row>
    <row r="14" spans="1:22" x14ac:dyDescent="0.3">
      <c r="B14" s="4"/>
      <c r="C14" s="5"/>
      <c r="D14" s="5"/>
      <c r="E14" s="11"/>
      <c r="F14" s="4"/>
      <c r="G14" s="5"/>
      <c r="H14" s="6"/>
      <c r="M14" s="4" t="s">
        <v>18</v>
      </c>
      <c r="N14" s="5"/>
      <c r="O14" s="6">
        <f>N10+O10+O12</f>
        <v>3.5874999999999999</v>
      </c>
    </row>
    <row r="15" spans="1:22" ht="15" thickBot="1" x14ac:dyDescent="0.35">
      <c r="B15" s="7" t="s">
        <v>24</v>
      </c>
      <c r="C15" s="8"/>
      <c r="D15" s="8">
        <f>D10+C10+D9+D11</f>
        <v>110.25</v>
      </c>
      <c r="E15" s="12"/>
      <c r="F15" s="7" t="s">
        <v>24</v>
      </c>
      <c r="G15" s="8"/>
      <c r="H15" s="9">
        <f>H9+H10+H11+H12-H13-H14</f>
        <v>110.25005145000597</v>
      </c>
      <c r="M15" s="7" t="s">
        <v>19</v>
      </c>
      <c r="N15" s="8"/>
      <c r="O15" s="9">
        <f>O8+N9+O9+O11-O14</f>
        <v>106.66249999999999</v>
      </c>
    </row>
    <row r="16" spans="1:22" ht="15" thickBot="1" x14ac:dyDescent="0.35">
      <c r="M16" s="4"/>
      <c r="N16" s="5"/>
      <c r="O16" s="6"/>
    </row>
    <row r="17" spans="2:15" x14ac:dyDescent="0.3">
      <c r="B17" s="25" t="s">
        <v>14</v>
      </c>
      <c r="C17" s="23" t="s">
        <v>5</v>
      </c>
      <c r="D17" s="24" t="s">
        <v>8</v>
      </c>
      <c r="E17" s="10"/>
      <c r="F17" s="22" t="s">
        <v>4</v>
      </c>
      <c r="G17" s="23" t="s">
        <v>5</v>
      </c>
      <c r="H17" s="24" t="s">
        <v>8</v>
      </c>
      <c r="M17" s="4"/>
      <c r="N17" s="5" t="s">
        <v>5</v>
      </c>
      <c r="O17" s="6" t="s">
        <v>8</v>
      </c>
    </row>
    <row r="18" spans="2:15" x14ac:dyDescent="0.3">
      <c r="B18" s="4" t="s">
        <v>6</v>
      </c>
      <c r="C18" s="13">
        <v>100</v>
      </c>
      <c r="D18" s="13">
        <v>100</v>
      </c>
      <c r="E18" s="14"/>
      <c r="F18" s="15" t="s">
        <v>6</v>
      </c>
      <c r="G18" s="13">
        <f>100*(1+$C$4)</f>
        <v>101.49999999999999</v>
      </c>
      <c r="H18" s="16">
        <f>G18*(1+$C$4)</f>
        <v>103.02249999999998</v>
      </c>
      <c r="M18" s="4" t="s">
        <v>4</v>
      </c>
      <c r="N18" s="5">
        <f>100*(1+$C$4)</f>
        <v>101.49999999999999</v>
      </c>
      <c r="O18" s="6">
        <f>N18*(1+C4)</f>
        <v>103.02249999999998</v>
      </c>
    </row>
    <row r="19" spans="2:15" x14ac:dyDescent="0.3">
      <c r="B19" s="4" t="s">
        <v>21</v>
      </c>
      <c r="C19" s="13">
        <f>C18*B3*(1-0.35)</f>
        <v>3.25</v>
      </c>
      <c r="D19" s="13">
        <f>D18*(B3*(1-0.35))</f>
        <v>3.25</v>
      </c>
      <c r="E19" s="14"/>
      <c r="F19" s="15" t="s">
        <v>10</v>
      </c>
      <c r="G19" s="13">
        <f>101.5*(B4 * (1-0.35))</f>
        <v>2.2750159250000004</v>
      </c>
      <c r="H19" s="16">
        <f>G19*(H18/G18)</f>
        <v>2.3091411638750001</v>
      </c>
      <c r="M19" s="4" t="s">
        <v>11</v>
      </c>
      <c r="N19" s="5"/>
      <c r="O19" s="6">
        <f>(O18-100)*0.35</f>
        <v>1.0578749999999928</v>
      </c>
    </row>
    <row r="20" spans="2:15" x14ac:dyDescent="0.3">
      <c r="B20" s="4" t="s">
        <v>22</v>
      </c>
      <c r="C20" s="13"/>
      <c r="D20" s="13">
        <f>C19*B3*(1-0.35)</f>
        <v>0.10562500000000001</v>
      </c>
      <c r="E20" s="14"/>
      <c r="F20" s="15" t="s">
        <v>22</v>
      </c>
      <c r="G20" s="13"/>
      <c r="H20" s="16">
        <f>H19*(B4*(1-0.35))</f>
        <v>5.1756974590036066E-2</v>
      </c>
      <c r="J20">
        <f>SUM(H19:H20)-H23</f>
        <v>2.3489543048587862</v>
      </c>
      <c r="M20" s="4" t="s">
        <v>16</v>
      </c>
      <c r="N20" s="5">
        <f>N18*B4</f>
        <v>3.5000244999999994</v>
      </c>
      <c r="O20" s="6">
        <f>O18*B4</f>
        <v>3.5525248674999994</v>
      </c>
    </row>
    <row r="21" spans="2:15" x14ac:dyDescent="0.3">
      <c r="B21" s="4"/>
      <c r="C21" s="13"/>
      <c r="D21" s="13"/>
      <c r="E21" s="14"/>
      <c r="F21" s="15" t="s">
        <v>20</v>
      </c>
      <c r="G21" s="13"/>
      <c r="H21" s="16">
        <f>103*(B4*(1-0.35))</f>
        <v>2.3086368500000001</v>
      </c>
      <c r="M21" s="4" t="s">
        <v>15</v>
      </c>
      <c r="N21" s="5">
        <f>N20*0.35</f>
        <v>1.2250085749999997</v>
      </c>
      <c r="O21" s="6">
        <f>O20*0.35</f>
        <v>1.2433837036249997</v>
      </c>
    </row>
    <row r="22" spans="2:15" x14ac:dyDescent="0.3">
      <c r="B22" s="4"/>
      <c r="C22" s="13"/>
      <c r="D22" s="13"/>
      <c r="E22" s="14"/>
      <c r="F22" s="15" t="s">
        <v>7</v>
      </c>
      <c r="G22" s="13"/>
      <c r="H22" s="16">
        <f>(H18-100)*0.35</f>
        <v>1.0578749999999928</v>
      </c>
      <c r="M22" s="4" t="s">
        <v>20</v>
      </c>
      <c r="N22" s="5"/>
      <c r="O22" s="6">
        <f>N20*(O18/N18)</f>
        <v>3.552524867499999</v>
      </c>
    </row>
    <row r="23" spans="2:15" ht="43.2" x14ac:dyDescent="0.3">
      <c r="B23" s="4"/>
      <c r="C23" s="13"/>
      <c r="D23" s="13"/>
      <c r="E23" s="14"/>
      <c r="F23" s="17" t="s">
        <v>23</v>
      </c>
      <c r="G23" s="13"/>
      <c r="H23" s="16">
        <f>(H19-G19)*0.35</f>
        <v>1.1943833606249909E-2</v>
      </c>
      <c r="J23">
        <f>H19+H20-H23</f>
        <v>2.3489543048587862</v>
      </c>
      <c r="M23" s="4" t="s">
        <v>15</v>
      </c>
      <c r="N23" s="5"/>
      <c r="O23" s="6">
        <f>(O22-N20)*0.35</f>
        <v>1.8375128624999834E-2</v>
      </c>
    </row>
    <row r="24" spans="2:15" ht="15" thickBot="1" x14ac:dyDescent="0.35">
      <c r="B24" s="7" t="s">
        <v>24</v>
      </c>
      <c r="C24" s="18"/>
      <c r="D24" s="18">
        <f>D19+C19+D18+D20</f>
        <v>106.605625</v>
      </c>
      <c r="E24" s="19"/>
      <c r="F24" s="20" t="s">
        <v>24</v>
      </c>
      <c r="G24" s="18"/>
      <c r="H24" s="21">
        <f>H18+H19+H20+H21-H22-H23</f>
        <v>106.62221615485876</v>
      </c>
      <c r="M24" s="4" t="s">
        <v>17</v>
      </c>
      <c r="N24" s="5"/>
      <c r="O24" s="6">
        <f>O22*B4</f>
        <v>0.12250171500600246</v>
      </c>
    </row>
    <row r="25" spans="2:15" x14ac:dyDescent="0.3">
      <c r="M25" s="4" t="s">
        <v>15</v>
      </c>
      <c r="N25" s="5"/>
      <c r="O25" s="6">
        <f>O24*0.35</f>
        <v>4.2875600252100861E-2</v>
      </c>
    </row>
    <row r="26" spans="2:15" x14ac:dyDescent="0.3">
      <c r="M26" s="4"/>
      <c r="N26" s="5"/>
      <c r="O26" s="6"/>
    </row>
    <row r="27" spans="2:15" x14ac:dyDescent="0.3">
      <c r="M27" s="4" t="s">
        <v>18</v>
      </c>
      <c r="N27" s="5"/>
      <c r="O27" s="6">
        <f>O19+N21+O21+O23+O25</f>
        <v>3.5875180075020929</v>
      </c>
    </row>
    <row r="28" spans="2:15" ht="15" thickBot="1" x14ac:dyDescent="0.35">
      <c r="M28" s="7" t="s">
        <v>19</v>
      </c>
      <c r="N28" s="8"/>
      <c r="O28" s="9">
        <f>O18+O20+O22+O24-O27</f>
        <v>106.66253344250387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509D-46A3-4B34-9083-5EDCED2236E8}">
  <dimension ref="A1:U27"/>
  <sheetViews>
    <sheetView workbookViewId="0">
      <selection activeCell="D11" sqref="D11"/>
    </sheetView>
  </sheetViews>
  <sheetFormatPr defaultRowHeight="14.4" x14ac:dyDescent="0.3"/>
  <sheetData>
    <row r="1" spans="1:21" x14ac:dyDescent="0.3">
      <c r="B1" t="s">
        <v>0</v>
      </c>
      <c r="C1" t="s">
        <v>3</v>
      </c>
      <c r="E1" t="s">
        <v>26</v>
      </c>
    </row>
    <row r="2" spans="1:21" x14ac:dyDescent="0.3">
      <c r="A2" t="s">
        <v>1</v>
      </c>
      <c r="B2">
        <v>0.2</v>
      </c>
      <c r="E2" t="s">
        <v>28</v>
      </c>
    </row>
    <row r="3" spans="1:21" x14ac:dyDescent="0.3">
      <c r="A3" t="s">
        <v>2</v>
      </c>
      <c r="B3">
        <f>H3</f>
        <v>0.18226600985221678</v>
      </c>
      <c r="C3">
        <v>1.4999999999999999E-2</v>
      </c>
      <c r="E3" t="s">
        <v>27</v>
      </c>
      <c r="F3">
        <f>B3+C3+B3*C3</f>
        <v>0.2</v>
      </c>
      <c r="H3">
        <f>(B2-C3)/(1+C3)</f>
        <v>0.18226600985221678</v>
      </c>
      <c r="M3" t="s">
        <v>25</v>
      </c>
    </row>
    <row r="4" spans="1:21" ht="15" thickBot="1" x14ac:dyDescent="0.35">
      <c r="E4" t="s">
        <v>29</v>
      </c>
      <c r="U4">
        <f>101.5*(1+C3/2)</f>
        <v>102.26125</v>
      </c>
    </row>
    <row r="5" spans="1:21" ht="15" thickBot="1" x14ac:dyDescent="0.35">
      <c r="M5" s="1" t="s">
        <v>14</v>
      </c>
      <c r="N5" s="2" t="s">
        <v>12</v>
      </c>
      <c r="O5" s="3" t="s">
        <v>13</v>
      </c>
    </row>
    <row r="6" spans="1:21" ht="15" thickBot="1" x14ac:dyDescent="0.35">
      <c r="B6" s="1"/>
      <c r="C6" s="2" t="s">
        <v>5</v>
      </c>
      <c r="D6" s="2" t="s">
        <v>8</v>
      </c>
      <c r="E6" s="10"/>
      <c r="F6" s="1"/>
      <c r="G6" s="2" t="s">
        <v>5</v>
      </c>
      <c r="H6" s="3" t="s">
        <v>8</v>
      </c>
      <c r="M6" s="7"/>
      <c r="N6" s="8"/>
      <c r="O6" s="9"/>
    </row>
    <row r="7" spans="1:21" x14ac:dyDescent="0.3">
      <c r="B7" s="4" t="s">
        <v>14</v>
      </c>
      <c r="C7" s="5"/>
      <c r="D7" s="5"/>
      <c r="E7" s="11"/>
      <c r="F7" s="4" t="s">
        <v>4</v>
      </c>
      <c r="G7" s="5"/>
      <c r="H7" s="6"/>
      <c r="M7" s="1" t="s">
        <v>6</v>
      </c>
      <c r="N7" s="2">
        <v>100</v>
      </c>
      <c r="O7" s="3">
        <v>100</v>
      </c>
    </row>
    <row r="8" spans="1:21" x14ac:dyDescent="0.3">
      <c r="B8" s="4" t="s">
        <v>6</v>
      </c>
      <c r="C8" s="5">
        <v>100</v>
      </c>
      <c r="D8" s="5">
        <v>100</v>
      </c>
      <c r="E8" s="11"/>
      <c r="F8" s="4" t="s">
        <v>6</v>
      </c>
      <c r="G8" s="5">
        <f>100*(1+$C$3)</f>
        <v>101.49999999999999</v>
      </c>
      <c r="H8" s="6">
        <f>G8*(1+C3)</f>
        <v>103.02249999999998</v>
      </c>
      <c r="M8" s="4" t="s">
        <v>16</v>
      </c>
      <c r="N8" s="5">
        <f>N7*B2</f>
        <v>20</v>
      </c>
      <c r="O8" s="6">
        <f>O7*B2</f>
        <v>20</v>
      </c>
    </row>
    <row r="9" spans="1:21" x14ac:dyDescent="0.3">
      <c r="B9" s="4" t="s">
        <v>21</v>
      </c>
      <c r="C9" s="5">
        <f>C8*B2</f>
        <v>20</v>
      </c>
      <c r="D9" s="5">
        <f>D8*B2</f>
        <v>20</v>
      </c>
      <c r="E9" s="11"/>
      <c r="F9" s="4" t="s">
        <v>10</v>
      </c>
      <c r="G9" s="5">
        <f>G8*B3</f>
        <v>18.5</v>
      </c>
      <c r="H9" s="6">
        <f>G9*(H8/G8)</f>
        <v>18.7775</v>
      </c>
      <c r="M9" s="4" t="s">
        <v>15</v>
      </c>
      <c r="N9" s="5">
        <f>N8*0.35</f>
        <v>7</v>
      </c>
      <c r="O9" s="6">
        <f>O8*0.35</f>
        <v>7</v>
      </c>
    </row>
    <row r="10" spans="1:21" x14ac:dyDescent="0.3">
      <c r="B10" s="4" t="s">
        <v>22</v>
      </c>
      <c r="C10" s="5"/>
      <c r="D10" s="5">
        <f>C9*B2</f>
        <v>4</v>
      </c>
      <c r="E10" s="11"/>
      <c r="F10" s="4" t="s">
        <v>22</v>
      </c>
      <c r="G10" s="5"/>
      <c r="H10" s="6">
        <f>H9*B3</f>
        <v>3.4225000000000003</v>
      </c>
      <c r="K10">
        <f>103-3*0.35</f>
        <v>101.95</v>
      </c>
      <c r="M10" s="4" t="s">
        <v>17</v>
      </c>
      <c r="N10" s="5">
        <v>0</v>
      </c>
      <c r="O10" s="6">
        <f>N8*B2</f>
        <v>4</v>
      </c>
      <c r="S10">
        <f>100*1.05</f>
        <v>105</v>
      </c>
    </row>
    <row r="11" spans="1:21" x14ac:dyDescent="0.3">
      <c r="B11" s="4"/>
      <c r="C11" s="5"/>
      <c r="D11" s="5"/>
      <c r="E11" s="11"/>
      <c r="F11" s="4" t="s">
        <v>9</v>
      </c>
      <c r="G11" s="5"/>
      <c r="H11" s="6">
        <f>H8*B3</f>
        <v>18.7775</v>
      </c>
      <c r="M11" s="4" t="s">
        <v>15</v>
      </c>
      <c r="N11" s="5">
        <f>N10*0.35</f>
        <v>0</v>
      </c>
      <c r="O11" s="6">
        <f>O10*0.35</f>
        <v>1.4</v>
      </c>
      <c r="S11">
        <f>S10*1.05</f>
        <v>110.25</v>
      </c>
    </row>
    <row r="12" spans="1:21" x14ac:dyDescent="0.3">
      <c r="B12" s="4"/>
      <c r="C12" s="5"/>
      <c r="D12" s="5"/>
      <c r="E12" s="11"/>
      <c r="F12" s="4"/>
      <c r="G12" s="5"/>
      <c r="H12" s="6"/>
      <c r="M12" s="4"/>
      <c r="N12" s="5"/>
      <c r="O12" s="6"/>
    </row>
    <row r="13" spans="1:21" x14ac:dyDescent="0.3">
      <c r="B13" s="4"/>
      <c r="C13" s="5"/>
      <c r="D13" s="5"/>
      <c r="E13" s="11"/>
      <c r="F13" s="4"/>
      <c r="G13" s="5"/>
      <c r="H13" s="6"/>
      <c r="M13" s="4" t="s">
        <v>18</v>
      </c>
      <c r="N13" s="5"/>
      <c r="O13" s="6">
        <f>N9+O9+O11</f>
        <v>15.4</v>
      </c>
    </row>
    <row r="14" spans="1:21" ht="15" thickBot="1" x14ac:dyDescent="0.35">
      <c r="B14" s="7" t="s">
        <v>24</v>
      </c>
      <c r="C14" s="8"/>
      <c r="D14" s="8">
        <f>D9+C9+D8+D10</f>
        <v>144</v>
      </c>
      <c r="E14" s="12"/>
      <c r="F14" s="7" t="s">
        <v>24</v>
      </c>
      <c r="G14" s="8"/>
      <c r="H14" s="9">
        <f>H8+H9+H10+H11-H12-H13</f>
        <v>143.99999999999997</v>
      </c>
      <c r="M14" s="7" t="s">
        <v>19</v>
      </c>
      <c r="N14" s="8"/>
      <c r="O14" s="9">
        <f>O7+N8+O8+O10-O13</f>
        <v>128.6</v>
      </c>
    </row>
    <row r="15" spans="1:21" ht="15" thickBot="1" x14ac:dyDescent="0.35">
      <c r="M15" s="4"/>
      <c r="N15" s="5"/>
      <c r="O15" s="6"/>
    </row>
    <row r="16" spans="1:21" x14ac:dyDescent="0.3">
      <c r="B16" s="1"/>
      <c r="C16" s="2" t="s">
        <v>5</v>
      </c>
      <c r="D16" s="2" t="s">
        <v>8</v>
      </c>
      <c r="E16" s="10"/>
      <c r="F16" s="1"/>
      <c r="G16" s="2" t="s">
        <v>5</v>
      </c>
      <c r="H16" s="3" t="s">
        <v>8</v>
      </c>
      <c r="M16" s="4"/>
      <c r="N16" s="5" t="s">
        <v>5</v>
      </c>
      <c r="O16" s="6" t="s">
        <v>8</v>
      </c>
    </row>
    <row r="17" spans="2:15" x14ac:dyDescent="0.3">
      <c r="B17" s="4" t="s">
        <v>14</v>
      </c>
      <c r="C17" s="5"/>
      <c r="D17" s="5"/>
      <c r="E17" s="11"/>
      <c r="F17" s="4" t="s">
        <v>4</v>
      </c>
      <c r="G17" s="5"/>
      <c r="H17" s="6"/>
      <c r="M17" s="4" t="s">
        <v>4</v>
      </c>
      <c r="N17" s="5">
        <f>G8</f>
        <v>101.49999999999999</v>
      </c>
      <c r="O17" s="5">
        <f>H8</f>
        <v>103.02249999999998</v>
      </c>
    </row>
    <row r="18" spans="2:15" x14ac:dyDescent="0.3">
      <c r="B18" s="4" t="s">
        <v>6</v>
      </c>
      <c r="C18" s="5">
        <v>100</v>
      </c>
      <c r="D18" s="5">
        <v>100</v>
      </c>
      <c r="E18" s="11"/>
      <c r="F18" s="4" t="s">
        <v>6</v>
      </c>
      <c r="G18" s="5">
        <f>100*(1+$C$3)</f>
        <v>101.49999999999999</v>
      </c>
      <c r="H18" s="6">
        <f>G18*(1+C3)</f>
        <v>103.02249999999998</v>
      </c>
      <c r="M18" s="4" t="s">
        <v>11</v>
      </c>
      <c r="N18" s="5"/>
      <c r="O18" s="6">
        <f>(O17-100)*0.35</f>
        <v>1.0578749999999928</v>
      </c>
    </row>
    <row r="19" spans="2:15" x14ac:dyDescent="0.3">
      <c r="B19" s="4" t="s">
        <v>21</v>
      </c>
      <c r="C19" s="5">
        <f>C18*B2*(1-0.35)</f>
        <v>13</v>
      </c>
      <c r="D19" s="5">
        <f>D18*(B2*(1-0.35))</f>
        <v>13</v>
      </c>
      <c r="E19" s="11"/>
      <c r="F19" s="4" t="s">
        <v>10</v>
      </c>
      <c r="G19" s="5">
        <f>101.5*(B3 * (1-0.35))</f>
        <v>12.025000000000002</v>
      </c>
      <c r="H19" s="6">
        <f>G19*(H18/G18)</f>
        <v>12.205375000000002</v>
      </c>
      <c r="J19">
        <f>SUM(H19:H20)-H23</f>
        <v>13.588250000000002</v>
      </c>
      <c r="M19" s="4" t="s">
        <v>16</v>
      </c>
      <c r="N19" s="5">
        <f>N17*B3</f>
        <v>18.5</v>
      </c>
      <c r="O19" s="6">
        <f>O17*B3</f>
        <v>18.7775</v>
      </c>
    </row>
    <row r="20" spans="2:15" x14ac:dyDescent="0.3">
      <c r="B20" s="4" t="s">
        <v>22</v>
      </c>
      <c r="C20" s="5"/>
      <c r="D20" s="5">
        <f>C19*B2*(1-0.35)</f>
        <v>1.6900000000000002</v>
      </c>
      <c r="E20" s="11"/>
      <c r="F20" s="4" t="s">
        <v>22</v>
      </c>
      <c r="G20" s="5"/>
      <c r="H20" s="6">
        <f>H19*(B3*(1-0.35))</f>
        <v>1.4460062500000006</v>
      </c>
      <c r="M20" s="4" t="s">
        <v>15</v>
      </c>
      <c r="N20" s="5">
        <f>N19*0.35</f>
        <v>6.4749999999999996</v>
      </c>
      <c r="O20" s="6">
        <f>O19*0.35</f>
        <v>6.5721249999999998</v>
      </c>
    </row>
    <row r="21" spans="2:15" x14ac:dyDescent="0.3">
      <c r="B21" s="4"/>
      <c r="C21" s="5"/>
      <c r="D21" s="5"/>
      <c r="E21" s="11"/>
      <c r="F21" s="4" t="s">
        <v>9</v>
      </c>
      <c r="G21" s="5"/>
      <c r="H21" s="6">
        <f>103*(B3*(1-0.35))</f>
        <v>12.202709359605914</v>
      </c>
      <c r="M21" s="4" t="s">
        <v>20</v>
      </c>
      <c r="N21" s="5"/>
      <c r="O21" s="6">
        <f>N19*(O17/N17)</f>
        <v>18.7775</v>
      </c>
    </row>
    <row r="22" spans="2:15" x14ac:dyDescent="0.3">
      <c r="B22" s="4"/>
      <c r="C22" s="5"/>
      <c r="D22" s="5"/>
      <c r="E22" s="11"/>
      <c r="F22" s="4" t="s">
        <v>7</v>
      </c>
      <c r="G22" s="5"/>
      <c r="H22" s="6">
        <f>(H18-100)*0.35</f>
        <v>1.0578749999999928</v>
      </c>
      <c r="M22" s="4" t="s">
        <v>15</v>
      </c>
      <c r="N22" s="5"/>
      <c r="O22" s="6">
        <f>(O21-N19)*0.35</f>
        <v>9.7124999999999947E-2</v>
      </c>
    </row>
    <row r="23" spans="2:15" x14ac:dyDescent="0.3">
      <c r="B23" s="4"/>
      <c r="C23" s="5"/>
      <c r="D23" s="5"/>
      <c r="E23" s="11"/>
      <c r="F23" s="4" t="s">
        <v>23</v>
      </c>
      <c r="G23" s="5"/>
      <c r="H23" s="6">
        <f>(H19-G19)*0.35</f>
        <v>6.3131249999999903E-2</v>
      </c>
      <c r="M23" s="4" t="s">
        <v>17</v>
      </c>
      <c r="N23" s="5"/>
      <c r="O23" s="6">
        <f>O21*B3</f>
        <v>3.4225000000000003</v>
      </c>
    </row>
    <row r="24" spans="2:15" ht="15" thickBot="1" x14ac:dyDescent="0.35">
      <c r="B24" s="7" t="s">
        <v>24</v>
      </c>
      <c r="C24" s="8"/>
      <c r="D24" s="8">
        <f>D19+C19+D18+D20</f>
        <v>127.69</v>
      </c>
      <c r="E24" s="12"/>
      <c r="F24" s="7" t="s">
        <v>24</v>
      </c>
      <c r="G24" s="8"/>
      <c r="H24" s="9">
        <f>H18+H19+H20+H21-H22-H23</f>
        <v>127.7555843596059</v>
      </c>
      <c r="M24" s="4" t="s">
        <v>15</v>
      </c>
      <c r="N24" s="5"/>
      <c r="O24" s="6">
        <f>O23*0.35</f>
        <v>1.197875</v>
      </c>
    </row>
    <row r="25" spans="2:15" x14ac:dyDescent="0.3">
      <c r="M25" s="4"/>
      <c r="N25" s="5"/>
      <c r="O25" s="6"/>
    </row>
    <row r="26" spans="2:15" x14ac:dyDescent="0.3">
      <c r="M26" s="4" t="s">
        <v>18</v>
      </c>
      <c r="N26" s="5"/>
      <c r="O26" s="6">
        <f>O18+N20+O20+O22+O24</f>
        <v>15.399999999999993</v>
      </c>
    </row>
    <row r="27" spans="2:15" ht="15" thickBot="1" x14ac:dyDescent="0.35">
      <c r="M27" s="7" t="s">
        <v>19</v>
      </c>
      <c r="N27" s="8"/>
      <c r="O27" s="9">
        <f>O17+O19+O21+O23-O26</f>
        <v>128.6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percent</vt:lpstr>
      <vt:lpstr>20 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Morgan</dc:creator>
  <cp:lastModifiedBy>Robin Morgan</cp:lastModifiedBy>
  <dcterms:created xsi:type="dcterms:W3CDTF">2021-06-20T23:21:20Z</dcterms:created>
  <dcterms:modified xsi:type="dcterms:W3CDTF">2021-06-29T00:46:28Z</dcterms:modified>
</cp:coreProperties>
</file>