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28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6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7.xml" ContentType="application/vnd.openxmlformats-officedocument.spreadsheetml.pivotTab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8.xml" ContentType="application/vnd.openxmlformats-officedocument.spreadsheetml.pivotTab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Portfolio Management Information\Robin\Python\Python Projects\AC Tornps\"/>
    </mc:Choice>
  </mc:AlternateContent>
  <bookViews>
    <workbookView xWindow="0" yWindow="2940" windowWidth="28800" windowHeight="11850" activeTab="4"/>
  </bookViews>
  <sheets>
    <sheet name="Regime Generator" sheetId="1" r:id="rId1"/>
    <sheet name="Base Price Generator" sheetId="2" r:id="rId2"/>
    <sheet name="0 - Oscillation" sheetId="3" r:id="rId3"/>
    <sheet name="1 - Large Spike" sheetId="7" r:id="rId4"/>
    <sheet name="2 - Decreasing" sheetId="8" r:id="rId5"/>
    <sheet name="3 - Double Peak" sheetId="9" r:id="rId6"/>
    <sheet name="Simulation" sheetId="10" r:id="rId7"/>
    <sheet name="Sim_Report_1" sheetId="11" r:id="rId8"/>
    <sheet name="Sim_Report_2" sheetId="13" r:id="rId9"/>
    <sheet name="Sim_Report_3" sheetId="14" r:id="rId10"/>
    <sheet name="Feature_Test_1a" sheetId="15" r:id="rId11"/>
    <sheet name="Feature_Test_1b" sheetId="21" r:id="rId12"/>
    <sheet name="Feature_Test_2a" sheetId="17" r:id="rId13"/>
    <sheet name="Feature_Test_2b" sheetId="20" r:id="rId14"/>
    <sheet name="Feature_Test_3" sheetId="19" r:id="rId15"/>
  </sheets>
  <externalReferences>
    <externalReference r:id="rId16"/>
  </externalReferences>
  <definedNames>
    <definedName name="Owners">'[1]Data Validation'!$B$3:$B$20</definedName>
    <definedName name="Priority">'[1]Data Validation'!$C$3:$C$6</definedName>
  </definedNames>
  <calcPr calcId="162913"/>
  <pivotCaches>
    <pivotCache cacheId="6" r:id="rId1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0" l="1"/>
  <c r="M17" i="10"/>
  <c r="M30" i="10"/>
  <c r="M43" i="10"/>
  <c r="M56" i="10"/>
  <c r="M69" i="10"/>
  <c r="M82" i="10"/>
  <c r="M95" i="10"/>
  <c r="M108" i="10"/>
  <c r="M121" i="10"/>
  <c r="M134" i="10"/>
  <c r="M147" i="10"/>
  <c r="M160" i="10"/>
  <c r="M173" i="10"/>
  <c r="M186" i="10"/>
  <c r="M199" i="10"/>
  <c r="M212" i="10"/>
  <c r="M225" i="10"/>
  <c r="M238" i="10"/>
  <c r="M251" i="10"/>
  <c r="M264" i="10"/>
  <c r="M277" i="10"/>
  <c r="M290" i="10"/>
  <c r="M303" i="10"/>
  <c r="M316" i="10"/>
  <c r="M329" i="10"/>
  <c r="M342" i="10"/>
  <c r="M355" i="10"/>
  <c r="M368" i="10"/>
  <c r="M381" i="10"/>
  <c r="M394" i="10"/>
  <c r="M407" i="10"/>
  <c r="M420" i="10"/>
  <c r="M433" i="10"/>
  <c r="M446" i="10"/>
  <c r="M459" i="10"/>
  <c r="M472" i="10"/>
  <c r="M485" i="10"/>
  <c r="M498" i="10"/>
  <c r="M511" i="10"/>
  <c r="M524" i="10"/>
  <c r="M537" i="10"/>
  <c r="M550" i="10"/>
  <c r="M563" i="10"/>
  <c r="M576" i="10"/>
  <c r="M589" i="10"/>
  <c r="M602" i="10"/>
  <c r="M615" i="10"/>
  <c r="M628" i="10"/>
  <c r="M641" i="10"/>
  <c r="L4" i="10"/>
  <c r="L17" i="10"/>
  <c r="L30" i="10"/>
  <c r="L43" i="10"/>
  <c r="L56" i="10"/>
  <c r="L69" i="10"/>
  <c r="L82" i="10"/>
  <c r="L95" i="10"/>
  <c r="L108" i="10"/>
  <c r="L121" i="10"/>
  <c r="L134" i="10"/>
  <c r="L147" i="10"/>
  <c r="L160" i="10"/>
  <c r="L173" i="10"/>
  <c r="L186" i="10"/>
  <c r="L199" i="10"/>
  <c r="L212" i="10"/>
  <c r="L225" i="10"/>
  <c r="L238" i="10"/>
  <c r="L251" i="10"/>
  <c r="L264" i="10"/>
  <c r="L277" i="10"/>
  <c r="L290" i="10"/>
  <c r="L303" i="10"/>
  <c r="L316" i="10"/>
  <c r="L329" i="10"/>
  <c r="L342" i="10"/>
  <c r="L355" i="10"/>
  <c r="L368" i="10"/>
  <c r="L381" i="10"/>
  <c r="L394" i="10"/>
  <c r="L407" i="10"/>
  <c r="L420" i="10"/>
  <c r="L433" i="10"/>
  <c r="L446" i="10"/>
  <c r="L459" i="10"/>
  <c r="L472" i="10"/>
  <c r="L485" i="10"/>
  <c r="L498" i="10"/>
  <c r="L511" i="10"/>
  <c r="L524" i="10"/>
  <c r="L537" i="10"/>
  <c r="L550" i="10"/>
  <c r="L563" i="10"/>
  <c r="L576" i="10"/>
  <c r="L589" i="10"/>
  <c r="L602" i="10"/>
  <c r="L615" i="10"/>
  <c r="L628" i="10"/>
  <c r="L641" i="10"/>
  <c r="K4" i="10"/>
  <c r="K17" i="10"/>
  <c r="K30" i="10"/>
  <c r="K43" i="10"/>
  <c r="K56" i="10"/>
  <c r="K69" i="10"/>
  <c r="K82" i="10"/>
  <c r="K95" i="10"/>
  <c r="K108" i="10"/>
  <c r="K121" i="10"/>
  <c r="K134" i="10"/>
  <c r="K147" i="10"/>
  <c r="K160" i="10"/>
  <c r="K173" i="10"/>
  <c r="K186" i="10"/>
  <c r="K199" i="10"/>
  <c r="K212" i="10"/>
  <c r="K225" i="10"/>
  <c r="K238" i="10"/>
  <c r="K251" i="10"/>
  <c r="K264" i="10"/>
  <c r="K277" i="10"/>
  <c r="K290" i="10"/>
  <c r="K303" i="10"/>
  <c r="K316" i="10"/>
  <c r="K329" i="10"/>
  <c r="K342" i="10"/>
  <c r="K355" i="10"/>
  <c r="K368" i="10"/>
  <c r="K381" i="10"/>
  <c r="K394" i="10"/>
  <c r="K407" i="10"/>
  <c r="K420" i="10"/>
  <c r="K433" i="10"/>
  <c r="K446" i="10"/>
  <c r="K459" i="10"/>
  <c r="K472" i="10"/>
  <c r="K485" i="10"/>
  <c r="K498" i="10"/>
  <c r="K511" i="10"/>
  <c r="K524" i="10"/>
  <c r="K537" i="10"/>
  <c r="K550" i="10"/>
  <c r="K563" i="10"/>
  <c r="K576" i="10"/>
  <c r="K589" i="10"/>
  <c r="K602" i="10"/>
  <c r="K615" i="10"/>
  <c r="K628" i="10"/>
  <c r="K641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N17" i="10" s="1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N30" i="10" s="1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N43" i="10" s="1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N56" i="10" s="1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N69" i="10" s="1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N82" i="10" s="1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N95" i="10" s="1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N121" i="10" s="1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N134" i="10" s="1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N147" i="10" s="1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N160" i="10" s="1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N173" i="10" s="1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N186" i="10" s="1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N199" i="10" s="1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N212" i="10" s="1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N225" i="10" s="1"/>
  <c r="D226" i="10"/>
  <c r="D227" i="10"/>
  <c r="D228" i="10"/>
  <c r="D229" i="10"/>
  <c r="D230" i="10"/>
  <c r="D231" i="10"/>
  <c r="N231" i="10" s="1"/>
  <c r="D232" i="10"/>
  <c r="D233" i="10"/>
  <c r="D234" i="10"/>
  <c r="D235" i="10"/>
  <c r="D236" i="10"/>
  <c r="D237" i="10"/>
  <c r="D238" i="10"/>
  <c r="N238" i="10" s="1"/>
  <c r="D239" i="10"/>
  <c r="N239" i="10" s="1"/>
  <c r="D240" i="10"/>
  <c r="D241" i="10"/>
  <c r="D242" i="10"/>
  <c r="D243" i="10"/>
  <c r="D244" i="10"/>
  <c r="D245" i="10"/>
  <c r="D246" i="10"/>
  <c r="D247" i="10"/>
  <c r="N247" i="10" s="1"/>
  <c r="D248" i="10"/>
  <c r="D249" i="10"/>
  <c r="D250" i="10"/>
  <c r="D251" i="10"/>
  <c r="N251" i="10" s="1"/>
  <c r="D252" i="10"/>
  <c r="D253" i="10"/>
  <c r="D254" i="10"/>
  <c r="D255" i="10"/>
  <c r="N255" i="10" s="1"/>
  <c r="D256" i="10"/>
  <c r="D257" i="10"/>
  <c r="D258" i="10"/>
  <c r="D259" i="10"/>
  <c r="D260" i="10"/>
  <c r="D261" i="10"/>
  <c r="D262" i="10"/>
  <c r="D263" i="10"/>
  <c r="N263" i="10" s="1"/>
  <c r="D264" i="10"/>
  <c r="N264" i="10" s="1"/>
  <c r="D265" i="10"/>
  <c r="D266" i="10"/>
  <c r="D267" i="10"/>
  <c r="D268" i="10"/>
  <c r="D269" i="10"/>
  <c r="D270" i="10"/>
  <c r="D271" i="10"/>
  <c r="N271" i="10" s="1"/>
  <c r="D272" i="10"/>
  <c r="D273" i="10"/>
  <c r="D274" i="10"/>
  <c r="D275" i="10"/>
  <c r="D276" i="10"/>
  <c r="D277" i="10"/>
  <c r="N277" i="10" s="1"/>
  <c r="D278" i="10"/>
  <c r="D279" i="10"/>
  <c r="N279" i="10" s="1"/>
  <c r="D280" i="10"/>
  <c r="D281" i="10"/>
  <c r="D282" i="10"/>
  <c r="D283" i="10"/>
  <c r="D284" i="10"/>
  <c r="D285" i="10"/>
  <c r="D286" i="10"/>
  <c r="D287" i="10"/>
  <c r="N287" i="10" s="1"/>
  <c r="D288" i="10"/>
  <c r="D289" i="10"/>
  <c r="D290" i="10"/>
  <c r="N290" i="10" s="1"/>
  <c r="D291" i="10"/>
  <c r="D292" i="10"/>
  <c r="D293" i="10"/>
  <c r="D294" i="10"/>
  <c r="D295" i="10"/>
  <c r="N295" i="10" s="1"/>
  <c r="D296" i="10"/>
  <c r="D297" i="10"/>
  <c r="D298" i="10"/>
  <c r="D299" i="10"/>
  <c r="D300" i="10"/>
  <c r="D301" i="10"/>
  <c r="D302" i="10"/>
  <c r="D303" i="10"/>
  <c r="N303" i="10" s="1"/>
  <c r="D304" i="10"/>
  <c r="D305" i="10"/>
  <c r="D306" i="10"/>
  <c r="D307" i="10"/>
  <c r="D308" i="10"/>
  <c r="D309" i="10"/>
  <c r="D310" i="10"/>
  <c r="D311" i="10"/>
  <c r="N311" i="10" s="1"/>
  <c r="D312" i="10"/>
  <c r="D313" i="10"/>
  <c r="D314" i="10"/>
  <c r="D315" i="10"/>
  <c r="D316" i="10"/>
  <c r="N316" i="10" s="1"/>
  <c r="D317" i="10"/>
  <c r="D318" i="10"/>
  <c r="D319" i="10"/>
  <c r="N319" i="10" s="1"/>
  <c r="D320" i="10"/>
  <c r="D321" i="10"/>
  <c r="D322" i="10"/>
  <c r="D323" i="10"/>
  <c r="D324" i="10"/>
  <c r="D325" i="10"/>
  <c r="D326" i="10"/>
  <c r="D327" i="10"/>
  <c r="N327" i="10" s="1"/>
  <c r="D328" i="10"/>
  <c r="D329" i="10"/>
  <c r="N329" i="10" s="1"/>
  <c r="D330" i="10"/>
  <c r="D331" i="10"/>
  <c r="D332" i="10"/>
  <c r="D333" i="10"/>
  <c r="D334" i="10"/>
  <c r="D335" i="10"/>
  <c r="N335" i="10" s="1"/>
  <c r="D336" i="10"/>
  <c r="D337" i="10"/>
  <c r="D338" i="10"/>
  <c r="D339" i="10"/>
  <c r="D340" i="10"/>
  <c r="D341" i="10"/>
  <c r="D342" i="10"/>
  <c r="N342" i="10" s="1"/>
  <c r="D343" i="10"/>
  <c r="N343" i="10" s="1"/>
  <c r="D344" i="10"/>
  <c r="D345" i="10"/>
  <c r="D346" i="10"/>
  <c r="D347" i="10"/>
  <c r="D348" i="10"/>
  <c r="D349" i="10"/>
  <c r="D350" i="10"/>
  <c r="D351" i="10"/>
  <c r="N351" i="10" s="1"/>
  <c r="D352" i="10"/>
  <c r="D353" i="10"/>
  <c r="D354" i="10"/>
  <c r="D355" i="10"/>
  <c r="N355" i="10" s="1"/>
  <c r="D356" i="10"/>
  <c r="D357" i="10"/>
  <c r="D358" i="10"/>
  <c r="D359" i="10"/>
  <c r="N359" i="10" s="1"/>
  <c r="D360" i="10"/>
  <c r="D361" i="10"/>
  <c r="D362" i="10"/>
  <c r="D363" i="10"/>
  <c r="D364" i="10"/>
  <c r="D365" i="10"/>
  <c r="D366" i="10"/>
  <c r="D367" i="10"/>
  <c r="N367" i="10" s="1"/>
  <c r="D368" i="10"/>
  <c r="N368" i="10" s="1"/>
  <c r="D369" i="10"/>
  <c r="D370" i="10"/>
  <c r="D371" i="10"/>
  <c r="D372" i="10"/>
  <c r="D373" i="10"/>
  <c r="D374" i="10"/>
  <c r="D375" i="10"/>
  <c r="N375" i="10" s="1"/>
  <c r="D376" i="10"/>
  <c r="D377" i="10"/>
  <c r="D378" i="10"/>
  <c r="D379" i="10"/>
  <c r="D380" i="10"/>
  <c r="D381" i="10"/>
  <c r="N381" i="10" s="1"/>
  <c r="D382" i="10"/>
  <c r="D383" i="10"/>
  <c r="N383" i="10" s="1"/>
  <c r="D384" i="10"/>
  <c r="D385" i="10"/>
  <c r="D386" i="10"/>
  <c r="D387" i="10"/>
  <c r="D388" i="10"/>
  <c r="D389" i="10"/>
  <c r="D390" i="10"/>
  <c r="D391" i="10"/>
  <c r="N391" i="10" s="1"/>
  <c r="D392" i="10"/>
  <c r="D393" i="10"/>
  <c r="D394" i="10"/>
  <c r="N394" i="10" s="1"/>
  <c r="D395" i="10"/>
  <c r="D396" i="10"/>
  <c r="D397" i="10"/>
  <c r="D398" i="10"/>
  <c r="D399" i="10"/>
  <c r="N399" i="10" s="1"/>
  <c r="D400" i="10"/>
  <c r="D401" i="10"/>
  <c r="D402" i="10"/>
  <c r="D403" i="10"/>
  <c r="D404" i="10"/>
  <c r="D405" i="10"/>
  <c r="D406" i="10"/>
  <c r="D407" i="10"/>
  <c r="N407" i="10" s="1"/>
  <c r="D408" i="10"/>
  <c r="D409" i="10"/>
  <c r="D410" i="10"/>
  <c r="D411" i="10"/>
  <c r="D412" i="10"/>
  <c r="D413" i="10"/>
  <c r="D414" i="10"/>
  <c r="D415" i="10"/>
  <c r="N415" i="10" s="1"/>
  <c r="D416" i="10"/>
  <c r="D417" i="10"/>
  <c r="D418" i="10"/>
  <c r="D419" i="10"/>
  <c r="D420" i="10"/>
  <c r="N420" i="10" s="1"/>
  <c r="D421" i="10"/>
  <c r="D422" i="10"/>
  <c r="D423" i="10"/>
  <c r="N423" i="10" s="1"/>
  <c r="D424" i="10"/>
  <c r="D425" i="10"/>
  <c r="D426" i="10"/>
  <c r="D427" i="10"/>
  <c r="D428" i="10"/>
  <c r="D429" i="10"/>
  <c r="D430" i="10"/>
  <c r="D431" i="10"/>
  <c r="N431" i="10" s="1"/>
  <c r="D432" i="10"/>
  <c r="D433" i="10"/>
  <c r="N433" i="10" s="1"/>
  <c r="D434" i="10"/>
  <c r="D435" i="10"/>
  <c r="D436" i="10"/>
  <c r="D437" i="10"/>
  <c r="D438" i="10"/>
  <c r="D439" i="10"/>
  <c r="N439" i="10" s="1"/>
  <c r="D440" i="10"/>
  <c r="D441" i="10"/>
  <c r="D442" i="10"/>
  <c r="D443" i="10"/>
  <c r="D444" i="10"/>
  <c r="D445" i="10"/>
  <c r="D446" i="10"/>
  <c r="N446" i="10" s="1"/>
  <c r="D447" i="10"/>
  <c r="N447" i="10" s="1"/>
  <c r="D448" i="10"/>
  <c r="D449" i="10"/>
  <c r="D450" i="10"/>
  <c r="D451" i="10"/>
  <c r="D452" i="10"/>
  <c r="D453" i="10"/>
  <c r="D454" i="10"/>
  <c r="D455" i="10"/>
  <c r="N455" i="10" s="1"/>
  <c r="D456" i="10"/>
  <c r="D457" i="10"/>
  <c r="D458" i="10"/>
  <c r="D459" i="10"/>
  <c r="N459" i="10" s="1"/>
  <c r="D460" i="10"/>
  <c r="D461" i="10"/>
  <c r="D462" i="10"/>
  <c r="D463" i="10"/>
  <c r="N463" i="10" s="1"/>
  <c r="D464" i="10"/>
  <c r="D465" i="10"/>
  <c r="D466" i="10"/>
  <c r="D467" i="10"/>
  <c r="D468" i="10"/>
  <c r="D469" i="10"/>
  <c r="D470" i="10"/>
  <c r="D471" i="10"/>
  <c r="N471" i="10" s="1"/>
  <c r="D472" i="10"/>
  <c r="N472" i="10" s="1"/>
  <c r="D473" i="10"/>
  <c r="D474" i="10"/>
  <c r="D475" i="10"/>
  <c r="D476" i="10"/>
  <c r="D477" i="10"/>
  <c r="D478" i="10"/>
  <c r="D479" i="10"/>
  <c r="N479" i="10" s="1"/>
  <c r="D480" i="10"/>
  <c r="D481" i="10"/>
  <c r="D482" i="10"/>
  <c r="D483" i="10"/>
  <c r="D484" i="10"/>
  <c r="D485" i="10"/>
  <c r="N485" i="10" s="1"/>
  <c r="D486" i="10"/>
  <c r="D487" i="10"/>
  <c r="N487" i="10" s="1"/>
  <c r="D488" i="10"/>
  <c r="D489" i="10"/>
  <c r="D490" i="10"/>
  <c r="D491" i="10"/>
  <c r="D492" i="10"/>
  <c r="D493" i="10"/>
  <c r="D494" i="10"/>
  <c r="D495" i="10"/>
  <c r="N495" i="10" s="1"/>
  <c r="D496" i="10"/>
  <c r="D497" i="10"/>
  <c r="D498" i="10"/>
  <c r="N498" i="10" s="1"/>
  <c r="D499" i="10"/>
  <c r="D500" i="10"/>
  <c r="D501" i="10"/>
  <c r="D502" i="10"/>
  <c r="D503" i="10"/>
  <c r="N503" i="10" s="1"/>
  <c r="D504" i="10"/>
  <c r="D505" i="10"/>
  <c r="D506" i="10"/>
  <c r="D507" i="10"/>
  <c r="D508" i="10"/>
  <c r="D509" i="10"/>
  <c r="D510" i="10"/>
  <c r="D511" i="10"/>
  <c r="N511" i="10" s="1"/>
  <c r="D512" i="10"/>
  <c r="D513" i="10"/>
  <c r="D514" i="10"/>
  <c r="D515" i="10"/>
  <c r="D516" i="10"/>
  <c r="D517" i="10"/>
  <c r="D518" i="10"/>
  <c r="D519" i="10"/>
  <c r="N519" i="10" s="1"/>
  <c r="D520" i="10"/>
  <c r="D521" i="10"/>
  <c r="D522" i="10"/>
  <c r="D523" i="10"/>
  <c r="D524" i="10"/>
  <c r="N524" i="10" s="1"/>
  <c r="D525" i="10"/>
  <c r="D526" i="10"/>
  <c r="D527" i="10"/>
  <c r="N527" i="10" s="1"/>
  <c r="D528" i="10"/>
  <c r="D529" i="10"/>
  <c r="D530" i="10"/>
  <c r="D531" i="10"/>
  <c r="D532" i="10"/>
  <c r="D533" i="10"/>
  <c r="D534" i="10"/>
  <c r="D535" i="10"/>
  <c r="N535" i="10" s="1"/>
  <c r="D536" i="10"/>
  <c r="D537" i="10"/>
  <c r="N537" i="10" s="1"/>
  <c r="D538" i="10"/>
  <c r="D539" i="10"/>
  <c r="D540" i="10"/>
  <c r="D541" i="10"/>
  <c r="D542" i="10"/>
  <c r="D543" i="10"/>
  <c r="N543" i="10" s="1"/>
  <c r="D544" i="10"/>
  <c r="D545" i="10"/>
  <c r="D546" i="10"/>
  <c r="D547" i="10"/>
  <c r="D548" i="10"/>
  <c r="D549" i="10"/>
  <c r="D550" i="10"/>
  <c r="N550" i="10" s="1"/>
  <c r="D551" i="10"/>
  <c r="N551" i="10" s="1"/>
  <c r="D552" i="10"/>
  <c r="D553" i="10"/>
  <c r="D554" i="10"/>
  <c r="D555" i="10"/>
  <c r="D556" i="10"/>
  <c r="D557" i="10"/>
  <c r="D558" i="10"/>
  <c r="D559" i="10"/>
  <c r="N559" i="10" s="1"/>
  <c r="D560" i="10"/>
  <c r="D561" i="10"/>
  <c r="D562" i="10"/>
  <c r="D563" i="10"/>
  <c r="N563" i="10" s="1"/>
  <c r="D564" i="10"/>
  <c r="D565" i="10"/>
  <c r="D566" i="10"/>
  <c r="D567" i="10"/>
  <c r="N567" i="10" s="1"/>
  <c r="D568" i="10"/>
  <c r="D569" i="10"/>
  <c r="D570" i="10"/>
  <c r="D571" i="10"/>
  <c r="D572" i="10"/>
  <c r="D573" i="10"/>
  <c r="D574" i="10"/>
  <c r="D575" i="10"/>
  <c r="N575" i="10" s="1"/>
  <c r="D576" i="10"/>
  <c r="N576" i="10" s="1"/>
  <c r="D577" i="10"/>
  <c r="D578" i="10"/>
  <c r="D579" i="10"/>
  <c r="D580" i="10"/>
  <c r="D581" i="10"/>
  <c r="D582" i="10"/>
  <c r="D583" i="10"/>
  <c r="N583" i="10" s="1"/>
  <c r="D584" i="10"/>
  <c r="D585" i="10"/>
  <c r="D586" i="10"/>
  <c r="D587" i="10"/>
  <c r="D588" i="10"/>
  <c r="D589" i="10"/>
  <c r="N589" i="10" s="1"/>
  <c r="D590" i="10"/>
  <c r="D591" i="10"/>
  <c r="N591" i="10" s="1"/>
  <c r="D592" i="10"/>
  <c r="D593" i="10"/>
  <c r="D594" i="10"/>
  <c r="D595" i="10"/>
  <c r="D596" i="10"/>
  <c r="D597" i="10"/>
  <c r="D598" i="10"/>
  <c r="D599" i="10"/>
  <c r="N599" i="10" s="1"/>
  <c r="D600" i="10"/>
  <c r="D601" i="10"/>
  <c r="D602" i="10"/>
  <c r="N602" i="10" s="1"/>
  <c r="D603" i="10"/>
  <c r="D604" i="10"/>
  <c r="D605" i="10"/>
  <c r="D606" i="10"/>
  <c r="D607" i="10"/>
  <c r="N607" i="10" s="1"/>
  <c r="D608" i="10"/>
  <c r="D609" i="10"/>
  <c r="D610" i="10"/>
  <c r="D611" i="10"/>
  <c r="D612" i="10"/>
  <c r="D613" i="10"/>
  <c r="D614" i="10"/>
  <c r="D615" i="10"/>
  <c r="N615" i="10" s="1"/>
  <c r="D616" i="10"/>
  <c r="D617" i="10"/>
  <c r="D618" i="10"/>
  <c r="D619" i="10"/>
  <c r="D620" i="10"/>
  <c r="D621" i="10"/>
  <c r="D622" i="10"/>
  <c r="D623" i="10"/>
  <c r="N623" i="10" s="1"/>
  <c r="D624" i="10"/>
  <c r="D625" i="10"/>
  <c r="D626" i="10"/>
  <c r="D627" i="10"/>
  <c r="D628" i="10"/>
  <c r="N628" i="10" s="1"/>
  <c r="D629" i="10"/>
  <c r="D630" i="10"/>
  <c r="D631" i="10"/>
  <c r="N631" i="10" s="1"/>
  <c r="D632" i="10"/>
  <c r="D633" i="10"/>
  <c r="D634" i="10"/>
  <c r="D635" i="10"/>
  <c r="D636" i="10"/>
  <c r="D637" i="10"/>
  <c r="D638" i="10"/>
  <c r="D639" i="10"/>
  <c r="N639" i="10" s="1"/>
  <c r="D640" i="10"/>
  <c r="D641" i="10"/>
  <c r="N641" i="10" s="1"/>
  <c r="D642" i="10"/>
  <c r="D643" i="10"/>
  <c r="D644" i="10"/>
  <c r="D645" i="10"/>
  <c r="D646" i="10"/>
  <c r="D647" i="10"/>
  <c r="N647" i="10" s="1"/>
  <c r="D648" i="10"/>
  <c r="D649" i="10"/>
  <c r="D650" i="10"/>
  <c r="D651" i="10"/>
  <c r="D652" i="10"/>
  <c r="D653" i="10"/>
  <c r="N191" i="10" l="1"/>
  <c r="N223" i="10"/>
  <c r="N183" i="10"/>
  <c r="N167" i="10"/>
  <c r="N159" i="10"/>
  <c r="N143" i="10"/>
  <c r="N127" i="10"/>
  <c r="N119" i="10"/>
  <c r="N215" i="10"/>
  <c r="N207" i="10"/>
  <c r="N175" i="10"/>
  <c r="N151" i="10"/>
  <c r="N135" i="10"/>
  <c r="N111" i="10"/>
  <c r="N103" i="10"/>
  <c r="N87" i="10"/>
  <c r="N79" i="10"/>
  <c r="N646" i="10"/>
  <c r="N622" i="10"/>
  <c r="N614" i="10"/>
  <c r="N653" i="10"/>
  <c r="N645" i="10"/>
  <c r="N637" i="10"/>
  <c r="N629" i="10"/>
  <c r="N621" i="10"/>
  <c r="N644" i="10"/>
  <c r="N596" i="10"/>
  <c r="N556" i="10"/>
  <c r="N508" i="10"/>
  <c r="N468" i="10"/>
  <c r="N428" i="10"/>
  <c r="N380" i="10"/>
  <c r="N340" i="10"/>
  <c r="N284" i="10"/>
  <c r="N236" i="10"/>
  <c r="N220" i="10"/>
  <c r="N172" i="10"/>
  <c r="N132" i="10"/>
  <c r="N636" i="10"/>
  <c r="N588" i="10"/>
  <c r="N548" i="10"/>
  <c r="N500" i="10"/>
  <c r="N460" i="10"/>
  <c r="N412" i="10"/>
  <c r="N372" i="10"/>
  <c r="N324" i="10"/>
  <c r="N276" i="10"/>
  <c r="N232" i="10"/>
  <c r="N196" i="10"/>
  <c r="N156" i="10"/>
  <c r="N652" i="10"/>
  <c r="N604" i="10"/>
  <c r="N564" i="10"/>
  <c r="N516" i="10"/>
  <c r="N476" i="10"/>
  <c r="N444" i="10"/>
  <c r="N404" i="10"/>
  <c r="N364" i="10"/>
  <c r="N308" i="10"/>
  <c r="N260" i="10"/>
  <c r="N630" i="10"/>
  <c r="N612" i="10"/>
  <c r="N572" i="10"/>
  <c r="N532" i="10"/>
  <c r="N492" i="10"/>
  <c r="N452" i="10"/>
  <c r="N388" i="10"/>
  <c r="N348" i="10"/>
  <c r="N296" i="10"/>
  <c r="N244" i="10"/>
  <c r="N638" i="10"/>
  <c r="N620" i="10"/>
  <c r="N580" i="10"/>
  <c r="N540" i="10"/>
  <c r="N484" i="10"/>
  <c r="N436" i="10"/>
  <c r="N396" i="10"/>
  <c r="N360" i="10"/>
  <c r="N300" i="10"/>
  <c r="N256" i="10"/>
  <c r="N116" i="10"/>
  <c r="N92" i="10"/>
  <c r="N68" i="10"/>
  <c r="N52" i="10"/>
  <c r="N28" i="10"/>
  <c r="N12" i="10"/>
  <c r="N71" i="10"/>
  <c r="N63" i="10"/>
  <c r="N55" i="10"/>
  <c r="N47" i="10"/>
  <c r="N39" i="10"/>
  <c r="N31" i="10"/>
  <c r="N23" i="10"/>
  <c r="N15" i="10"/>
  <c r="N7" i="10"/>
  <c r="N635" i="10"/>
  <c r="N603" i="10"/>
  <c r="N571" i="10"/>
  <c r="N650" i="10"/>
  <c r="N626" i="10"/>
  <c r="N594" i="10"/>
  <c r="N570" i="10"/>
  <c r="N546" i="10"/>
  <c r="N522" i="10"/>
  <c r="N490" i="10"/>
  <c r="N466" i="10"/>
  <c r="N633" i="10"/>
  <c r="N617" i="10"/>
  <c r="N601" i="10"/>
  <c r="N585" i="10"/>
  <c r="N569" i="10"/>
  <c r="N553" i="10"/>
  <c r="N529" i="10"/>
  <c r="N513" i="10"/>
  <c r="N497" i="10"/>
  <c r="N481" i="10"/>
  <c r="N465" i="10"/>
  <c r="N449" i="10"/>
  <c r="N425" i="10"/>
  <c r="N409" i="10"/>
  <c r="N401" i="10"/>
  <c r="N385" i="10"/>
  <c r="N369" i="10"/>
  <c r="N353" i="10"/>
  <c r="N337" i="10"/>
  <c r="N313" i="10"/>
  <c r="N297" i="10"/>
  <c r="N281" i="10"/>
  <c r="N265" i="10"/>
  <c r="N249" i="10"/>
  <c r="N233" i="10"/>
  <c r="N209" i="10"/>
  <c r="N201" i="10"/>
  <c r="N185" i="10"/>
  <c r="N169" i="10"/>
  <c r="N153" i="10"/>
  <c r="N137" i="10"/>
  <c r="N113" i="10"/>
  <c r="N97" i="10"/>
  <c r="N81" i="10"/>
  <c r="N65" i="10"/>
  <c r="N49" i="10"/>
  <c r="N33" i="10"/>
  <c r="N25" i="10"/>
  <c r="N9" i="10"/>
  <c r="N8" i="10"/>
  <c r="N640" i="10"/>
  <c r="N512" i="10"/>
  <c r="N448" i="10"/>
  <c r="N384" i="10"/>
  <c r="N320" i="10"/>
  <c r="N632" i="10"/>
  <c r="N568" i="10"/>
  <c r="N504" i="10"/>
  <c r="N440" i="10"/>
  <c r="N376" i="10"/>
  <c r="N312" i="10"/>
  <c r="N248" i="10"/>
  <c r="N606" i="10"/>
  <c r="N598" i="10"/>
  <c r="N590" i="10"/>
  <c r="N582" i="10"/>
  <c r="N574" i="10"/>
  <c r="N566" i="10"/>
  <c r="N558" i="10"/>
  <c r="N542" i="10"/>
  <c r="N534" i="10"/>
  <c r="N526" i="10"/>
  <c r="N518" i="10"/>
  <c r="N510" i="10"/>
  <c r="N502" i="10"/>
  <c r="N494" i="10"/>
  <c r="N486" i="10"/>
  <c r="N478" i="10"/>
  <c r="N470" i="10"/>
  <c r="N462" i="10"/>
  <c r="N454" i="10"/>
  <c r="N438" i="10"/>
  <c r="N430" i="10"/>
  <c r="N422" i="10"/>
  <c r="N414" i="10"/>
  <c r="N406" i="10"/>
  <c r="N398" i="10"/>
  <c r="N390" i="10"/>
  <c r="N382" i="10"/>
  <c r="N374" i="10"/>
  <c r="N366" i="10"/>
  <c r="N358" i="10"/>
  <c r="N350" i="10"/>
  <c r="N334" i="10"/>
  <c r="N326" i="10"/>
  <c r="N318" i="10"/>
  <c r="N310" i="10"/>
  <c r="N302" i="10"/>
  <c r="N294" i="10"/>
  <c r="N286" i="10"/>
  <c r="N278" i="10"/>
  <c r="N270" i="10"/>
  <c r="N262" i="10"/>
  <c r="N254" i="10"/>
  <c r="N246" i="10"/>
  <c r="N230" i="10"/>
  <c r="N222" i="10"/>
  <c r="N214" i="10"/>
  <c r="N206" i="10"/>
  <c r="N198" i="10"/>
  <c r="N190" i="10"/>
  <c r="N182" i="10"/>
  <c r="N174" i="10"/>
  <c r="N166" i="10"/>
  <c r="N158" i="10"/>
  <c r="N150" i="10"/>
  <c r="N142" i="10"/>
  <c r="N126" i="10"/>
  <c r="N118" i="10"/>
  <c r="N110" i="10"/>
  <c r="N102" i="10"/>
  <c r="N94" i="10"/>
  <c r="N86" i="10"/>
  <c r="N78" i="10"/>
  <c r="N70" i="10"/>
  <c r="N62" i="10"/>
  <c r="N54" i="10"/>
  <c r="N46" i="10"/>
  <c r="N38" i="10"/>
  <c r="N22" i="10"/>
  <c r="N14" i="10"/>
  <c r="N6" i="10"/>
  <c r="N624" i="10"/>
  <c r="N560" i="10"/>
  <c r="N496" i="10"/>
  <c r="N432" i="10"/>
  <c r="N304" i="10"/>
  <c r="N240" i="10"/>
  <c r="N613" i="10"/>
  <c r="N605" i="10"/>
  <c r="N597" i="10"/>
  <c r="N581" i="10"/>
  <c r="N573" i="10"/>
  <c r="N565" i="10"/>
  <c r="N557" i="10"/>
  <c r="N549" i="10"/>
  <c r="N541" i="10"/>
  <c r="N533" i="10"/>
  <c r="N525" i="10"/>
  <c r="N517" i="10"/>
  <c r="N509" i="10"/>
  <c r="N501" i="10"/>
  <c r="N493" i="10"/>
  <c r="N477" i="10"/>
  <c r="N469" i="10"/>
  <c r="N461" i="10"/>
  <c r="N453" i="10"/>
  <c r="N445" i="10"/>
  <c r="N437" i="10"/>
  <c r="N429" i="10"/>
  <c r="N421" i="10"/>
  <c r="N413" i="10"/>
  <c r="N405" i="10"/>
  <c r="N397" i="10"/>
  <c r="N389" i="10"/>
  <c r="N373" i="10"/>
  <c r="N365" i="10"/>
  <c r="N357" i="10"/>
  <c r="N349" i="10"/>
  <c r="N341" i="10"/>
  <c r="N333" i="10"/>
  <c r="N325" i="10"/>
  <c r="N317" i="10"/>
  <c r="N309" i="10"/>
  <c r="N301" i="10"/>
  <c r="N293" i="10"/>
  <c r="N285" i="10"/>
  <c r="N269" i="10"/>
  <c r="N261" i="10"/>
  <c r="N253" i="10"/>
  <c r="N245" i="10"/>
  <c r="N237" i="10"/>
  <c r="N229" i="10"/>
  <c r="N221" i="10"/>
  <c r="N213" i="10"/>
  <c r="N205" i="10"/>
  <c r="N197" i="10"/>
  <c r="N189" i="10"/>
  <c r="N181" i="10"/>
  <c r="N165" i="10"/>
  <c r="N157" i="10"/>
  <c r="N149" i="10"/>
  <c r="N141" i="10"/>
  <c r="N133" i="10"/>
  <c r="N125" i="10"/>
  <c r="N117" i="10"/>
  <c r="N109" i="10"/>
  <c r="N101" i="10"/>
  <c r="N93" i="10"/>
  <c r="N85" i="10"/>
  <c r="N77" i="10"/>
  <c r="N61" i="10"/>
  <c r="N53" i="10"/>
  <c r="N45" i="10"/>
  <c r="N37" i="10"/>
  <c r="N29" i="10"/>
  <c r="N21" i="10"/>
  <c r="N13" i="10"/>
  <c r="N5" i="10"/>
  <c r="N616" i="10"/>
  <c r="N552" i="10"/>
  <c r="N488" i="10"/>
  <c r="N424" i="10"/>
  <c r="N356" i="10"/>
  <c r="N332" i="10"/>
  <c r="N292" i="10"/>
  <c r="N268" i="10"/>
  <c r="N252" i="10"/>
  <c r="N228" i="10"/>
  <c r="N204" i="10"/>
  <c r="N208" i="10"/>
  <c r="N200" i="10"/>
  <c r="N188" i="10"/>
  <c r="N192" i="10"/>
  <c r="N180" i="10"/>
  <c r="N176" i="10"/>
  <c r="N184" i="10"/>
  <c r="N164" i="10"/>
  <c r="N168" i="10"/>
  <c r="N148" i="10"/>
  <c r="N152" i="10"/>
  <c r="N140" i="10"/>
  <c r="N144" i="10"/>
  <c r="N136" i="10"/>
  <c r="N124" i="10"/>
  <c r="N128" i="10"/>
  <c r="N108" i="10"/>
  <c r="N112" i="10"/>
  <c r="N120" i="10"/>
  <c r="N100" i="10"/>
  <c r="N96" i="10"/>
  <c r="N104" i="10"/>
  <c r="N84" i="10"/>
  <c r="N88" i="10"/>
  <c r="N76" i="10"/>
  <c r="N72" i="10"/>
  <c r="N80" i="10"/>
  <c r="N60" i="10"/>
  <c r="N64" i="10"/>
  <c r="N44" i="10"/>
  <c r="N48" i="10"/>
  <c r="N36" i="10"/>
  <c r="N32" i="10"/>
  <c r="N40" i="10"/>
  <c r="N20" i="10"/>
  <c r="N24" i="10"/>
  <c r="N4" i="10"/>
  <c r="N16" i="10"/>
  <c r="N608" i="10"/>
  <c r="N544" i="10"/>
  <c r="N480" i="10"/>
  <c r="N416" i="10"/>
  <c r="N352" i="10"/>
  <c r="N288" i="10"/>
  <c r="N224" i="10"/>
  <c r="N627" i="10"/>
  <c r="N595" i="10"/>
  <c r="N555" i="10"/>
  <c r="N531" i="10"/>
  <c r="N523" i="10"/>
  <c r="N515" i="10"/>
  <c r="N507" i="10"/>
  <c r="N499" i="10"/>
  <c r="N491" i="10"/>
  <c r="N483" i="10"/>
  <c r="N475" i="10"/>
  <c r="N467" i="10"/>
  <c r="N451" i="10"/>
  <c r="N443" i="10"/>
  <c r="N435" i="10"/>
  <c r="N427" i="10"/>
  <c r="N419" i="10"/>
  <c r="N411" i="10"/>
  <c r="N403" i="10"/>
  <c r="N395" i="10"/>
  <c r="N387" i="10"/>
  <c r="N379" i="10"/>
  <c r="N371" i="10"/>
  <c r="N363" i="10"/>
  <c r="N347" i="10"/>
  <c r="N339" i="10"/>
  <c r="N331" i="10"/>
  <c r="N323" i="10"/>
  <c r="N315" i="10"/>
  <c r="N307" i="10"/>
  <c r="N299" i="10"/>
  <c r="N291" i="10"/>
  <c r="N283" i="10"/>
  <c r="N275" i="10"/>
  <c r="N267" i="10"/>
  <c r="N259" i="10"/>
  <c r="N243" i="10"/>
  <c r="N235" i="10"/>
  <c r="N227" i="10"/>
  <c r="N219" i="10"/>
  <c r="N211" i="10"/>
  <c r="N203" i="10"/>
  <c r="N195" i="10"/>
  <c r="N187" i="10"/>
  <c r="N179" i="10"/>
  <c r="N171" i="10"/>
  <c r="N163" i="10"/>
  <c r="N155" i="10"/>
  <c r="N139" i="10"/>
  <c r="N131" i="10"/>
  <c r="N123" i="10"/>
  <c r="N115" i="10"/>
  <c r="N107" i="10"/>
  <c r="N99" i="10"/>
  <c r="N91" i="10"/>
  <c r="N83" i="10"/>
  <c r="N75" i="10"/>
  <c r="N67" i="10"/>
  <c r="N59" i="10"/>
  <c r="N51" i="10"/>
  <c r="N35" i="10"/>
  <c r="N27" i="10"/>
  <c r="N19" i="10"/>
  <c r="N11" i="10"/>
  <c r="N600" i="10"/>
  <c r="N536" i="10"/>
  <c r="N408" i="10"/>
  <c r="N344" i="10"/>
  <c r="N280" i="10"/>
  <c r="N216" i="10"/>
  <c r="N643" i="10"/>
  <c r="N611" i="10"/>
  <c r="N579" i="10"/>
  <c r="N539" i="10"/>
  <c r="N634" i="10"/>
  <c r="N610" i="10"/>
  <c r="N578" i="10"/>
  <c r="N554" i="10"/>
  <c r="N530" i="10"/>
  <c r="N506" i="10"/>
  <c r="N474" i="10"/>
  <c r="N458" i="10"/>
  <c r="N450" i="10"/>
  <c r="N442" i="10"/>
  <c r="N434" i="10"/>
  <c r="N426" i="10"/>
  <c r="N418" i="10"/>
  <c r="N410" i="10"/>
  <c r="N402" i="10"/>
  <c r="N386" i="10"/>
  <c r="N378" i="10"/>
  <c r="N370" i="10"/>
  <c r="N362" i="10"/>
  <c r="N354" i="10"/>
  <c r="N346" i="10"/>
  <c r="N338" i="10"/>
  <c r="N330" i="10"/>
  <c r="N322" i="10"/>
  <c r="N314" i="10"/>
  <c r="N306" i="10"/>
  <c r="N298" i="10"/>
  <c r="N282" i="10"/>
  <c r="N274" i="10"/>
  <c r="N266" i="10"/>
  <c r="N258" i="10"/>
  <c r="N250" i="10"/>
  <c r="N242" i="10"/>
  <c r="N234" i="10"/>
  <c r="N226" i="10"/>
  <c r="N218" i="10"/>
  <c r="N210" i="10"/>
  <c r="N202" i="10"/>
  <c r="N194" i="10"/>
  <c r="N178" i="10"/>
  <c r="N170" i="10"/>
  <c r="N162" i="10"/>
  <c r="N154" i="10"/>
  <c r="N146" i="10"/>
  <c r="N138" i="10"/>
  <c r="N130" i="10"/>
  <c r="N122" i="10"/>
  <c r="N114" i="10"/>
  <c r="N106" i="10"/>
  <c r="N98" i="10"/>
  <c r="N90" i="10"/>
  <c r="N74" i="10"/>
  <c r="N66" i="10"/>
  <c r="N58" i="10"/>
  <c r="N50" i="10"/>
  <c r="N42" i="10"/>
  <c r="N34" i="10"/>
  <c r="N26" i="10"/>
  <c r="N18" i="10"/>
  <c r="N10" i="10"/>
  <c r="N592" i="10"/>
  <c r="N528" i="10"/>
  <c r="N464" i="10"/>
  <c r="N400" i="10"/>
  <c r="N336" i="10"/>
  <c r="N272" i="10"/>
  <c r="N651" i="10"/>
  <c r="N619" i="10"/>
  <c r="N587" i="10"/>
  <c r="N547" i="10"/>
  <c r="N642" i="10"/>
  <c r="N618" i="10"/>
  <c r="N586" i="10"/>
  <c r="N562" i="10"/>
  <c r="N538" i="10"/>
  <c r="N514" i="10"/>
  <c r="N482" i="10"/>
  <c r="N649" i="10"/>
  <c r="N625" i="10"/>
  <c r="N609" i="10"/>
  <c r="N593" i="10"/>
  <c r="N577" i="10"/>
  <c r="N561" i="10"/>
  <c r="N545" i="10"/>
  <c r="N521" i="10"/>
  <c r="N505" i="10"/>
  <c r="N489" i="10"/>
  <c r="N473" i="10"/>
  <c r="N457" i="10"/>
  <c r="N441" i="10"/>
  <c r="N417" i="10"/>
  <c r="N393" i="10"/>
  <c r="N377" i="10"/>
  <c r="N361" i="10"/>
  <c r="N345" i="10"/>
  <c r="N321" i="10"/>
  <c r="N305" i="10"/>
  <c r="N289" i="10"/>
  <c r="N273" i="10"/>
  <c r="N257" i="10"/>
  <c r="N241" i="10"/>
  <c r="N217" i="10"/>
  <c r="N193" i="10"/>
  <c r="N177" i="10"/>
  <c r="N161" i="10"/>
  <c r="N145" i="10"/>
  <c r="N129" i="10"/>
  <c r="N105" i="10"/>
  <c r="N89" i="10"/>
  <c r="N73" i="10"/>
  <c r="N57" i="10"/>
  <c r="N41" i="10"/>
  <c r="N648" i="10"/>
  <c r="N584" i="10"/>
  <c r="N520" i="10"/>
  <c r="N456" i="10"/>
  <c r="N392" i="10"/>
  <c r="N328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24" i="10"/>
  <c r="J325" i="10"/>
  <c r="J326" i="10"/>
  <c r="J327" i="10"/>
  <c r="J328" i="10"/>
  <c r="J329" i="10"/>
  <c r="J330" i="10"/>
  <c r="J331" i="10"/>
  <c r="J332" i="10"/>
  <c r="J333" i="10"/>
  <c r="J334" i="10"/>
  <c r="J335" i="10"/>
  <c r="J336" i="10"/>
  <c r="J337" i="10"/>
  <c r="J338" i="10"/>
  <c r="J339" i="10"/>
  <c r="J340" i="10"/>
  <c r="J341" i="10"/>
  <c r="J342" i="10"/>
  <c r="J343" i="10"/>
  <c r="J344" i="10"/>
  <c r="J345" i="10"/>
  <c r="J346" i="10"/>
  <c r="J347" i="10"/>
  <c r="J348" i="10"/>
  <c r="J349" i="10"/>
  <c r="J350" i="10"/>
  <c r="J351" i="10"/>
  <c r="J352" i="10"/>
  <c r="J353" i="10"/>
  <c r="J354" i="10"/>
  <c r="J355" i="10"/>
  <c r="J356" i="10"/>
  <c r="J357" i="10"/>
  <c r="J358" i="10"/>
  <c r="J359" i="10"/>
  <c r="J360" i="10"/>
  <c r="J361" i="10"/>
  <c r="J362" i="10"/>
  <c r="J363" i="10"/>
  <c r="J364" i="10"/>
  <c r="J365" i="10"/>
  <c r="J366" i="10"/>
  <c r="J367" i="10"/>
  <c r="J368" i="10"/>
  <c r="J369" i="10"/>
  <c r="J370" i="10"/>
  <c r="J371" i="10"/>
  <c r="J372" i="10"/>
  <c r="J373" i="10"/>
  <c r="J374" i="10"/>
  <c r="J375" i="10"/>
  <c r="J376" i="10"/>
  <c r="J377" i="10"/>
  <c r="J378" i="10"/>
  <c r="J379" i="10"/>
  <c r="J380" i="10"/>
  <c r="J381" i="10"/>
  <c r="J382" i="10"/>
  <c r="J383" i="10"/>
  <c r="J384" i="10"/>
  <c r="J385" i="10"/>
  <c r="J386" i="10"/>
  <c r="J387" i="10"/>
  <c r="J388" i="10"/>
  <c r="J389" i="10"/>
  <c r="J390" i="10"/>
  <c r="J391" i="10"/>
  <c r="J392" i="10"/>
  <c r="J393" i="10"/>
  <c r="J394" i="10"/>
  <c r="J395" i="10"/>
  <c r="J396" i="10"/>
  <c r="J397" i="10"/>
  <c r="J398" i="10"/>
  <c r="J399" i="10"/>
  <c r="J400" i="10"/>
  <c r="J401" i="10"/>
  <c r="J402" i="10"/>
  <c r="J403" i="10"/>
  <c r="J404" i="10"/>
  <c r="J405" i="10"/>
  <c r="J406" i="10"/>
  <c r="J407" i="10"/>
  <c r="J408" i="10"/>
  <c r="J409" i="10"/>
  <c r="J410" i="10"/>
  <c r="J411" i="10"/>
  <c r="J412" i="10"/>
  <c r="J413" i="10"/>
  <c r="J414" i="10"/>
  <c r="J415" i="10"/>
  <c r="J416" i="10"/>
  <c r="J417" i="10"/>
  <c r="J418" i="10"/>
  <c r="J419" i="10"/>
  <c r="J420" i="10"/>
  <c r="J421" i="10"/>
  <c r="J422" i="10"/>
  <c r="J423" i="10"/>
  <c r="J424" i="10"/>
  <c r="J425" i="10"/>
  <c r="J426" i="10"/>
  <c r="J427" i="10"/>
  <c r="J428" i="10"/>
  <c r="J429" i="10"/>
  <c r="J430" i="10"/>
  <c r="J431" i="10"/>
  <c r="J432" i="10"/>
  <c r="J433" i="10"/>
  <c r="J434" i="10"/>
  <c r="J435" i="10"/>
  <c r="J436" i="10"/>
  <c r="J437" i="10"/>
  <c r="J438" i="10"/>
  <c r="J439" i="10"/>
  <c r="J440" i="10"/>
  <c r="J441" i="10"/>
  <c r="J442" i="10"/>
  <c r="J443" i="10"/>
  <c r="J444" i="10"/>
  <c r="J445" i="10"/>
  <c r="J446" i="10"/>
  <c r="J447" i="10"/>
  <c r="J448" i="10"/>
  <c r="J449" i="10"/>
  <c r="J450" i="10"/>
  <c r="J451" i="10"/>
  <c r="J452" i="10"/>
  <c r="J453" i="10"/>
  <c r="J454" i="10"/>
  <c r="J455" i="10"/>
  <c r="J456" i="10"/>
  <c r="J457" i="10"/>
  <c r="J458" i="10"/>
  <c r="J459" i="10"/>
  <c r="J460" i="10"/>
  <c r="J461" i="10"/>
  <c r="J462" i="10"/>
  <c r="J463" i="10"/>
  <c r="J464" i="10"/>
  <c r="J465" i="10"/>
  <c r="J466" i="10"/>
  <c r="J467" i="10"/>
  <c r="J468" i="10"/>
  <c r="J469" i="10"/>
  <c r="J470" i="10"/>
  <c r="J471" i="10"/>
  <c r="J472" i="10"/>
  <c r="J473" i="10"/>
  <c r="J474" i="10"/>
  <c r="J475" i="10"/>
  <c r="J476" i="10"/>
  <c r="J477" i="10"/>
  <c r="J478" i="10"/>
  <c r="J479" i="10"/>
  <c r="J480" i="10"/>
  <c r="J481" i="10"/>
  <c r="J482" i="10"/>
  <c r="J483" i="10"/>
  <c r="J484" i="10"/>
  <c r="J485" i="10"/>
  <c r="J486" i="10"/>
  <c r="J487" i="10"/>
  <c r="J488" i="10"/>
  <c r="J489" i="10"/>
  <c r="J490" i="10"/>
  <c r="J491" i="10"/>
  <c r="J492" i="10"/>
  <c r="J493" i="10"/>
  <c r="J494" i="10"/>
  <c r="J495" i="10"/>
  <c r="J496" i="10"/>
  <c r="J497" i="10"/>
  <c r="J498" i="10"/>
  <c r="J499" i="10"/>
  <c r="J500" i="10"/>
  <c r="J501" i="10"/>
  <c r="J502" i="10"/>
  <c r="J503" i="10"/>
  <c r="J504" i="10"/>
  <c r="J505" i="10"/>
  <c r="J506" i="10"/>
  <c r="J507" i="10"/>
  <c r="J508" i="10"/>
  <c r="J509" i="10"/>
  <c r="J510" i="10"/>
  <c r="J511" i="10"/>
  <c r="J512" i="10"/>
  <c r="J513" i="10"/>
  <c r="J514" i="10"/>
  <c r="J515" i="10"/>
  <c r="J516" i="10"/>
  <c r="J517" i="10"/>
  <c r="J518" i="10"/>
  <c r="J519" i="10"/>
  <c r="J520" i="10"/>
  <c r="J521" i="10"/>
  <c r="J522" i="10"/>
  <c r="J523" i="10"/>
  <c r="J524" i="10"/>
  <c r="J525" i="10"/>
  <c r="J526" i="10"/>
  <c r="J527" i="10"/>
  <c r="J528" i="10"/>
  <c r="J529" i="10"/>
  <c r="J530" i="10"/>
  <c r="J531" i="10"/>
  <c r="J532" i="10"/>
  <c r="J533" i="10"/>
  <c r="J534" i="10"/>
  <c r="J535" i="10"/>
  <c r="J536" i="10"/>
  <c r="J537" i="10"/>
  <c r="J538" i="10"/>
  <c r="J539" i="10"/>
  <c r="J540" i="10"/>
  <c r="J541" i="10"/>
  <c r="J542" i="10"/>
  <c r="J543" i="10"/>
  <c r="J544" i="10"/>
  <c r="J545" i="10"/>
  <c r="J546" i="10"/>
  <c r="J547" i="10"/>
  <c r="J548" i="10"/>
  <c r="J549" i="10"/>
  <c r="J550" i="10"/>
  <c r="J551" i="10"/>
  <c r="J552" i="10"/>
  <c r="J553" i="10"/>
  <c r="J554" i="10"/>
  <c r="J555" i="10"/>
  <c r="J556" i="10"/>
  <c r="J557" i="10"/>
  <c r="J558" i="10"/>
  <c r="J559" i="10"/>
  <c r="J560" i="10"/>
  <c r="J561" i="10"/>
  <c r="J562" i="10"/>
  <c r="J563" i="10"/>
  <c r="J564" i="10"/>
  <c r="J565" i="10"/>
  <c r="J566" i="10"/>
  <c r="J567" i="10"/>
  <c r="J568" i="10"/>
  <c r="J569" i="10"/>
  <c r="J570" i="10"/>
  <c r="J571" i="10"/>
  <c r="J572" i="10"/>
  <c r="J573" i="10"/>
  <c r="J574" i="10"/>
  <c r="J575" i="10"/>
  <c r="J576" i="10"/>
  <c r="J577" i="10"/>
  <c r="J578" i="10"/>
  <c r="J579" i="10"/>
  <c r="J580" i="10"/>
  <c r="J581" i="10"/>
  <c r="J582" i="10"/>
  <c r="J583" i="10"/>
  <c r="J584" i="10"/>
  <c r="J585" i="10"/>
  <c r="J586" i="10"/>
  <c r="J587" i="10"/>
  <c r="J588" i="10"/>
  <c r="J589" i="10"/>
  <c r="J590" i="10"/>
  <c r="J591" i="10"/>
  <c r="J592" i="10"/>
  <c r="J593" i="10"/>
  <c r="J594" i="10"/>
  <c r="J595" i="10"/>
  <c r="J596" i="10"/>
  <c r="J597" i="10"/>
  <c r="J598" i="10"/>
  <c r="J599" i="10"/>
  <c r="J600" i="10"/>
  <c r="J601" i="10"/>
  <c r="J602" i="10"/>
  <c r="J603" i="10"/>
  <c r="J604" i="10"/>
  <c r="J605" i="10"/>
  <c r="J606" i="10"/>
  <c r="J607" i="10"/>
  <c r="J608" i="10"/>
  <c r="J609" i="10"/>
  <c r="J610" i="10"/>
  <c r="J611" i="10"/>
  <c r="J612" i="10"/>
  <c r="J613" i="10"/>
  <c r="J614" i="10"/>
  <c r="J615" i="10"/>
  <c r="J616" i="10"/>
  <c r="J617" i="10"/>
  <c r="J618" i="10"/>
  <c r="J619" i="10"/>
  <c r="J620" i="10"/>
  <c r="J621" i="10"/>
  <c r="J622" i="10"/>
  <c r="J623" i="10"/>
  <c r="J624" i="10"/>
  <c r="J625" i="10"/>
  <c r="J626" i="10"/>
  <c r="J627" i="10"/>
  <c r="J628" i="10"/>
  <c r="J629" i="10"/>
  <c r="J630" i="10"/>
  <c r="J631" i="10"/>
  <c r="J632" i="10"/>
  <c r="J633" i="10"/>
  <c r="J634" i="10"/>
  <c r="J635" i="10"/>
  <c r="J636" i="10"/>
  <c r="J637" i="10"/>
  <c r="J638" i="10"/>
  <c r="J639" i="10"/>
  <c r="J640" i="10"/>
  <c r="J641" i="10"/>
  <c r="J642" i="10"/>
  <c r="J643" i="10"/>
  <c r="J644" i="10"/>
  <c r="J645" i="10"/>
  <c r="J646" i="10"/>
  <c r="J647" i="10"/>
  <c r="J648" i="10"/>
  <c r="J649" i="10"/>
  <c r="J650" i="10"/>
  <c r="J651" i="10"/>
  <c r="J652" i="10"/>
  <c r="J653" i="10"/>
  <c r="M640" i="10" l="1"/>
  <c r="K640" i="10"/>
  <c r="L640" i="10"/>
  <c r="M584" i="10"/>
  <c r="K584" i="10"/>
  <c r="L584" i="10"/>
  <c r="M520" i="10"/>
  <c r="L520" i="10"/>
  <c r="K520" i="10"/>
  <c r="M464" i="10"/>
  <c r="K464" i="10"/>
  <c r="L464" i="10"/>
  <c r="L416" i="10"/>
  <c r="M416" i="10"/>
  <c r="K416" i="10"/>
  <c r="M631" i="10"/>
  <c r="L631" i="10"/>
  <c r="K631" i="10"/>
  <c r="M583" i="10"/>
  <c r="L583" i="10"/>
  <c r="K583" i="10"/>
  <c r="M543" i="10"/>
  <c r="L543" i="10"/>
  <c r="K543" i="10"/>
  <c r="M503" i="10"/>
  <c r="L503" i="10"/>
  <c r="K503" i="10"/>
  <c r="M463" i="10"/>
  <c r="L463" i="10"/>
  <c r="K463" i="10"/>
  <c r="M645" i="10"/>
  <c r="L645" i="10"/>
  <c r="K645" i="10"/>
  <c r="L643" i="10"/>
  <c r="M643" i="10"/>
  <c r="K643" i="10"/>
  <c r="M627" i="10"/>
  <c r="L627" i="10"/>
  <c r="K627" i="10"/>
  <c r="M603" i="10"/>
  <c r="L603" i="10"/>
  <c r="K603" i="10"/>
  <c r="M587" i="10"/>
  <c r="L587" i="10"/>
  <c r="K587" i="10"/>
  <c r="M649" i="10"/>
  <c r="K649" i="10"/>
  <c r="L649" i="10"/>
  <c r="M633" i="10"/>
  <c r="K633" i="10"/>
  <c r="L633" i="10"/>
  <c r="M625" i="10"/>
  <c r="L625" i="10"/>
  <c r="K625" i="10"/>
  <c r="M617" i="10"/>
  <c r="K617" i="10"/>
  <c r="L617" i="10"/>
  <c r="M609" i="10"/>
  <c r="K609" i="10"/>
  <c r="L609" i="10"/>
  <c r="M601" i="10"/>
  <c r="L601" i="10"/>
  <c r="K601" i="10"/>
  <c r="M593" i="10"/>
  <c r="K593" i="10"/>
  <c r="L593" i="10"/>
  <c r="M585" i="10"/>
  <c r="L585" i="10"/>
  <c r="K585" i="10"/>
  <c r="M577" i="10"/>
  <c r="K577" i="10"/>
  <c r="L577" i="10"/>
  <c r="M569" i="10"/>
  <c r="K569" i="10"/>
  <c r="L569" i="10"/>
  <c r="M561" i="10"/>
  <c r="K561" i="10"/>
  <c r="L561" i="10"/>
  <c r="M553" i="10"/>
  <c r="K553" i="10"/>
  <c r="L553" i="10"/>
  <c r="M545" i="10"/>
  <c r="K545" i="10"/>
  <c r="L545" i="10"/>
  <c r="M529" i="10"/>
  <c r="L529" i="10"/>
  <c r="K529" i="10"/>
  <c r="M521" i="10"/>
  <c r="L521" i="10"/>
  <c r="K521" i="10"/>
  <c r="M513" i="10"/>
  <c r="K513" i="10"/>
  <c r="L513" i="10"/>
  <c r="M505" i="10"/>
  <c r="L505" i="10"/>
  <c r="K505" i="10"/>
  <c r="M497" i="10"/>
  <c r="K497" i="10"/>
  <c r="L497" i="10"/>
  <c r="M489" i="10"/>
  <c r="K489" i="10"/>
  <c r="L489" i="10"/>
  <c r="M481" i="10"/>
  <c r="K481" i="10"/>
  <c r="L481" i="10"/>
  <c r="M473" i="10"/>
  <c r="L473" i="10"/>
  <c r="K473" i="10"/>
  <c r="M465" i="10"/>
  <c r="K465" i="10"/>
  <c r="L465" i="10"/>
  <c r="M457" i="10"/>
  <c r="L457" i="10"/>
  <c r="K457" i="10"/>
  <c r="M449" i="10"/>
  <c r="K449" i="10"/>
  <c r="L449" i="10"/>
  <c r="M441" i="10"/>
  <c r="L441" i="10"/>
  <c r="K441" i="10"/>
  <c r="M425" i="10"/>
  <c r="L425" i="10"/>
  <c r="K425" i="10"/>
  <c r="M417" i="10"/>
  <c r="L417" i="10"/>
  <c r="K417" i="10"/>
  <c r="M409" i="10"/>
  <c r="L409" i="10"/>
  <c r="K409" i="10"/>
  <c r="M401" i="10"/>
  <c r="L401" i="10"/>
  <c r="K401" i="10"/>
  <c r="M393" i="10"/>
  <c r="K393" i="10"/>
  <c r="L393" i="10"/>
  <c r="M385" i="10"/>
  <c r="L385" i="10"/>
  <c r="K385" i="10"/>
  <c r="M377" i="10"/>
  <c r="K377" i="10"/>
  <c r="L377" i="10"/>
  <c r="M369" i="10"/>
  <c r="L369" i="10"/>
  <c r="K369" i="10"/>
  <c r="M361" i="10"/>
  <c r="L361" i="10"/>
  <c r="K361" i="10"/>
  <c r="M353" i="10"/>
  <c r="L353" i="10"/>
  <c r="K353" i="10"/>
  <c r="M345" i="10"/>
  <c r="K345" i="10"/>
  <c r="L345" i="10"/>
  <c r="M337" i="10"/>
  <c r="L337" i="10"/>
  <c r="K337" i="10"/>
  <c r="M321" i="10"/>
  <c r="L321" i="10"/>
  <c r="K321" i="10"/>
  <c r="M313" i="10"/>
  <c r="K313" i="10"/>
  <c r="L313" i="10"/>
  <c r="M632" i="10"/>
  <c r="K632" i="10"/>
  <c r="L632" i="10"/>
  <c r="M536" i="10"/>
  <c r="K536" i="10"/>
  <c r="L536" i="10"/>
  <c r="M392" i="10"/>
  <c r="K392" i="10"/>
  <c r="L392" i="10"/>
  <c r="M336" i="10"/>
  <c r="L336" i="10"/>
  <c r="K336" i="10"/>
  <c r="M623" i="10"/>
  <c r="L623" i="10"/>
  <c r="K623" i="10"/>
  <c r="M575" i="10"/>
  <c r="L575" i="10"/>
  <c r="K575" i="10"/>
  <c r="M527" i="10"/>
  <c r="L527" i="10"/>
  <c r="K527" i="10"/>
  <c r="M495" i="10"/>
  <c r="L495" i="10"/>
  <c r="K495" i="10"/>
  <c r="M447" i="10"/>
  <c r="L447" i="10"/>
  <c r="K447" i="10"/>
  <c r="M399" i="10"/>
  <c r="L399" i="10"/>
  <c r="K399" i="10"/>
  <c r="M367" i="10"/>
  <c r="L367" i="10"/>
  <c r="K367" i="10"/>
  <c r="M351" i="10"/>
  <c r="L351" i="10"/>
  <c r="K351" i="10"/>
  <c r="M335" i="10"/>
  <c r="L335" i="10"/>
  <c r="K335" i="10"/>
  <c r="M319" i="10"/>
  <c r="L319" i="10"/>
  <c r="K319" i="10"/>
  <c r="M287" i="10"/>
  <c r="L287" i="10"/>
  <c r="K287" i="10"/>
  <c r="M279" i="10"/>
  <c r="L279" i="10"/>
  <c r="K279" i="10"/>
  <c r="M271" i="10"/>
  <c r="L271" i="10"/>
  <c r="K271" i="10"/>
  <c r="M263" i="10"/>
  <c r="L263" i="10"/>
  <c r="K263" i="10"/>
  <c r="M255" i="10"/>
  <c r="L255" i="10"/>
  <c r="K255" i="10"/>
  <c r="M247" i="10"/>
  <c r="L247" i="10"/>
  <c r="K247" i="10"/>
  <c r="M239" i="10"/>
  <c r="L239" i="10"/>
  <c r="K239" i="10"/>
  <c r="M231" i="10"/>
  <c r="L231" i="10"/>
  <c r="K231" i="10"/>
  <c r="M223" i="10"/>
  <c r="L223" i="10"/>
  <c r="K223" i="10"/>
  <c r="M215" i="10"/>
  <c r="L215" i="10"/>
  <c r="K215" i="10"/>
  <c r="M207" i="10"/>
  <c r="L207" i="10"/>
  <c r="K207" i="10"/>
  <c r="M191" i="10"/>
  <c r="L191" i="10"/>
  <c r="K191" i="10"/>
  <c r="M183" i="10"/>
  <c r="L183" i="10"/>
  <c r="K183" i="10"/>
  <c r="M175" i="10"/>
  <c r="L175" i="10"/>
  <c r="K175" i="10"/>
  <c r="M167" i="10"/>
  <c r="L167" i="10"/>
  <c r="K167" i="10"/>
  <c r="M159" i="10"/>
  <c r="L159" i="10"/>
  <c r="K159" i="10"/>
  <c r="M151" i="10"/>
  <c r="L151" i="10"/>
  <c r="K151" i="10"/>
  <c r="M143" i="10"/>
  <c r="L143" i="10"/>
  <c r="K143" i="10"/>
  <c r="M135" i="10"/>
  <c r="L135" i="10"/>
  <c r="K135" i="10"/>
  <c r="M127" i="10"/>
  <c r="L127" i="10"/>
  <c r="K127" i="10"/>
  <c r="M119" i="10"/>
  <c r="L119" i="10"/>
  <c r="K119" i="10"/>
  <c r="M111" i="10"/>
  <c r="L111" i="10"/>
  <c r="K111" i="10"/>
  <c r="M103" i="10"/>
  <c r="L103" i="10"/>
  <c r="K103" i="10"/>
  <c r="M87" i="10"/>
  <c r="L87" i="10"/>
  <c r="K87" i="10"/>
  <c r="M79" i="10"/>
  <c r="L79" i="10"/>
  <c r="K79" i="10"/>
  <c r="M71" i="10"/>
  <c r="L71" i="10"/>
  <c r="K71" i="10"/>
  <c r="M63" i="10"/>
  <c r="L63" i="10"/>
  <c r="K63" i="10"/>
  <c r="M55" i="10"/>
  <c r="L55" i="10"/>
  <c r="K55" i="10"/>
  <c r="M47" i="10"/>
  <c r="L47" i="10"/>
  <c r="K47" i="10"/>
  <c r="M39" i="10"/>
  <c r="L39" i="10"/>
  <c r="K39" i="10"/>
  <c r="M31" i="10"/>
  <c r="L31" i="10"/>
  <c r="K31" i="10"/>
  <c r="M23" i="10"/>
  <c r="L23" i="10"/>
  <c r="K23" i="10"/>
  <c r="M15" i="10"/>
  <c r="L15" i="10"/>
  <c r="K15" i="10"/>
  <c r="M7" i="10"/>
  <c r="L7" i="10"/>
  <c r="K7" i="10"/>
  <c r="M624" i="10"/>
  <c r="L624" i="10"/>
  <c r="K624" i="10"/>
  <c r="M568" i="10"/>
  <c r="K568" i="10"/>
  <c r="L568" i="10"/>
  <c r="M528" i="10"/>
  <c r="K528" i="10"/>
  <c r="L528" i="10"/>
  <c r="M480" i="10"/>
  <c r="K480" i="10"/>
  <c r="L480" i="10"/>
  <c r="M424" i="10"/>
  <c r="L424" i="10"/>
  <c r="K424" i="10"/>
  <c r="M376" i="10"/>
  <c r="K376" i="10"/>
  <c r="L376" i="10"/>
  <c r="M639" i="10"/>
  <c r="L639" i="10"/>
  <c r="K639" i="10"/>
  <c r="M599" i="10"/>
  <c r="L599" i="10"/>
  <c r="K599" i="10"/>
  <c r="M551" i="10"/>
  <c r="L551" i="10"/>
  <c r="K551" i="10"/>
  <c r="M471" i="10"/>
  <c r="L471" i="10"/>
  <c r="K471" i="10"/>
  <c r="M423" i="10"/>
  <c r="L423" i="10"/>
  <c r="K423" i="10"/>
  <c r="M375" i="10"/>
  <c r="L375" i="10"/>
  <c r="K375" i="10"/>
  <c r="M359" i="10"/>
  <c r="L359" i="10"/>
  <c r="K359" i="10"/>
  <c r="M343" i="10"/>
  <c r="L343" i="10"/>
  <c r="K343" i="10"/>
  <c r="M327" i="10"/>
  <c r="L327" i="10"/>
  <c r="K327" i="10"/>
  <c r="M311" i="10"/>
  <c r="L311" i="10"/>
  <c r="K311" i="10"/>
  <c r="M295" i="10"/>
  <c r="L295" i="10"/>
  <c r="K295" i="10"/>
  <c r="M646" i="10"/>
  <c r="L646" i="10"/>
  <c r="K646" i="10"/>
  <c r="M638" i="10"/>
  <c r="L638" i="10"/>
  <c r="K638" i="10"/>
  <c r="M630" i="10"/>
  <c r="L630" i="10"/>
  <c r="K630" i="10"/>
  <c r="M622" i="10"/>
  <c r="L622" i="10"/>
  <c r="K622" i="10"/>
  <c r="M614" i="10"/>
  <c r="L614" i="10"/>
  <c r="K614" i="10"/>
  <c r="M606" i="10"/>
  <c r="L606" i="10"/>
  <c r="K606" i="10"/>
  <c r="M598" i="10"/>
  <c r="L598" i="10"/>
  <c r="K598" i="10"/>
  <c r="M590" i="10"/>
  <c r="L590" i="10"/>
  <c r="K590" i="10"/>
  <c r="M582" i="10"/>
  <c r="L582" i="10"/>
  <c r="K582" i="10"/>
  <c r="M574" i="10"/>
  <c r="L574" i="10"/>
  <c r="K574" i="10"/>
  <c r="M566" i="10"/>
  <c r="L566" i="10"/>
  <c r="K566" i="10"/>
  <c r="M558" i="10"/>
  <c r="L558" i="10"/>
  <c r="K558" i="10"/>
  <c r="M542" i="10"/>
  <c r="L542" i="10"/>
  <c r="K542" i="10"/>
  <c r="M534" i="10"/>
  <c r="L534" i="10"/>
  <c r="K534" i="10"/>
  <c r="M526" i="10"/>
  <c r="L526" i="10"/>
  <c r="K526" i="10"/>
  <c r="M518" i="10"/>
  <c r="L518" i="10"/>
  <c r="K518" i="10"/>
  <c r="M510" i="10"/>
  <c r="L510" i="10"/>
  <c r="K510" i="10"/>
  <c r="M502" i="10"/>
  <c r="L502" i="10"/>
  <c r="K502" i="10"/>
  <c r="M494" i="10"/>
  <c r="L494" i="10"/>
  <c r="K494" i="10"/>
  <c r="M486" i="10"/>
  <c r="L486" i="10"/>
  <c r="K486" i="10"/>
  <c r="M478" i="10"/>
  <c r="L478" i="10"/>
  <c r="K478" i="10"/>
  <c r="M470" i="10"/>
  <c r="L470" i="10"/>
  <c r="K470" i="10"/>
  <c r="M462" i="10"/>
  <c r="L462" i="10"/>
  <c r="K462" i="10"/>
  <c r="M454" i="10"/>
  <c r="L454" i="10"/>
  <c r="K454" i="10"/>
  <c r="M438" i="10"/>
  <c r="L438" i="10"/>
  <c r="K438" i="10"/>
  <c r="M430" i="10"/>
  <c r="L430" i="10"/>
  <c r="K430" i="10"/>
  <c r="M422" i="10"/>
  <c r="L422" i="10"/>
  <c r="K422" i="10"/>
  <c r="M414" i="10"/>
  <c r="L414" i="10"/>
  <c r="K414" i="10"/>
  <c r="M406" i="10"/>
  <c r="L406" i="10"/>
  <c r="K406" i="10"/>
  <c r="M398" i="10"/>
  <c r="L398" i="10"/>
  <c r="K398" i="10"/>
  <c r="M390" i="10"/>
  <c r="L390" i="10"/>
  <c r="K390" i="10"/>
  <c r="M382" i="10"/>
  <c r="L382" i="10"/>
  <c r="K382" i="10"/>
  <c r="M374" i="10"/>
  <c r="L374" i="10"/>
  <c r="K374" i="10"/>
  <c r="M366" i="10"/>
  <c r="L366" i="10"/>
  <c r="K366" i="10"/>
  <c r="M358" i="10"/>
  <c r="L358" i="10"/>
  <c r="K358" i="10"/>
  <c r="M350" i="10"/>
  <c r="L350" i="10"/>
  <c r="K350" i="10"/>
  <c r="M334" i="10"/>
  <c r="L334" i="10"/>
  <c r="K334" i="10"/>
  <c r="M326" i="10"/>
  <c r="L326" i="10"/>
  <c r="K326" i="10"/>
  <c r="M318" i="10"/>
  <c r="L318" i="10"/>
  <c r="K318" i="10"/>
  <c r="M616" i="10"/>
  <c r="K616" i="10"/>
  <c r="L616" i="10"/>
  <c r="M552" i="10"/>
  <c r="K552" i="10"/>
  <c r="L552" i="10"/>
  <c r="M504" i="10"/>
  <c r="L504" i="10"/>
  <c r="K504" i="10"/>
  <c r="M448" i="10"/>
  <c r="L448" i="10"/>
  <c r="K448" i="10"/>
  <c r="L400" i="10"/>
  <c r="K400" i="10"/>
  <c r="M400" i="10"/>
  <c r="M352" i="10"/>
  <c r="L352" i="10"/>
  <c r="K352" i="10"/>
  <c r="M559" i="10"/>
  <c r="L559" i="10"/>
  <c r="K559" i="10"/>
  <c r="M487" i="10"/>
  <c r="L487" i="10"/>
  <c r="K487" i="10"/>
  <c r="M439" i="10"/>
  <c r="L439" i="10"/>
  <c r="K439" i="10"/>
  <c r="M383" i="10"/>
  <c r="L383" i="10"/>
  <c r="K383" i="10"/>
  <c r="M621" i="10"/>
  <c r="K621" i="10"/>
  <c r="L621" i="10"/>
  <c r="M605" i="10"/>
  <c r="L605" i="10"/>
  <c r="K605" i="10"/>
  <c r="M573" i="10"/>
  <c r="L573" i="10"/>
  <c r="K573" i="10"/>
  <c r="M557" i="10"/>
  <c r="L557" i="10"/>
  <c r="K557" i="10"/>
  <c r="M549" i="10"/>
  <c r="L549" i="10"/>
  <c r="K549" i="10"/>
  <c r="M541" i="10"/>
  <c r="L541" i="10"/>
  <c r="K541" i="10"/>
  <c r="M533" i="10"/>
  <c r="L533" i="10"/>
  <c r="K533" i="10"/>
  <c r="M525" i="10"/>
  <c r="L525" i="10"/>
  <c r="K525" i="10"/>
  <c r="M517" i="10"/>
  <c r="L517" i="10"/>
  <c r="K517" i="10"/>
  <c r="M509" i="10"/>
  <c r="L509" i="10"/>
  <c r="K509" i="10"/>
  <c r="M501" i="10"/>
  <c r="L501" i="10"/>
  <c r="K501" i="10"/>
  <c r="M493" i="10"/>
  <c r="L493" i="10"/>
  <c r="K493" i="10"/>
  <c r="M477" i="10"/>
  <c r="L477" i="10"/>
  <c r="K477" i="10"/>
  <c r="M469" i="10"/>
  <c r="L469" i="10"/>
  <c r="K469" i="10"/>
  <c r="M461" i="10"/>
  <c r="L461" i="10"/>
  <c r="K461" i="10"/>
  <c r="M453" i="10"/>
  <c r="L453" i="10"/>
  <c r="K453" i="10"/>
  <c r="M445" i="10"/>
  <c r="L445" i="10"/>
  <c r="K445" i="10"/>
  <c r="M437" i="10"/>
  <c r="K437" i="10"/>
  <c r="L437" i="10"/>
  <c r="M429" i="10"/>
  <c r="L429" i="10"/>
  <c r="K429" i="10"/>
  <c r="M421" i="10"/>
  <c r="L421" i="10"/>
  <c r="K421" i="10"/>
  <c r="M413" i="10"/>
  <c r="L413" i="10"/>
  <c r="K413" i="10"/>
  <c r="M405" i="10"/>
  <c r="L405" i="10"/>
  <c r="K405" i="10"/>
  <c r="M397" i="10"/>
  <c r="L397" i="10"/>
  <c r="K397" i="10"/>
  <c r="M389" i="10"/>
  <c r="L389" i="10"/>
  <c r="K389" i="10"/>
  <c r="M373" i="10"/>
  <c r="L373" i="10"/>
  <c r="K373" i="10"/>
  <c r="M365" i="10"/>
  <c r="L365" i="10"/>
  <c r="K365" i="10"/>
  <c r="M357" i="10"/>
  <c r="L357" i="10"/>
  <c r="K357" i="10"/>
  <c r="M349" i="10"/>
  <c r="L349" i="10"/>
  <c r="K349" i="10"/>
  <c r="M341" i="10"/>
  <c r="L341" i="10"/>
  <c r="K341" i="10"/>
  <c r="M333" i="10"/>
  <c r="L333" i="10"/>
  <c r="K333" i="10"/>
  <c r="M325" i="10"/>
  <c r="L325" i="10"/>
  <c r="K325" i="10"/>
  <c r="M317" i="10"/>
  <c r="L317" i="10"/>
  <c r="K317" i="10"/>
  <c r="M309" i="10"/>
  <c r="L309" i="10"/>
  <c r="K309" i="10"/>
  <c r="M301" i="10"/>
  <c r="K301" i="10"/>
  <c r="L301" i="10"/>
  <c r="M293" i="10"/>
  <c r="L293" i="10"/>
  <c r="K293" i="10"/>
  <c r="M285" i="10"/>
  <c r="L285" i="10"/>
  <c r="K285" i="10"/>
  <c r="M269" i="10"/>
  <c r="K269" i="10"/>
  <c r="L269" i="10"/>
  <c r="M261" i="10"/>
  <c r="L261" i="10"/>
  <c r="K261" i="10"/>
  <c r="M253" i="10"/>
  <c r="L253" i="10"/>
  <c r="K253" i="10"/>
  <c r="M245" i="10"/>
  <c r="L245" i="10"/>
  <c r="K245" i="10"/>
  <c r="M237" i="10"/>
  <c r="L237" i="10"/>
  <c r="K237" i="10"/>
  <c r="M600" i="10"/>
  <c r="K600" i="10"/>
  <c r="L600" i="10"/>
  <c r="M544" i="10"/>
  <c r="K544" i="10"/>
  <c r="L544" i="10"/>
  <c r="M488" i="10"/>
  <c r="L488" i="10"/>
  <c r="K488" i="10"/>
  <c r="M440" i="10"/>
  <c r="L440" i="10"/>
  <c r="K440" i="10"/>
  <c r="M384" i="10"/>
  <c r="L384" i="10"/>
  <c r="K384" i="10"/>
  <c r="M647" i="10"/>
  <c r="L647" i="10"/>
  <c r="K647" i="10"/>
  <c r="M607" i="10"/>
  <c r="L607" i="10"/>
  <c r="K607" i="10"/>
  <c r="M567" i="10"/>
  <c r="L567" i="10"/>
  <c r="K567" i="10"/>
  <c r="M519" i="10"/>
  <c r="L519" i="10"/>
  <c r="K519" i="10"/>
  <c r="M479" i="10"/>
  <c r="L479" i="10"/>
  <c r="K479" i="10"/>
  <c r="M415" i="10"/>
  <c r="L415" i="10"/>
  <c r="K415" i="10"/>
  <c r="M637" i="10"/>
  <c r="L637" i="10"/>
  <c r="K637" i="10"/>
  <c r="M613" i="10"/>
  <c r="L613" i="10"/>
  <c r="K613" i="10"/>
  <c r="M597" i="10"/>
  <c r="K597" i="10"/>
  <c r="L597" i="10"/>
  <c r="M581" i="10"/>
  <c r="K581" i="10"/>
  <c r="L581" i="10"/>
  <c r="M565" i="10"/>
  <c r="L565" i="10"/>
  <c r="K565" i="10"/>
  <c r="M652" i="10"/>
  <c r="L652" i="10"/>
  <c r="K652" i="10"/>
  <c r="M644" i="10"/>
  <c r="L644" i="10"/>
  <c r="K644" i="10"/>
  <c r="M636" i="10"/>
  <c r="L636" i="10"/>
  <c r="K636" i="10"/>
  <c r="L620" i="10"/>
  <c r="M620" i="10"/>
  <c r="K620" i="10"/>
  <c r="M612" i="10"/>
  <c r="L612" i="10"/>
  <c r="K612" i="10"/>
  <c r="M604" i="10"/>
  <c r="L604" i="10"/>
  <c r="K604" i="10"/>
  <c r="M596" i="10"/>
  <c r="L596" i="10"/>
  <c r="K596" i="10"/>
  <c r="M588" i="10"/>
  <c r="L588" i="10"/>
  <c r="K588" i="10"/>
  <c r="M580" i="10"/>
  <c r="L580" i="10"/>
  <c r="K580" i="10"/>
  <c r="M572" i="10"/>
  <c r="L572" i="10"/>
  <c r="K572" i="10"/>
  <c r="M564" i="10"/>
  <c r="L564" i="10"/>
  <c r="K564" i="10"/>
  <c r="M556" i="10"/>
  <c r="L556" i="10"/>
  <c r="K556" i="10"/>
  <c r="M548" i="10"/>
  <c r="L548" i="10"/>
  <c r="K548" i="10"/>
  <c r="M540" i="10"/>
  <c r="L540" i="10"/>
  <c r="K540" i="10"/>
  <c r="L532" i="10"/>
  <c r="M532" i="10"/>
  <c r="K532" i="10"/>
  <c r="M516" i="10"/>
  <c r="L516" i="10"/>
  <c r="K516" i="10"/>
  <c r="M508" i="10"/>
  <c r="L508" i="10"/>
  <c r="K508" i="10"/>
  <c r="M500" i="10"/>
  <c r="L500" i="10"/>
  <c r="K500" i="10"/>
  <c r="L492" i="10"/>
  <c r="M492" i="10"/>
  <c r="K492" i="10"/>
  <c r="M484" i="10"/>
  <c r="L484" i="10"/>
  <c r="K484" i="10"/>
  <c r="M476" i="10"/>
  <c r="L476" i="10"/>
  <c r="K476" i="10"/>
  <c r="M468" i="10"/>
  <c r="L468" i="10"/>
  <c r="K468" i="10"/>
  <c r="M460" i="10"/>
  <c r="L460" i="10"/>
  <c r="K460" i="10"/>
  <c r="M452" i="10"/>
  <c r="L452" i="10"/>
  <c r="K452" i="10"/>
  <c r="M444" i="10"/>
  <c r="L444" i="10"/>
  <c r="K444" i="10"/>
  <c r="M436" i="10"/>
  <c r="K436" i="10"/>
  <c r="L436" i="10"/>
  <c r="M428" i="10"/>
  <c r="L428" i="10"/>
  <c r="K428" i="10"/>
  <c r="M412" i="10"/>
  <c r="L412" i="10"/>
  <c r="K412" i="10"/>
  <c r="M404" i="10"/>
  <c r="L404" i="10"/>
  <c r="K404" i="10"/>
  <c r="L396" i="10"/>
  <c r="M396" i="10"/>
  <c r="K396" i="10"/>
  <c r="M388" i="10"/>
  <c r="L388" i="10"/>
  <c r="K388" i="10"/>
  <c r="M380" i="10"/>
  <c r="L380" i="10"/>
  <c r="K380" i="10"/>
  <c r="M372" i="10"/>
  <c r="L372" i="10"/>
  <c r="K372" i="10"/>
  <c r="M364" i="10"/>
  <c r="L364" i="10"/>
  <c r="K364" i="10"/>
  <c r="M356" i="10"/>
  <c r="L356" i="10"/>
  <c r="K356" i="10"/>
  <c r="M348" i="10"/>
  <c r="L348" i="10"/>
  <c r="K348" i="10"/>
  <c r="L340" i="10"/>
  <c r="M340" i="10"/>
  <c r="K340" i="10"/>
  <c r="M332" i="10"/>
  <c r="K332" i="10"/>
  <c r="L332" i="10"/>
  <c r="M648" i="10"/>
  <c r="K648" i="10"/>
  <c r="L648" i="10"/>
  <c r="M592" i="10"/>
  <c r="K592" i="10"/>
  <c r="L592" i="10"/>
  <c r="K496" i="10"/>
  <c r="L496" i="10"/>
  <c r="M496" i="10"/>
  <c r="M432" i="10"/>
  <c r="L432" i="10"/>
  <c r="K432" i="10"/>
  <c r="M360" i="10"/>
  <c r="L360" i="10"/>
  <c r="K360" i="10"/>
  <c r="M591" i="10"/>
  <c r="L591" i="10"/>
  <c r="K591" i="10"/>
  <c r="M535" i="10"/>
  <c r="L535" i="10"/>
  <c r="K535" i="10"/>
  <c r="M455" i="10"/>
  <c r="L455" i="10"/>
  <c r="K455" i="10"/>
  <c r="M391" i="10"/>
  <c r="L391" i="10"/>
  <c r="K391" i="10"/>
  <c r="L651" i="10"/>
  <c r="M651" i="10"/>
  <c r="K651" i="10"/>
  <c r="L619" i="10"/>
  <c r="M619" i="10"/>
  <c r="K619" i="10"/>
  <c r="M595" i="10"/>
  <c r="L595" i="10"/>
  <c r="K595" i="10"/>
  <c r="M571" i="10"/>
  <c r="L571" i="10"/>
  <c r="K571" i="10"/>
  <c r="M555" i="10"/>
  <c r="L555" i="10"/>
  <c r="K555" i="10"/>
  <c r="L547" i="10"/>
  <c r="M547" i="10"/>
  <c r="K547" i="10"/>
  <c r="M539" i="10"/>
  <c r="L539" i="10"/>
  <c r="K539" i="10"/>
  <c r="L531" i="10"/>
  <c r="M531" i="10"/>
  <c r="K531" i="10"/>
  <c r="L523" i="10"/>
  <c r="M523" i="10"/>
  <c r="K523" i="10"/>
  <c r="L515" i="10"/>
  <c r="M515" i="10"/>
  <c r="K515" i="10"/>
  <c r="L507" i="10"/>
  <c r="M507" i="10"/>
  <c r="K507" i="10"/>
  <c r="M499" i="10"/>
  <c r="L499" i="10"/>
  <c r="K499" i="10"/>
  <c r="L491" i="10"/>
  <c r="M491" i="10"/>
  <c r="K491" i="10"/>
  <c r="M483" i="10"/>
  <c r="L483" i="10"/>
  <c r="K483" i="10"/>
  <c r="L475" i="10"/>
  <c r="M475" i="10"/>
  <c r="K475" i="10"/>
  <c r="L467" i="10"/>
  <c r="M467" i="10"/>
  <c r="K467" i="10"/>
  <c r="L451" i="10"/>
  <c r="M451" i="10"/>
  <c r="K451" i="10"/>
  <c r="M443" i="10"/>
  <c r="L443" i="10"/>
  <c r="K443" i="10"/>
  <c r="L435" i="10"/>
  <c r="M435" i="10"/>
  <c r="K435" i="10"/>
  <c r="L427" i="10"/>
  <c r="M427" i="10"/>
  <c r="K427" i="10"/>
  <c r="L419" i="10"/>
  <c r="M419" i="10"/>
  <c r="K419" i="10"/>
  <c r="L411" i="10"/>
  <c r="M411" i="10"/>
  <c r="K411" i="10"/>
  <c r="L403" i="10"/>
  <c r="M403" i="10"/>
  <c r="K403" i="10"/>
  <c r="L395" i="10"/>
  <c r="M395" i="10"/>
  <c r="K395" i="10"/>
  <c r="M387" i="10"/>
  <c r="L387" i="10"/>
  <c r="K387" i="10"/>
  <c r="L379" i="10"/>
  <c r="M379" i="10"/>
  <c r="K379" i="10"/>
  <c r="L371" i="10"/>
  <c r="M371" i="10"/>
  <c r="K371" i="10"/>
  <c r="L363" i="10"/>
  <c r="M363" i="10"/>
  <c r="K363" i="10"/>
  <c r="M347" i="10"/>
  <c r="L347" i="10"/>
  <c r="K347" i="10"/>
  <c r="L339" i="10"/>
  <c r="M339" i="10"/>
  <c r="K339" i="10"/>
  <c r="L331" i="10"/>
  <c r="M331" i="10"/>
  <c r="K331" i="10"/>
  <c r="M608" i="10"/>
  <c r="K608" i="10"/>
  <c r="L608" i="10"/>
  <c r="M560" i="10"/>
  <c r="K560" i="10"/>
  <c r="L560" i="10"/>
  <c r="M512" i="10"/>
  <c r="L512" i="10"/>
  <c r="K512" i="10"/>
  <c r="L456" i="10"/>
  <c r="M456" i="10"/>
  <c r="K456" i="10"/>
  <c r="M408" i="10"/>
  <c r="L408" i="10"/>
  <c r="K408" i="10"/>
  <c r="M344" i="10"/>
  <c r="L344" i="10"/>
  <c r="K344" i="10"/>
  <c r="M431" i="10"/>
  <c r="L431" i="10"/>
  <c r="K431" i="10"/>
  <c r="M653" i="10"/>
  <c r="L653" i="10"/>
  <c r="K653" i="10"/>
  <c r="M629" i="10"/>
  <c r="L629" i="10"/>
  <c r="K629" i="10"/>
  <c r="L635" i="10"/>
  <c r="M635" i="10"/>
  <c r="K635" i="10"/>
  <c r="M611" i="10"/>
  <c r="L611" i="10"/>
  <c r="K611" i="10"/>
  <c r="M579" i="10"/>
  <c r="L579" i="10"/>
  <c r="K579" i="10"/>
  <c r="M650" i="10"/>
  <c r="L650" i="10"/>
  <c r="K650" i="10"/>
  <c r="M642" i="10"/>
  <c r="L642" i="10"/>
  <c r="K642" i="10"/>
  <c r="M634" i="10"/>
  <c r="L634" i="10"/>
  <c r="K634" i="10"/>
  <c r="M626" i="10"/>
  <c r="L626" i="10"/>
  <c r="K626" i="10"/>
  <c r="M618" i="10"/>
  <c r="L618" i="10"/>
  <c r="K618" i="10"/>
  <c r="M610" i="10"/>
  <c r="L610" i="10"/>
  <c r="K610" i="10"/>
  <c r="M594" i="10"/>
  <c r="L594" i="10"/>
  <c r="K594" i="10"/>
  <c r="M586" i="10"/>
  <c r="L586" i="10"/>
  <c r="K586" i="10"/>
  <c r="L578" i="10"/>
  <c r="K578" i="10"/>
  <c r="M578" i="10"/>
  <c r="M570" i="10"/>
  <c r="L570" i="10"/>
  <c r="K570" i="10"/>
  <c r="M562" i="10"/>
  <c r="L562" i="10"/>
  <c r="K562" i="10"/>
  <c r="M554" i="10"/>
  <c r="L554" i="10"/>
  <c r="K554" i="10"/>
  <c r="L546" i="10"/>
  <c r="K546" i="10"/>
  <c r="M546" i="10"/>
  <c r="M538" i="10"/>
  <c r="L538" i="10"/>
  <c r="K538" i="10"/>
  <c r="M530" i="10"/>
  <c r="L530" i="10"/>
  <c r="K530" i="10"/>
  <c r="M522" i="10"/>
  <c r="L522" i="10"/>
  <c r="K522" i="10"/>
  <c r="M514" i="10"/>
  <c r="L514" i="10"/>
  <c r="K514" i="10"/>
  <c r="M506" i="10"/>
  <c r="L506" i="10"/>
  <c r="K506" i="10"/>
  <c r="M490" i="10"/>
  <c r="L490" i="10"/>
  <c r="K490" i="10"/>
  <c r="M482" i="10"/>
  <c r="L482" i="10"/>
  <c r="K482" i="10"/>
  <c r="M474" i="10"/>
  <c r="L474" i="10"/>
  <c r="K474" i="10"/>
  <c r="M466" i="10"/>
  <c r="L466" i="10"/>
  <c r="K466" i="10"/>
  <c r="M458" i="10"/>
  <c r="L458" i="10"/>
  <c r="K458" i="10"/>
  <c r="M450" i="10"/>
  <c r="L450" i="10"/>
  <c r="K450" i="10"/>
  <c r="M442" i="10"/>
  <c r="L442" i="10"/>
  <c r="K442" i="10"/>
  <c r="M434" i="10"/>
  <c r="L434" i="10"/>
  <c r="K434" i="10"/>
  <c r="M426" i="10"/>
  <c r="L426" i="10"/>
  <c r="K426" i="10"/>
  <c r="M418" i="10"/>
  <c r="L418" i="10"/>
  <c r="K418" i="10"/>
  <c r="M410" i="10"/>
  <c r="L410" i="10"/>
  <c r="K410" i="10"/>
  <c r="M402" i="10"/>
  <c r="L402" i="10"/>
  <c r="K402" i="10"/>
  <c r="M386" i="10"/>
  <c r="L386" i="10"/>
  <c r="K386" i="10"/>
  <c r="M378" i="10"/>
  <c r="L378" i="10"/>
  <c r="K378" i="10"/>
  <c r="M370" i="10"/>
  <c r="L370" i="10"/>
  <c r="K370" i="10"/>
  <c r="M362" i="10"/>
  <c r="L362" i="10"/>
  <c r="K362" i="10"/>
  <c r="M354" i="10"/>
  <c r="L354" i="10"/>
  <c r="K354" i="10"/>
  <c r="M346" i="10"/>
  <c r="L346" i="10"/>
  <c r="K346" i="10"/>
  <c r="M338" i="10"/>
  <c r="L338" i="10"/>
  <c r="K338" i="10"/>
  <c r="M330" i="10"/>
  <c r="L330" i="10"/>
  <c r="K330" i="10"/>
  <c r="M322" i="10"/>
  <c r="L322" i="10"/>
  <c r="K322" i="10"/>
  <c r="M310" i="10"/>
  <c r="L310" i="10"/>
  <c r="K310" i="10"/>
  <c r="M302" i="10"/>
  <c r="L302" i="10"/>
  <c r="K302" i="10"/>
  <c r="M294" i="10"/>
  <c r="L294" i="10"/>
  <c r="K294" i="10"/>
  <c r="M286" i="10"/>
  <c r="L286" i="10"/>
  <c r="K286" i="10"/>
  <c r="M278" i="10"/>
  <c r="L278" i="10"/>
  <c r="K278" i="10"/>
  <c r="M270" i="10"/>
  <c r="L270" i="10"/>
  <c r="K270" i="10"/>
  <c r="M262" i="10"/>
  <c r="L262" i="10"/>
  <c r="K262" i="10"/>
  <c r="M254" i="10"/>
  <c r="L254" i="10"/>
  <c r="K254" i="10"/>
  <c r="M246" i="10"/>
  <c r="L246" i="10"/>
  <c r="K246" i="10"/>
  <c r="M230" i="10"/>
  <c r="L230" i="10"/>
  <c r="K230" i="10"/>
  <c r="M222" i="10"/>
  <c r="L222" i="10"/>
  <c r="K222" i="10"/>
  <c r="M214" i="10"/>
  <c r="L214" i="10"/>
  <c r="K214" i="10"/>
  <c r="M206" i="10"/>
  <c r="L206" i="10"/>
  <c r="K206" i="10"/>
  <c r="M198" i="10"/>
  <c r="L198" i="10"/>
  <c r="K198" i="10"/>
  <c r="M190" i="10"/>
  <c r="L190" i="10"/>
  <c r="K190" i="10"/>
  <c r="M182" i="10"/>
  <c r="L182" i="10"/>
  <c r="K182" i="10"/>
  <c r="M174" i="10"/>
  <c r="L174" i="10"/>
  <c r="K174" i="10"/>
  <c r="M166" i="10"/>
  <c r="L166" i="10"/>
  <c r="K166" i="10"/>
  <c r="M158" i="10"/>
  <c r="L158" i="10"/>
  <c r="K158" i="10"/>
  <c r="M150" i="10"/>
  <c r="L150" i="10"/>
  <c r="K150" i="10"/>
  <c r="M142" i="10"/>
  <c r="L142" i="10"/>
  <c r="K142" i="10"/>
  <c r="M126" i="10"/>
  <c r="L126" i="10"/>
  <c r="K126" i="10"/>
  <c r="M118" i="10"/>
  <c r="L118" i="10"/>
  <c r="K118" i="10"/>
  <c r="M110" i="10"/>
  <c r="L110" i="10"/>
  <c r="K110" i="10"/>
  <c r="M102" i="10"/>
  <c r="L102" i="10"/>
  <c r="K102" i="10"/>
  <c r="M94" i="10"/>
  <c r="L94" i="10"/>
  <c r="K94" i="10"/>
  <c r="M86" i="10"/>
  <c r="L86" i="10"/>
  <c r="K86" i="10"/>
  <c r="M78" i="10"/>
  <c r="L78" i="10"/>
  <c r="K78" i="10"/>
  <c r="M70" i="10"/>
  <c r="L70" i="10"/>
  <c r="K70" i="10"/>
  <c r="M62" i="10"/>
  <c r="L62" i="10"/>
  <c r="K62" i="10"/>
  <c r="M54" i="10"/>
  <c r="L54" i="10"/>
  <c r="K54" i="10"/>
  <c r="M46" i="10"/>
  <c r="L46" i="10"/>
  <c r="K46" i="10"/>
  <c r="M38" i="10"/>
  <c r="L38" i="10"/>
  <c r="K38" i="10"/>
  <c r="M22" i="10"/>
  <c r="L22" i="10"/>
  <c r="K22" i="10"/>
  <c r="M14" i="10"/>
  <c r="L14" i="10"/>
  <c r="K14" i="10"/>
  <c r="M6" i="10"/>
  <c r="L6" i="10"/>
  <c r="K6" i="10"/>
  <c r="M229" i="10"/>
  <c r="L229" i="10"/>
  <c r="K229" i="10"/>
  <c r="M221" i="10"/>
  <c r="L221" i="10"/>
  <c r="K221" i="10"/>
  <c r="M213" i="10"/>
  <c r="K213" i="10"/>
  <c r="L213" i="10"/>
  <c r="M205" i="10"/>
  <c r="L205" i="10"/>
  <c r="K205" i="10"/>
  <c r="M197" i="10"/>
  <c r="K197" i="10"/>
  <c r="L197" i="10"/>
  <c r="M189" i="10"/>
  <c r="L189" i="10"/>
  <c r="K189" i="10"/>
  <c r="M181" i="10"/>
  <c r="L181" i="10"/>
  <c r="K181" i="10"/>
  <c r="M165" i="10"/>
  <c r="L165" i="10"/>
  <c r="K165" i="10"/>
  <c r="M157" i="10"/>
  <c r="K157" i="10"/>
  <c r="L157" i="10"/>
  <c r="M149" i="10"/>
  <c r="L149" i="10"/>
  <c r="K149" i="10"/>
  <c r="M141" i="10"/>
  <c r="L141" i="10"/>
  <c r="K141" i="10"/>
  <c r="M133" i="10"/>
  <c r="L133" i="10"/>
  <c r="K133" i="10"/>
  <c r="M125" i="10"/>
  <c r="L125" i="10"/>
  <c r="K125" i="10"/>
  <c r="M117" i="10"/>
  <c r="K117" i="10"/>
  <c r="L117" i="10"/>
  <c r="M109" i="10"/>
  <c r="L109" i="10"/>
  <c r="K109" i="10"/>
  <c r="M101" i="10"/>
  <c r="L101" i="10"/>
  <c r="K101" i="10"/>
  <c r="M93" i="10"/>
  <c r="L93" i="10"/>
  <c r="K93" i="10"/>
  <c r="L85" i="10"/>
  <c r="M85" i="10"/>
  <c r="K85" i="10"/>
  <c r="L77" i="10"/>
  <c r="M77" i="10"/>
  <c r="K77" i="10"/>
  <c r="L61" i="10"/>
  <c r="M61" i="10"/>
  <c r="K61" i="10"/>
  <c r="L53" i="10"/>
  <c r="M53" i="10"/>
  <c r="K53" i="10"/>
  <c r="L45" i="10"/>
  <c r="M45" i="10"/>
  <c r="K45" i="10"/>
  <c r="L37" i="10"/>
  <c r="M37" i="10"/>
  <c r="K37" i="10"/>
  <c r="L29" i="10"/>
  <c r="M29" i="10"/>
  <c r="K29" i="10"/>
  <c r="L21" i="10"/>
  <c r="M21" i="10"/>
  <c r="K21" i="10"/>
  <c r="L13" i="10"/>
  <c r="M13" i="10"/>
  <c r="K13" i="10"/>
  <c r="L5" i="10"/>
  <c r="M5" i="10"/>
  <c r="K5" i="10"/>
  <c r="M324" i="10"/>
  <c r="L324" i="10"/>
  <c r="K324" i="10"/>
  <c r="M308" i="10"/>
  <c r="L308" i="10"/>
  <c r="K308" i="10"/>
  <c r="M300" i="10"/>
  <c r="K300" i="10"/>
  <c r="L300" i="10"/>
  <c r="M292" i="10"/>
  <c r="L292" i="10"/>
  <c r="K292" i="10"/>
  <c r="M284" i="10"/>
  <c r="L284" i="10"/>
  <c r="K284" i="10"/>
  <c r="M276" i="10"/>
  <c r="L276" i="10"/>
  <c r="K276" i="10"/>
  <c r="L268" i="10"/>
  <c r="M268" i="10"/>
  <c r="K268" i="10"/>
  <c r="L260" i="10"/>
  <c r="M260" i="10"/>
  <c r="K260" i="10"/>
  <c r="M252" i="10"/>
  <c r="L252" i="10"/>
  <c r="K252" i="10"/>
  <c r="L244" i="10"/>
  <c r="M244" i="10"/>
  <c r="K244" i="10"/>
  <c r="M236" i="10"/>
  <c r="L236" i="10"/>
  <c r="K236" i="10"/>
  <c r="L228" i="10"/>
  <c r="M228" i="10"/>
  <c r="K228" i="10"/>
  <c r="L220" i="10"/>
  <c r="M220" i="10"/>
  <c r="K220" i="10"/>
  <c r="L204" i="10"/>
  <c r="M204" i="10"/>
  <c r="K204" i="10"/>
  <c r="M196" i="10"/>
  <c r="L196" i="10"/>
  <c r="K196" i="10"/>
  <c r="L188" i="10"/>
  <c r="M188" i="10"/>
  <c r="K188" i="10"/>
  <c r="M180" i="10"/>
  <c r="L180" i="10"/>
  <c r="K180" i="10"/>
  <c r="L172" i="10"/>
  <c r="K172" i="10"/>
  <c r="M172" i="10"/>
  <c r="L164" i="10"/>
  <c r="M164" i="10"/>
  <c r="K164" i="10"/>
  <c r="L156" i="10"/>
  <c r="M156" i="10"/>
  <c r="K156" i="10"/>
  <c r="L148" i="10"/>
  <c r="M148" i="10"/>
  <c r="K148" i="10"/>
  <c r="M140" i="10"/>
  <c r="L140" i="10"/>
  <c r="K140" i="10"/>
  <c r="L132" i="10"/>
  <c r="M132" i="10"/>
  <c r="K132" i="10"/>
  <c r="L124" i="10"/>
  <c r="M124" i="10"/>
  <c r="K124" i="10"/>
  <c r="L116" i="10"/>
  <c r="K116" i="10"/>
  <c r="M116" i="10"/>
  <c r="M100" i="10"/>
  <c r="L100" i="10"/>
  <c r="K100" i="10"/>
  <c r="L92" i="10"/>
  <c r="M92" i="10"/>
  <c r="K92" i="10"/>
  <c r="L84" i="10"/>
  <c r="M84" i="10"/>
  <c r="K84" i="10"/>
  <c r="L76" i="10"/>
  <c r="K76" i="10"/>
  <c r="M76" i="10"/>
  <c r="L68" i="10"/>
  <c r="M68" i="10"/>
  <c r="K68" i="10"/>
  <c r="L60" i="10"/>
  <c r="K60" i="10"/>
  <c r="M60" i="10"/>
  <c r="L52" i="10"/>
  <c r="M52" i="10"/>
  <c r="K52" i="10"/>
  <c r="L44" i="10"/>
  <c r="M44" i="10"/>
  <c r="K44" i="10"/>
  <c r="L36" i="10"/>
  <c r="M36" i="10"/>
  <c r="K36" i="10"/>
  <c r="L28" i="10"/>
  <c r="M28" i="10"/>
  <c r="K28" i="10"/>
  <c r="L20" i="10"/>
  <c r="M20" i="10"/>
  <c r="K20" i="10"/>
  <c r="L12" i="10"/>
  <c r="M12" i="10"/>
  <c r="K12" i="10"/>
  <c r="L323" i="10"/>
  <c r="M323" i="10"/>
  <c r="K323" i="10"/>
  <c r="L315" i="10"/>
  <c r="M315" i="10"/>
  <c r="K315" i="10"/>
  <c r="L307" i="10"/>
  <c r="M307" i="10"/>
  <c r="K307" i="10"/>
  <c r="L299" i="10"/>
  <c r="M299" i="10"/>
  <c r="K299" i="10"/>
  <c r="M291" i="10"/>
  <c r="L291" i="10"/>
  <c r="K291" i="10"/>
  <c r="L283" i="10"/>
  <c r="M283" i="10"/>
  <c r="K283" i="10"/>
  <c r="M275" i="10"/>
  <c r="L275" i="10"/>
  <c r="K275" i="10"/>
  <c r="L267" i="10"/>
  <c r="M267" i="10"/>
  <c r="K267" i="10"/>
  <c r="L259" i="10"/>
  <c r="M259" i="10"/>
  <c r="K259" i="10"/>
  <c r="L243" i="10"/>
  <c r="M243" i="10"/>
  <c r="K243" i="10"/>
  <c r="M235" i="10"/>
  <c r="L235" i="10"/>
  <c r="K235" i="10"/>
  <c r="L227" i="10"/>
  <c r="M227" i="10"/>
  <c r="K227" i="10"/>
  <c r="L219" i="10"/>
  <c r="M219" i="10"/>
  <c r="K219" i="10"/>
  <c r="L211" i="10"/>
  <c r="K211" i="10"/>
  <c r="M211" i="10"/>
  <c r="L203" i="10"/>
  <c r="M203" i="10"/>
  <c r="K203" i="10"/>
  <c r="L195" i="10"/>
  <c r="M195" i="10"/>
  <c r="K195" i="10"/>
  <c r="L187" i="10"/>
  <c r="M187" i="10"/>
  <c r="K187" i="10"/>
  <c r="M179" i="10"/>
  <c r="L179" i="10"/>
  <c r="K179" i="10"/>
  <c r="L171" i="10"/>
  <c r="M171" i="10"/>
  <c r="K171" i="10"/>
  <c r="L163" i="10"/>
  <c r="M163" i="10"/>
  <c r="K163" i="10"/>
  <c r="L155" i="10"/>
  <c r="M155" i="10"/>
  <c r="K155" i="10"/>
  <c r="M139" i="10"/>
  <c r="L139" i="10"/>
  <c r="K139" i="10"/>
  <c r="L131" i="10"/>
  <c r="M131" i="10"/>
  <c r="K131" i="10"/>
  <c r="L123" i="10"/>
  <c r="M123" i="10"/>
  <c r="K123" i="10"/>
  <c r="L115" i="10"/>
  <c r="M115" i="10"/>
  <c r="K115" i="10"/>
  <c r="L107" i="10"/>
  <c r="M107" i="10"/>
  <c r="K107" i="10"/>
  <c r="L99" i="10"/>
  <c r="M99" i="10"/>
  <c r="K99" i="10"/>
  <c r="L91" i="10"/>
  <c r="M91" i="10"/>
  <c r="K91" i="10"/>
  <c r="L83" i="10"/>
  <c r="M83" i="10"/>
  <c r="K83" i="10"/>
  <c r="L75" i="10"/>
  <c r="M75" i="10"/>
  <c r="K75" i="10"/>
  <c r="L67" i="10"/>
  <c r="M67" i="10"/>
  <c r="K67" i="10"/>
  <c r="L59" i="10"/>
  <c r="M59" i="10"/>
  <c r="K59" i="10"/>
  <c r="L51" i="10"/>
  <c r="M51" i="10"/>
  <c r="K51" i="10"/>
  <c r="L35" i="10"/>
  <c r="M35" i="10"/>
  <c r="K35" i="10"/>
  <c r="L27" i="10"/>
  <c r="M27" i="10"/>
  <c r="K27" i="10"/>
  <c r="L19" i="10"/>
  <c r="M19" i="10"/>
  <c r="K19" i="10"/>
  <c r="L11" i="10"/>
  <c r="K11" i="10"/>
  <c r="M11" i="10"/>
  <c r="M314" i="10"/>
  <c r="L314" i="10"/>
  <c r="K314" i="10"/>
  <c r="M306" i="10"/>
  <c r="L306" i="10"/>
  <c r="K306" i="10"/>
  <c r="M298" i="10"/>
  <c r="L298" i="10"/>
  <c r="K298" i="10"/>
  <c r="M282" i="10"/>
  <c r="L282" i="10"/>
  <c r="K282" i="10"/>
  <c r="M274" i="10"/>
  <c r="L274" i="10"/>
  <c r="K274" i="10"/>
  <c r="M266" i="10"/>
  <c r="L266" i="10"/>
  <c r="K266" i="10"/>
  <c r="M258" i="10"/>
  <c r="L258" i="10"/>
  <c r="K258" i="10"/>
  <c r="M250" i="10"/>
  <c r="L250" i="10"/>
  <c r="K250" i="10"/>
  <c r="M242" i="10"/>
  <c r="L242" i="10"/>
  <c r="K242" i="10"/>
  <c r="M234" i="10"/>
  <c r="L234" i="10"/>
  <c r="K234" i="10"/>
  <c r="M226" i="10"/>
  <c r="L226" i="10"/>
  <c r="K226" i="10"/>
  <c r="M218" i="10"/>
  <c r="L218" i="10"/>
  <c r="K218" i="10"/>
  <c r="M210" i="10"/>
  <c r="L210" i="10"/>
  <c r="K210" i="10"/>
  <c r="M202" i="10"/>
  <c r="L202" i="10"/>
  <c r="K202" i="10"/>
  <c r="M194" i="10"/>
  <c r="L194" i="10"/>
  <c r="K194" i="10"/>
  <c r="M178" i="10"/>
  <c r="L178" i="10"/>
  <c r="K178" i="10"/>
  <c r="M170" i="10"/>
  <c r="L170" i="10"/>
  <c r="K170" i="10"/>
  <c r="M162" i="10"/>
  <c r="L162" i="10"/>
  <c r="K162" i="10"/>
  <c r="M154" i="10"/>
  <c r="L154" i="10"/>
  <c r="K154" i="10"/>
  <c r="M146" i="10"/>
  <c r="L146" i="10"/>
  <c r="K146" i="10"/>
  <c r="M138" i="10"/>
  <c r="L138" i="10"/>
  <c r="K138" i="10"/>
  <c r="M130" i="10"/>
  <c r="L130" i="10"/>
  <c r="K130" i="10"/>
  <c r="M122" i="10"/>
  <c r="L122" i="10"/>
  <c r="K122" i="10"/>
  <c r="M114" i="10"/>
  <c r="L114" i="10"/>
  <c r="K114" i="10"/>
  <c r="M106" i="10"/>
  <c r="L106" i="10"/>
  <c r="K106" i="10"/>
  <c r="M98" i="10"/>
  <c r="L98" i="10"/>
  <c r="K98" i="10"/>
  <c r="M90" i="10"/>
  <c r="L90" i="10"/>
  <c r="K90" i="10"/>
  <c r="M74" i="10"/>
  <c r="K74" i="10"/>
  <c r="L74" i="10"/>
  <c r="M66" i="10"/>
  <c r="L66" i="10"/>
  <c r="K66" i="10"/>
  <c r="M58" i="10"/>
  <c r="K58" i="10"/>
  <c r="L58" i="10"/>
  <c r="M50" i="10"/>
  <c r="L50" i="10"/>
  <c r="K50" i="10"/>
  <c r="M42" i="10"/>
  <c r="L42" i="10"/>
  <c r="K42" i="10"/>
  <c r="M34" i="10"/>
  <c r="L34" i="10"/>
  <c r="K34" i="10"/>
  <c r="M26" i="10"/>
  <c r="L26" i="10"/>
  <c r="K26" i="10"/>
  <c r="M18" i="10"/>
  <c r="L18" i="10"/>
  <c r="K18" i="10"/>
  <c r="M10" i="10"/>
  <c r="L10" i="10"/>
  <c r="K10" i="10"/>
  <c r="M305" i="10"/>
  <c r="L305" i="10"/>
  <c r="K305" i="10"/>
  <c r="M297" i="10"/>
  <c r="K297" i="10"/>
  <c r="L297" i="10"/>
  <c r="M289" i="10"/>
  <c r="K289" i="10"/>
  <c r="L289" i="10"/>
  <c r="M281" i="10"/>
  <c r="K281" i="10"/>
  <c r="L281" i="10"/>
  <c r="M273" i="10"/>
  <c r="K273" i="10"/>
  <c r="L273" i="10"/>
  <c r="M265" i="10"/>
  <c r="K265" i="10"/>
  <c r="L265" i="10"/>
  <c r="M257" i="10"/>
  <c r="K257" i="10"/>
  <c r="L257" i="10"/>
  <c r="M249" i="10"/>
  <c r="K249" i="10"/>
  <c r="L249" i="10"/>
  <c r="M241" i="10"/>
  <c r="K241" i="10"/>
  <c r="L241" i="10"/>
  <c r="M233" i="10"/>
  <c r="K233" i="10"/>
  <c r="L233" i="10"/>
  <c r="M217" i="10"/>
  <c r="L217" i="10"/>
  <c r="K217" i="10"/>
  <c r="M209" i="10"/>
  <c r="K209" i="10"/>
  <c r="L209" i="10"/>
  <c r="M201" i="10"/>
  <c r="K201" i="10"/>
  <c r="L201" i="10"/>
  <c r="M193" i="10"/>
  <c r="K193" i="10"/>
  <c r="L193" i="10"/>
  <c r="M185" i="10"/>
  <c r="K185" i="10"/>
  <c r="L185" i="10"/>
  <c r="M177" i="10"/>
  <c r="K177" i="10"/>
  <c r="L177" i="10"/>
  <c r="M169" i="10"/>
  <c r="K169" i="10"/>
  <c r="L169" i="10"/>
  <c r="M161" i="10"/>
  <c r="L161" i="10"/>
  <c r="K161" i="10"/>
  <c r="M153" i="10"/>
  <c r="K153" i="10"/>
  <c r="L153" i="10"/>
  <c r="M145" i="10"/>
  <c r="K145" i="10"/>
  <c r="L145" i="10"/>
  <c r="M137" i="10"/>
  <c r="K137" i="10"/>
  <c r="L137" i="10"/>
  <c r="M129" i="10"/>
  <c r="K129" i="10"/>
  <c r="L129" i="10"/>
  <c r="M113" i="10"/>
  <c r="K113" i="10"/>
  <c r="L113" i="10"/>
  <c r="M105" i="10"/>
  <c r="L105" i="10"/>
  <c r="K105" i="10"/>
  <c r="M97" i="10"/>
  <c r="K97" i="10"/>
  <c r="L97" i="10"/>
  <c r="M89" i="10"/>
  <c r="K89" i="10"/>
  <c r="L89" i="10"/>
  <c r="M81" i="10"/>
  <c r="L81" i="10"/>
  <c r="K81" i="10"/>
  <c r="M73" i="10"/>
  <c r="K73" i="10"/>
  <c r="L73" i="10"/>
  <c r="M65" i="10"/>
  <c r="L65" i="10"/>
  <c r="K65" i="10"/>
  <c r="M57" i="10"/>
  <c r="L57" i="10"/>
  <c r="K57" i="10"/>
  <c r="M49" i="10"/>
  <c r="L49" i="10"/>
  <c r="K49" i="10"/>
  <c r="M41" i="10"/>
  <c r="L41" i="10"/>
  <c r="K41" i="10"/>
  <c r="M33" i="10"/>
  <c r="L33" i="10"/>
  <c r="K33" i="10"/>
  <c r="M25" i="10"/>
  <c r="L25" i="10"/>
  <c r="K25" i="10"/>
  <c r="M9" i="10"/>
  <c r="L9" i="10"/>
  <c r="K9" i="10"/>
  <c r="M328" i="10"/>
  <c r="L328" i="10"/>
  <c r="K328" i="10"/>
  <c r="M320" i="10"/>
  <c r="L320" i="10"/>
  <c r="K320" i="10"/>
  <c r="M312" i="10"/>
  <c r="L312" i="10"/>
  <c r="K312" i="10"/>
  <c r="L304" i="10"/>
  <c r="K304" i="10"/>
  <c r="M304" i="10"/>
  <c r="M296" i="10"/>
  <c r="L296" i="10"/>
  <c r="K296" i="10"/>
  <c r="M288" i="10"/>
  <c r="K288" i="10"/>
  <c r="L288" i="10"/>
  <c r="M280" i="10"/>
  <c r="L280" i="10"/>
  <c r="K280" i="10"/>
  <c r="M272" i="10"/>
  <c r="K272" i="10"/>
  <c r="L272" i="10"/>
  <c r="M256" i="10"/>
  <c r="L256" i="10"/>
  <c r="K256" i="10"/>
  <c r="M248" i="10"/>
  <c r="L248" i="10"/>
  <c r="K248" i="10"/>
  <c r="M240" i="10"/>
  <c r="L240" i="10"/>
  <c r="K240" i="10"/>
  <c r="M232" i="10"/>
  <c r="K232" i="10"/>
  <c r="L232" i="10"/>
  <c r="M224" i="10"/>
  <c r="L224" i="10"/>
  <c r="K224" i="10"/>
  <c r="M216" i="10"/>
  <c r="L216" i="10"/>
  <c r="K216" i="10"/>
  <c r="L208" i="10"/>
  <c r="M208" i="10"/>
  <c r="K208" i="10"/>
  <c r="M200" i="10"/>
  <c r="L200" i="10"/>
  <c r="K200" i="10"/>
  <c r="M192" i="10"/>
  <c r="L192" i="10"/>
  <c r="K192" i="10"/>
  <c r="M184" i="10"/>
  <c r="L184" i="10"/>
  <c r="K184" i="10"/>
  <c r="M176" i="10"/>
  <c r="K176" i="10"/>
  <c r="L176" i="10"/>
  <c r="M168" i="10"/>
  <c r="L168" i="10"/>
  <c r="K168" i="10"/>
  <c r="M152" i="10"/>
  <c r="L152" i="10"/>
  <c r="K152" i="10"/>
  <c r="M144" i="10"/>
  <c r="L144" i="10"/>
  <c r="K144" i="10"/>
  <c r="M136" i="10"/>
  <c r="K136" i="10"/>
  <c r="L136" i="10"/>
  <c r="M128" i="10"/>
  <c r="L128" i="10"/>
  <c r="K128" i="10"/>
  <c r="M120" i="10"/>
  <c r="K120" i="10"/>
  <c r="L120" i="10"/>
  <c r="M112" i="10"/>
  <c r="L112" i="10"/>
  <c r="K112" i="10"/>
  <c r="M104" i="10"/>
  <c r="L104" i="10"/>
  <c r="K104" i="10"/>
  <c r="M96" i="10"/>
  <c r="L96" i="10"/>
  <c r="K96" i="10"/>
  <c r="M88" i="10"/>
  <c r="L88" i="10"/>
  <c r="K88" i="10"/>
  <c r="L80" i="10"/>
  <c r="M80" i="10"/>
  <c r="K80" i="10"/>
  <c r="M72" i="10"/>
  <c r="L72" i="10"/>
  <c r="K72" i="10"/>
  <c r="M64" i="10"/>
  <c r="L64" i="10"/>
  <c r="K64" i="10"/>
  <c r="M48" i="10"/>
  <c r="L48" i="10"/>
  <c r="K48" i="10"/>
  <c r="M40" i="10"/>
  <c r="K40" i="10"/>
  <c r="L40" i="10"/>
  <c r="M32" i="10"/>
  <c r="L32" i="10"/>
  <c r="K32" i="10"/>
  <c r="M24" i="10"/>
  <c r="L24" i="10"/>
  <c r="K24" i="10"/>
  <c r="M16" i="10"/>
  <c r="L16" i="10"/>
  <c r="K16" i="10"/>
  <c r="M8" i="10"/>
  <c r="K8" i="10"/>
  <c r="L8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8" i="10"/>
  <c r="I559" i="10"/>
  <c r="I560" i="10"/>
  <c r="I561" i="10"/>
  <c r="I562" i="10"/>
  <c r="I563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8" i="10"/>
  <c r="I579" i="10"/>
  <c r="I580" i="10"/>
  <c r="I581" i="10"/>
  <c r="I582" i="10"/>
  <c r="I583" i="10"/>
  <c r="I584" i="10"/>
  <c r="I585" i="10"/>
  <c r="I586" i="10"/>
  <c r="I587" i="10"/>
  <c r="I588" i="10"/>
  <c r="I589" i="10"/>
  <c r="I590" i="10"/>
  <c r="I591" i="10"/>
  <c r="I592" i="10"/>
  <c r="I593" i="10"/>
  <c r="I594" i="10"/>
  <c r="I595" i="10"/>
  <c r="I596" i="10"/>
  <c r="I597" i="10"/>
  <c r="I598" i="10"/>
  <c r="I599" i="10"/>
  <c r="I600" i="10"/>
  <c r="I601" i="10"/>
  <c r="I602" i="10"/>
  <c r="I603" i="10"/>
  <c r="I604" i="10"/>
  <c r="I605" i="10"/>
  <c r="I606" i="10"/>
  <c r="I607" i="10"/>
  <c r="I608" i="10"/>
  <c r="I609" i="10"/>
  <c r="I610" i="10"/>
  <c r="I611" i="10"/>
  <c r="I612" i="10"/>
  <c r="I613" i="10"/>
  <c r="I614" i="10"/>
  <c r="I615" i="10"/>
  <c r="I616" i="10"/>
  <c r="I617" i="10"/>
  <c r="I618" i="10"/>
  <c r="I619" i="10"/>
  <c r="I620" i="10"/>
  <c r="I621" i="10"/>
  <c r="I622" i="10"/>
  <c r="I623" i="10"/>
  <c r="I624" i="10"/>
  <c r="I625" i="10"/>
  <c r="I626" i="10"/>
  <c r="I627" i="10"/>
  <c r="I628" i="10"/>
  <c r="I629" i="10"/>
  <c r="I630" i="10"/>
  <c r="I631" i="10"/>
  <c r="I632" i="10"/>
  <c r="I633" i="10"/>
  <c r="I634" i="10"/>
  <c r="I635" i="10"/>
  <c r="I636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53" i="10"/>
  <c r="D24" i="3" l="1"/>
  <c r="C50" i="1" l="1"/>
  <c r="C49" i="1"/>
  <c r="C48" i="1"/>
  <c r="C47" i="1"/>
  <c r="C46" i="1"/>
  <c r="C45" i="1"/>
  <c r="C44" i="1"/>
  <c r="C43" i="1"/>
  <c r="C42" i="1"/>
  <c r="C41" i="1"/>
  <c r="C40" i="1"/>
  <c r="C39" i="1"/>
  <c r="C38" i="1"/>
  <c r="D6" i="9"/>
  <c r="E16" i="9" s="1"/>
  <c r="E15" i="9"/>
  <c r="D5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D18" i="9"/>
  <c r="D17" i="9"/>
  <c r="D16" i="9"/>
  <c r="D15" i="9"/>
  <c r="E14" i="9"/>
  <c r="D14" i="9"/>
  <c r="D4" i="9"/>
  <c r="D11" i="9" s="1"/>
  <c r="D4" i="8"/>
  <c r="E10" i="8" s="1"/>
  <c r="E11" i="8" s="1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D21" i="8"/>
  <c r="D20" i="8"/>
  <c r="D19" i="8"/>
  <c r="D18" i="8"/>
  <c r="D17" i="8"/>
  <c r="D16" i="8"/>
  <c r="D15" i="8"/>
  <c r="D14" i="8"/>
  <c r="D13" i="8"/>
  <c r="D12" i="8"/>
  <c r="D11" i="8"/>
  <c r="D10" i="8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46" i="3"/>
  <c r="E17" i="7"/>
  <c r="E16" i="7"/>
  <c r="E15" i="7"/>
  <c r="E14" i="7"/>
  <c r="E13" i="7"/>
  <c r="D13" i="7"/>
  <c r="D14" i="7"/>
  <c r="D15" i="7"/>
  <c r="D16" i="7"/>
  <c r="D17" i="7"/>
  <c r="D5" i="7"/>
  <c r="D4" i="7"/>
  <c r="D8" i="7" s="1"/>
  <c r="E22" i="3"/>
  <c r="E21" i="3"/>
  <c r="E20" i="3"/>
  <c r="E19" i="3"/>
  <c r="E18" i="3"/>
  <c r="E17" i="3"/>
  <c r="E23" i="3"/>
  <c r="D17" i="3"/>
  <c r="D18" i="3"/>
  <c r="D19" i="3"/>
  <c r="D20" i="3"/>
  <c r="D21" i="3"/>
  <c r="D22" i="3"/>
  <c r="D23" i="3"/>
  <c r="D25" i="3"/>
  <c r="E18" i="9" l="1"/>
  <c r="E17" i="9"/>
  <c r="D9" i="9"/>
  <c r="E12" i="8"/>
  <c r="E13" i="8" s="1"/>
  <c r="E14" i="8" s="1"/>
  <c r="E15" i="8" s="1"/>
  <c r="E16" i="8" s="1"/>
  <c r="E17" i="8" s="1"/>
  <c r="E18" i="8" s="1"/>
  <c r="E19" i="8" s="1"/>
  <c r="E20" i="8" s="1"/>
  <c r="E21" i="8" s="1"/>
  <c r="E7" i="8"/>
  <c r="D10" i="7"/>
  <c r="E11" i="9" l="1"/>
  <c r="F11" i="9" s="1"/>
  <c r="E10" i="9"/>
  <c r="F10" i="9" s="1"/>
  <c r="E9" i="9"/>
  <c r="F7" i="8"/>
  <c r="E9" i="7"/>
  <c r="F9" i="7" s="1"/>
  <c r="E8" i="7"/>
  <c r="F9" i="9" l="1"/>
  <c r="C30" i="9" s="1"/>
  <c r="D30" i="9" s="1"/>
  <c r="C35" i="8"/>
  <c r="D35" i="8" s="1"/>
  <c r="C25" i="8"/>
  <c r="D25" i="8" s="1"/>
  <c r="C27" i="8"/>
  <c r="D27" i="8" s="1"/>
  <c r="C33" i="8"/>
  <c r="D33" i="8" s="1"/>
  <c r="C29" i="8"/>
  <c r="D29" i="8" s="1"/>
  <c r="C30" i="8"/>
  <c r="D30" i="8" s="1"/>
  <c r="C32" i="8"/>
  <c r="D32" i="8" s="1"/>
  <c r="C24" i="8"/>
  <c r="D24" i="8" s="1"/>
  <c r="E24" i="8" s="1"/>
  <c r="F24" i="8" s="1"/>
  <c r="C26" i="8"/>
  <c r="D26" i="8" s="1"/>
  <c r="C31" i="8"/>
  <c r="D31" i="8" s="1"/>
  <c r="C34" i="8"/>
  <c r="D34" i="8" s="1"/>
  <c r="C28" i="8"/>
  <c r="D28" i="8" s="1"/>
  <c r="F8" i="7"/>
  <c r="E10" i="7"/>
  <c r="F10" i="7" s="1"/>
  <c r="C37" i="9" l="1"/>
  <c r="D37" i="9" s="1"/>
  <c r="C36" i="9"/>
  <c r="D36" i="9" s="1"/>
  <c r="C28" i="9"/>
  <c r="D28" i="9" s="1"/>
  <c r="E28" i="9" s="1"/>
  <c r="C38" i="9"/>
  <c r="D38" i="9" s="1"/>
  <c r="C24" i="9"/>
  <c r="C21" i="9"/>
  <c r="C22" i="9"/>
  <c r="C20" i="9"/>
  <c r="C39" i="9"/>
  <c r="D39" i="9" s="1"/>
  <c r="C29" i="9"/>
  <c r="D29" i="9" s="1"/>
  <c r="C25" i="9"/>
  <c r="C33" i="9"/>
  <c r="D33" i="9" s="1"/>
  <c r="C19" i="9"/>
  <c r="C32" i="9"/>
  <c r="D32" i="9" s="1"/>
  <c r="C34" i="9"/>
  <c r="D34" i="9" s="1"/>
  <c r="C31" i="9"/>
  <c r="D31" i="9" s="1"/>
  <c r="C23" i="9"/>
  <c r="C35" i="9"/>
  <c r="D35" i="9" s="1"/>
  <c r="C19" i="7"/>
  <c r="E26" i="8"/>
  <c r="F26" i="8" s="1"/>
  <c r="E25" i="8"/>
  <c r="F25" i="8" s="1"/>
  <c r="E28" i="8"/>
  <c r="F28" i="8" s="1"/>
  <c r="E31" i="8"/>
  <c r="F31" i="8" s="1"/>
  <c r="E27" i="8"/>
  <c r="F27" i="8" s="1"/>
  <c r="E32" i="8"/>
  <c r="F32" i="8" s="1"/>
  <c r="E30" i="8"/>
  <c r="F30" i="8" s="1"/>
  <c r="E29" i="8"/>
  <c r="F29" i="8" s="1"/>
  <c r="E33" i="8"/>
  <c r="F33" i="8" s="1"/>
  <c r="E34" i="8"/>
  <c r="F34" i="8" s="1"/>
  <c r="E35" i="8"/>
  <c r="F35" i="8" s="1"/>
  <c r="C22" i="7"/>
  <c r="C18" i="7"/>
  <c r="C24" i="7"/>
  <c r="E24" i="7" s="1"/>
  <c r="C20" i="7"/>
  <c r="C23" i="7"/>
  <c r="C21" i="7"/>
  <c r="C36" i="7"/>
  <c r="D36" i="7" s="1"/>
  <c r="C29" i="7"/>
  <c r="D29" i="7" s="1"/>
  <c r="C30" i="7"/>
  <c r="D30" i="7" s="1"/>
  <c r="C27" i="7"/>
  <c r="D27" i="7" s="1"/>
  <c r="C34" i="7"/>
  <c r="D34" i="7" s="1"/>
  <c r="C31" i="7"/>
  <c r="D31" i="7" s="1"/>
  <c r="C38" i="7"/>
  <c r="D38" i="7" s="1"/>
  <c r="C33" i="7"/>
  <c r="D33" i="7" s="1"/>
  <c r="C28" i="7"/>
  <c r="D28" i="7" s="1"/>
  <c r="C35" i="7"/>
  <c r="D35" i="7" s="1"/>
  <c r="C32" i="7"/>
  <c r="D32" i="7" s="1"/>
  <c r="C37" i="7"/>
  <c r="D37" i="7" s="1"/>
  <c r="E29" i="9" l="1"/>
  <c r="E31" i="9"/>
  <c r="D23" i="9"/>
  <c r="E39" i="9"/>
  <c r="E34" i="9"/>
  <c r="D22" i="9"/>
  <c r="E32" i="9"/>
  <c r="D21" i="9"/>
  <c r="D19" i="9"/>
  <c r="E19" i="9" s="1"/>
  <c r="D24" i="9"/>
  <c r="E37" i="9"/>
  <c r="E33" i="9"/>
  <c r="E38" i="9"/>
  <c r="D20" i="9"/>
  <c r="E36" i="9"/>
  <c r="D25" i="9"/>
  <c r="E35" i="9"/>
  <c r="E30" i="9"/>
  <c r="D20" i="7"/>
  <c r="D21" i="7"/>
  <c r="D19" i="7"/>
  <c r="D22" i="7"/>
  <c r="D18" i="7"/>
  <c r="E18" i="7" s="1"/>
  <c r="D23" i="7"/>
  <c r="D24" i="7"/>
  <c r="E27" i="7"/>
  <c r="E35" i="7"/>
  <c r="E38" i="7"/>
  <c r="E37" i="7"/>
  <c r="E32" i="7"/>
  <c r="E29" i="7"/>
  <c r="E33" i="7"/>
  <c r="E31" i="7"/>
  <c r="E34" i="7"/>
  <c r="E30" i="7"/>
  <c r="E28" i="7"/>
  <c r="E36" i="7"/>
  <c r="D7" i="3"/>
  <c r="E24" i="3" s="1"/>
  <c r="E25" i="3" s="1"/>
  <c r="D5" i="3"/>
  <c r="D10" i="3" s="1"/>
  <c r="C48" i="3"/>
  <c r="C49" i="3"/>
  <c r="C50" i="3"/>
  <c r="C51" i="3"/>
  <c r="C52" i="3"/>
  <c r="C53" i="3"/>
  <c r="C54" i="3"/>
  <c r="C55" i="3"/>
  <c r="C56" i="3"/>
  <c r="C57" i="3"/>
  <c r="C58" i="3"/>
  <c r="C47" i="3"/>
  <c r="D4" i="3"/>
  <c r="D31" i="1"/>
  <c r="D34" i="1" s="1"/>
  <c r="D3" i="2"/>
  <c r="D6" i="2" s="1"/>
  <c r="D3" i="9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D11" i="3" l="1"/>
  <c r="E11" i="3" s="1"/>
  <c r="C26" i="3"/>
  <c r="E20" i="9"/>
  <c r="E21" i="9" s="1"/>
  <c r="E22" i="9" s="1"/>
  <c r="E23" i="9" s="1"/>
  <c r="E24" i="9" s="1"/>
  <c r="E25" i="9" s="1"/>
  <c r="F39" i="9" s="1"/>
  <c r="D55" i="9" s="1"/>
  <c r="F28" i="9"/>
  <c r="D44" i="9" s="1"/>
  <c r="D43" i="9"/>
  <c r="D3" i="7"/>
  <c r="D42" i="7" s="1"/>
  <c r="D3" i="8"/>
  <c r="E19" i="7"/>
  <c r="E20" i="7" s="1"/>
  <c r="E21" i="7" s="1"/>
  <c r="E22" i="7" s="1"/>
  <c r="F31" i="7" s="1"/>
  <c r="F27" i="7"/>
  <c r="F38" i="7"/>
  <c r="E10" i="3"/>
  <c r="D3" i="3"/>
  <c r="D13" i="3"/>
  <c r="D6" i="3"/>
  <c r="D14" i="3" s="1"/>
  <c r="E26" i="3" l="1"/>
  <c r="E27" i="3" s="1"/>
  <c r="E28" i="3" s="1"/>
  <c r="D27" i="3"/>
  <c r="D28" i="3"/>
  <c r="D26" i="3"/>
  <c r="E34" i="1"/>
  <c r="D47" i="7"/>
  <c r="D54" i="7"/>
  <c r="D43" i="7"/>
  <c r="F34" i="7"/>
  <c r="D50" i="7" s="1"/>
  <c r="D51" i="8"/>
  <c r="D47" i="8"/>
  <c r="D43" i="8"/>
  <c r="D39" i="8"/>
  <c r="D50" i="8"/>
  <c r="D46" i="8"/>
  <c r="D42" i="8"/>
  <c r="D49" i="8"/>
  <c r="D45" i="8"/>
  <c r="D41" i="8"/>
  <c r="D48" i="8"/>
  <c r="D44" i="8"/>
  <c r="D40" i="8"/>
  <c r="F28" i="7"/>
  <c r="D44" i="7" s="1"/>
  <c r="F29" i="7"/>
  <c r="D45" i="7" s="1"/>
  <c r="E23" i="7"/>
  <c r="F36" i="7"/>
  <c r="D52" i="7" s="1"/>
  <c r="F33" i="7"/>
  <c r="D49" i="7" s="1"/>
  <c r="F35" i="7"/>
  <c r="D51" i="7" s="1"/>
  <c r="F30" i="7"/>
  <c r="D46" i="7" s="1"/>
  <c r="D46" i="3"/>
  <c r="D12" i="3"/>
  <c r="D38" i="1"/>
  <c r="F35" i="9" l="1"/>
  <c r="D51" i="9" s="1"/>
  <c r="F34" i="9"/>
  <c r="D50" i="9" s="1"/>
  <c r="F29" i="9"/>
  <c r="D45" i="9" s="1"/>
  <c r="F36" i="9"/>
  <c r="D52" i="9" s="1"/>
  <c r="F30" i="9"/>
  <c r="D46" i="9" s="1"/>
  <c r="F32" i="7"/>
  <c r="D48" i="7" s="1"/>
  <c r="F37" i="7"/>
  <c r="D53" i="7" s="1"/>
  <c r="E13" i="3"/>
  <c r="E12" i="3"/>
  <c r="E14" i="3"/>
  <c r="F31" i="9" l="1"/>
  <c r="D47" i="9" s="1"/>
  <c r="F12" i="3"/>
  <c r="F11" i="3"/>
  <c r="F14" i="3"/>
  <c r="F13" i="3"/>
  <c r="F10" i="3"/>
  <c r="F33" i="9" l="1"/>
  <c r="D49" i="9" s="1"/>
  <c r="F38" i="9"/>
  <c r="D54" i="9" s="1"/>
  <c r="F37" i="9"/>
  <c r="D53" i="9" s="1"/>
  <c r="F32" i="9"/>
  <c r="D48" i="9" s="1"/>
  <c r="C31" i="3"/>
  <c r="D31" i="3" s="1"/>
  <c r="C39" i="3"/>
  <c r="D39" i="3" s="1"/>
  <c r="C37" i="3"/>
  <c r="D37" i="3" s="1"/>
  <c r="C40" i="3"/>
  <c r="D40" i="3" s="1"/>
  <c r="C36" i="3"/>
  <c r="D36" i="3" s="1"/>
  <c r="C34" i="3"/>
  <c r="D34" i="3" s="1"/>
  <c r="C33" i="3"/>
  <c r="D33" i="3" s="1"/>
  <c r="C42" i="3"/>
  <c r="D42" i="3" s="1"/>
  <c r="C41" i="3"/>
  <c r="D41" i="3" s="1"/>
  <c r="C38" i="3"/>
  <c r="D38" i="3" s="1"/>
  <c r="C35" i="3"/>
  <c r="D35" i="3" s="1"/>
  <c r="C32" i="3"/>
  <c r="D32" i="3" s="1"/>
  <c r="E31" i="3" l="1"/>
  <c r="E32" i="3" l="1"/>
  <c r="F32" i="3" s="1"/>
  <c r="F31" i="3"/>
  <c r="E39" i="3"/>
  <c r="E37" i="3"/>
  <c r="E41" i="3"/>
  <c r="E36" i="3"/>
  <c r="E38" i="3"/>
  <c r="E35" i="3"/>
  <c r="E34" i="3"/>
  <c r="E33" i="3"/>
  <c r="E40" i="3"/>
  <c r="E42" i="3"/>
  <c r="D48" i="3" l="1"/>
  <c r="D47" i="3"/>
  <c r="F36" i="3"/>
  <c r="F40" i="3"/>
  <c r="F41" i="3"/>
  <c r="F42" i="3"/>
  <c r="F37" i="3"/>
  <c r="F39" i="3"/>
  <c r="F33" i="3"/>
  <c r="F34" i="3"/>
  <c r="F35" i="3"/>
  <c r="F38" i="3"/>
  <c r="D39" i="1"/>
  <c r="D40" i="1"/>
  <c r="D56" i="3" l="1"/>
  <c r="D55" i="3"/>
  <c r="D58" i="3"/>
  <c r="D57" i="3"/>
  <c r="D54" i="3"/>
  <c r="D52" i="3"/>
  <c r="D50" i="3"/>
  <c r="D51" i="3"/>
  <c r="D49" i="3"/>
  <c r="D53" i="3"/>
  <c r="D42" i="1"/>
  <c r="D49" i="1"/>
  <c r="D48" i="1"/>
  <c r="D41" i="1"/>
  <c r="D43" i="1"/>
  <c r="D44" i="1"/>
  <c r="D47" i="1"/>
  <c r="D50" i="1"/>
  <c r="D45" i="1"/>
  <c r="D46" i="1"/>
</calcChain>
</file>

<file path=xl/sharedStrings.xml><?xml version="1.0" encoding="utf-8"?>
<sst xmlns="http://schemas.openxmlformats.org/spreadsheetml/2006/main" count="1004" uniqueCount="78">
  <si>
    <t>ID</t>
  </si>
  <si>
    <t>Large Spike</t>
  </si>
  <si>
    <t>Decreasing Trend</t>
  </si>
  <si>
    <t>NAME</t>
  </si>
  <si>
    <t>PREV_REGIME</t>
  </si>
  <si>
    <t>NEXT_REGIME</t>
  </si>
  <si>
    <t>PROB</t>
  </si>
  <si>
    <t>BEG_INTERVAL</t>
  </si>
  <si>
    <t>END_INTERVAL</t>
  </si>
  <si>
    <t>OUTPUT</t>
  </si>
  <si>
    <t>PARAMETER</t>
  </si>
  <si>
    <t>VALUE</t>
  </si>
  <si>
    <t>BASE_PRICE</t>
  </si>
  <si>
    <t>INIT_REGIME</t>
  </si>
  <si>
    <t>TYPE</t>
  </si>
  <si>
    <t>PHASE</t>
  </si>
  <si>
    <t>BEG_PHASE</t>
  </si>
  <si>
    <t>END_PHASE</t>
  </si>
  <si>
    <t>RANDOM_INT[0,99]</t>
  </si>
  <si>
    <t>RANDOM_INT[90,110]</t>
  </si>
  <si>
    <t>RANDOM_INT[2,3]</t>
  </si>
  <si>
    <t>RANDOM_INT[0,6]</t>
  </si>
  <si>
    <t>RANDOM_INT[0,7 - PARAMETER 3 - 1]</t>
  </si>
  <si>
    <t>RATE</t>
  </si>
  <si>
    <t>RANDOM_FLOAT[0.6,0.8]</t>
  </si>
  <si>
    <t>PRE_PEAK</t>
  </si>
  <si>
    <t>POST_PEAK</t>
  </si>
  <si>
    <t>PEAK</t>
  </si>
  <si>
    <t>RANDOM_FLOAT[0.85,0.9]</t>
  </si>
  <si>
    <t>LENGTH</t>
  </si>
  <si>
    <t>UP</t>
  </si>
  <si>
    <t>ASC_1</t>
  </si>
  <si>
    <t>ASC_2</t>
  </si>
  <si>
    <t>DESC_1</t>
  </si>
  <si>
    <t>DESC_2</t>
  </si>
  <si>
    <t>ASC_3</t>
  </si>
  <si>
    <t>DOWN</t>
  </si>
  <si>
    <t>RATE_NAME</t>
  </si>
  <si>
    <t>RATE_TYPE</t>
  </si>
  <si>
    <t>RANDOM_INT[1,7]</t>
  </si>
  <si>
    <t>RANDOM_FLOAT[0.4,0.9]</t>
  </si>
  <si>
    <t>RANDOM_FLOAT[1.4,2.0]</t>
  </si>
  <si>
    <t>Double Peak</t>
  </si>
  <si>
    <t>Oscillation</t>
  </si>
  <si>
    <t>PRICE_0</t>
  </si>
  <si>
    <t>PRICE_1</t>
  </si>
  <si>
    <t>PRICE_2</t>
  </si>
  <si>
    <t>PRICE_3</t>
  </si>
  <si>
    <t>PRICE_4</t>
  </si>
  <si>
    <t>PRICE_5</t>
  </si>
  <si>
    <t>PRICE_6</t>
  </si>
  <si>
    <t>PRICE_7</t>
  </si>
  <si>
    <t>PRICE_8</t>
  </si>
  <si>
    <t>PRICE_9</t>
  </si>
  <si>
    <t>PRICE_10</t>
  </si>
  <si>
    <t>PRICE_11</t>
  </si>
  <si>
    <t>PRICE_12</t>
  </si>
  <si>
    <t>SIM_ID</t>
  </si>
  <si>
    <t>REGIME</t>
  </si>
  <si>
    <t>WEEK</t>
  </si>
  <si>
    <t>Sum of VALUE</t>
  </si>
  <si>
    <t>Row Labels</t>
  </si>
  <si>
    <t>Column Labels</t>
  </si>
  <si>
    <t>Average of REGIME</t>
  </si>
  <si>
    <t>WTD_RET</t>
  </si>
  <si>
    <t>RANK_RET</t>
  </si>
  <si>
    <t>Average of WTD_RET</t>
  </si>
  <si>
    <t>SIM_WK_REG_ID</t>
  </si>
  <si>
    <t>WTD_RET_ZSCORE</t>
  </si>
  <si>
    <t>Average of WTD_RET_ZSCORE</t>
  </si>
  <si>
    <t>WTD_RET_MINMAXSCALE</t>
  </si>
  <si>
    <t>Average of WTD_RET_MINMAXSCALE</t>
  </si>
  <si>
    <t>OBS</t>
  </si>
  <si>
    <t>D_RET</t>
  </si>
  <si>
    <t>StdDev of D_RET</t>
  </si>
  <si>
    <t>StdDev of WTD_RET</t>
  </si>
  <si>
    <t xml:space="preserve">  </t>
  </si>
  <si>
    <t>Average of D_RET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</si>
</sst>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3">
    <xf numFmtId="0" fontId="0" fillId="0" borderId="0" xfId="0"/>
    <xf numFmtId="9" fontId="0" fillId="0" borderId="0" xfId="0" applyNumberFormat="1"/>
    <xf numFmtId="0" fontId="1" fillId="2" borderId="1" xfId="1"/>
    <xf numFmtId="4" fontId="0" fillId="0" borderId="0" xfId="0" applyNumberFormat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 applyAlignment="1">
      <alignment horizontal="left"/>
    </xf>
  </cellXfs>
  <cellStyles count="2">
    <cellStyle name="Input" xfId="1" builtinId="20"/>
    <cellStyle name="Normal" xfId="0" builtinId="0"/>
  </cellStyles>
  <dxfs count="78">
    <dxf>
      <numFmt numFmtId="14" formatCode="0.00%"/>
    </dxf>
    <dxf>
      <numFmt numFmtId="164" formatCode="0.0%"/>
    </dxf>
    <dxf>
      <numFmt numFmtId="13" formatCode="0%"/>
    </dxf>
    <dxf>
      <numFmt numFmtId="14" formatCode="0.00%"/>
    </dxf>
    <dxf>
      <numFmt numFmtId="164" formatCode="0.0%"/>
    </dxf>
    <dxf>
      <numFmt numFmtId="13" formatCode="0%"/>
    </dxf>
    <dxf>
      <numFmt numFmtId="13" formatCode="0%"/>
    </dxf>
    <dxf>
      <numFmt numFmtId="14" formatCode="0.00%"/>
    </dxf>
    <dxf>
      <numFmt numFmtId="164" formatCode="0.0%"/>
    </dxf>
    <dxf>
      <numFmt numFmtId="13" formatCode="0%"/>
    </dxf>
    <dxf>
      <numFmt numFmtId="13" formatCode="0%"/>
    </dxf>
    <dxf>
      <numFmt numFmtId="14" formatCode="0.00%"/>
    </dxf>
    <dxf>
      <numFmt numFmtId="164" formatCode="0.0%"/>
    </dxf>
    <dxf>
      <numFmt numFmtId="13" formatCode="0%"/>
    </dxf>
    <dxf>
      <numFmt numFmtId="14" formatCode="0.00%"/>
    </dxf>
    <dxf>
      <numFmt numFmtId="4" formatCode="#,##0.00"/>
    </dxf>
    <dxf>
      <numFmt numFmtId="4" formatCode="#,##0.00"/>
    </dxf>
    <dxf>
      <numFmt numFmtId="3" formatCode="#,##0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3" formatCode="#,##0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4" formatCode="#,##0.00"/>
    </dxf>
    <dxf>
      <numFmt numFmtId="14" formatCode="0.00%"/>
    </dxf>
    <dxf>
      <numFmt numFmtId="3" formatCode="#,##0"/>
    </dxf>
    <dxf>
      <numFmt numFmtId="14" formatCode="0.0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3" formatCode="#,##0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4" formatCode="#,##0.00"/>
    </dxf>
    <dxf>
      <numFmt numFmtId="14" formatCode="0.00%"/>
    </dxf>
    <dxf>
      <numFmt numFmtId="3" formatCode="#,##0"/>
    </dxf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3" formatCode="#,##0"/>
    </dxf>
    <dxf>
      <numFmt numFmtId="3" formatCode="#,##0"/>
    </dxf>
    <dxf>
      <numFmt numFmtId="13" formatCode="0%"/>
    </dxf>
    <dxf>
      <font>
        <b/>
        <i val="0"/>
        <color theme="0"/>
      </font>
      <fill>
        <patternFill patternType="solid">
          <fgColor theme="0" tint="-0.14996795556505021"/>
          <bgColor rgb="FF012549"/>
        </patternFill>
      </fill>
    </dxf>
    <dxf>
      <font>
        <b/>
        <i val="0"/>
        <color theme="0"/>
      </font>
      <fill>
        <patternFill patternType="solid">
          <fgColor theme="0" tint="-0.14996795556505021"/>
          <bgColor rgb="FF012549"/>
        </patternFill>
      </fill>
    </dxf>
    <dxf>
      <font>
        <b/>
        <i val="0"/>
      </font>
    </dxf>
    <dxf>
      <font>
        <b/>
        <i val="0"/>
        <u val="none"/>
        <color auto="1"/>
      </font>
      <fill>
        <patternFill>
          <bgColor theme="4" tint="0.39994506668294322"/>
        </patternFill>
      </fill>
      <border>
        <top style="thin">
          <color rgb="FF012549"/>
        </top>
        <bottom style="thin">
          <color rgb="FF012549"/>
        </bottom>
      </border>
    </dxf>
    <dxf>
      <font>
        <b/>
        <i val="0"/>
        <u/>
        <color theme="0"/>
      </font>
      <fill>
        <patternFill patternType="solid">
          <fgColor theme="0" tint="-0.14996795556505021"/>
          <bgColor rgb="FF012549"/>
        </patternFill>
      </fill>
    </dxf>
    <dxf>
      <font>
        <color theme="0"/>
      </font>
    </dxf>
    <dxf>
      <font>
        <b/>
        <i val="0"/>
      </font>
    </dxf>
    <dxf>
      <font>
        <b/>
        <i val="0"/>
        <color auto="1"/>
      </font>
      <fill>
        <patternFill>
          <bgColor theme="4" tint="0.39994506668294322"/>
        </patternFill>
      </fill>
      <border>
        <top style="thin">
          <color rgb="FF002060"/>
        </top>
        <bottom style="thin">
          <color rgb="FF002060"/>
        </bottom>
      </border>
    </dxf>
    <dxf>
      <font>
        <b/>
        <i val="0"/>
        <color theme="0"/>
      </font>
      <fill>
        <patternFill patternType="solid">
          <fgColor rgb="FF012549"/>
          <bgColor rgb="FF012549"/>
        </patternFill>
      </fill>
    </dxf>
    <dxf>
      <font>
        <b val="0"/>
        <i val="0"/>
        <color auto="1"/>
      </font>
      <border>
        <left style="medium">
          <color theme="0" tint="-0.249977111117893"/>
        </left>
        <right style="medium">
          <color theme="0" tint="-0.249977111117893"/>
        </right>
        <top style="medium">
          <color theme="0" tint="-0.249977111117893"/>
        </top>
        <bottom style="medium">
          <color theme="0" tint="-0.249977111117893"/>
        </bottom>
      </border>
    </dxf>
    <dxf>
      <border>
        <left style="thin">
          <color rgb="FF012549"/>
        </left>
        <right style="thin">
          <color rgb="FF012549"/>
        </right>
      </border>
    </dxf>
    <dxf>
      <fill>
        <patternFill>
          <bgColor theme="4" tint="0.79998168889431442"/>
        </patternFill>
      </fill>
      <border>
        <top style="thin">
          <color theme="4" tint="0.59996337778862885"/>
        </top>
        <bottom style="thin">
          <color theme="4" tint="0.59996337778862885"/>
        </bottom>
        <horizontal style="thin">
          <color theme="4" tint="0.59996337778862885"/>
        </horizontal>
      </border>
    </dxf>
    <dxf>
      <font>
        <b/>
        <i val="0"/>
        <u val="none"/>
        <color theme="0"/>
      </font>
      <fill>
        <patternFill>
          <bgColor rgb="FF012549"/>
        </patternFill>
      </fill>
      <border>
        <top style="double">
          <color theme="2" tint="-0.24994659260841701"/>
        </top>
        <bottom style="thick">
          <color rgb="FF002060"/>
        </bottom>
      </border>
    </dxf>
    <dxf>
      <font>
        <b/>
        <i val="0"/>
        <color theme="0"/>
      </font>
      <fill>
        <patternFill patternType="solid">
          <fgColor theme="1" tint="0.499984740745262"/>
          <bgColor rgb="FF012549"/>
        </patternFill>
      </fill>
      <border>
        <top style="medium">
          <color rgb="FF012549"/>
        </top>
      </border>
    </dxf>
    <dxf>
      <font>
        <color theme="1"/>
      </font>
      <border diagonalUp="0" diagonalDown="0">
        <left style="thin">
          <color rgb="FF012549"/>
        </left>
        <right style="thin">
          <color rgb="FF012549"/>
        </right>
        <top style="thin">
          <color rgb="FF012549"/>
        </top>
        <bottom style="thin">
          <color rgb="FF012549"/>
        </bottom>
        <vertical/>
        <horizontal/>
      </border>
    </dxf>
  </dxfs>
  <tableStyles count="1" defaultTableStyle="TableStyleMedium2" defaultPivotStyle="PivotStyleLight16">
    <tableStyle name="PivotStyleMedium8 2" table="0" count="15">
      <tableStyleElement type="wholeTable" dxfId="77"/>
      <tableStyleElement type="headerRow" dxfId="76"/>
      <tableStyleElement type="totalRow" dxfId="75"/>
      <tableStyleElement type="firstRowStripe" dxfId="74"/>
      <tableStyleElement type="firstColumnStripe" dxfId="73"/>
      <tableStyleElement type="firstSubtotalColumn" dxfId="72"/>
      <tableStyleElement type="firstSubtotalRow" dxfId="71"/>
      <tableStyleElement type="secondSubtotalRow" dxfId="70"/>
      <tableStyleElement type="thirdSubtotalRow" dxfId="69"/>
      <tableStyleElement type="firstColumnSubheading" dxfId="68"/>
      <tableStyleElement type="firstRowSubheading" dxfId="67"/>
      <tableStyleElement type="secondRowSubheading" dxfId="66"/>
      <tableStyleElement type="thirdRowSubheading" dxfId="65"/>
      <tableStyleElement type="pageFieldLabels" dxfId="64"/>
      <tableStyleElement type="pageFieldValues" dxfId="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'Regime Generator'!$D$37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'Regime Generator'!$C$38:$C$50</c:f>
              <c:strCache>
                <c:ptCount val="13"/>
                <c:pt idx="0">
                  <c:v>PRICE_0</c:v>
                </c:pt>
                <c:pt idx="1">
                  <c:v>PRICE_1</c:v>
                </c:pt>
                <c:pt idx="2">
                  <c:v>PRICE_2</c:v>
                </c:pt>
                <c:pt idx="3">
                  <c:v>PRICE_3</c:v>
                </c:pt>
                <c:pt idx="4">
                  <c:v>PRICE_4</c:v>
                </c:pt>
                <c:pt idx="5">
                  <c:v>PRICE_5</c:v>
                </c:pt>
                <c:pt idx="6">
                  <c:v>PRICE_6</c:v>
                </c:pt>
                <c:pt idx="7">
                  <c:v>PRICE_7</c:v>
                </c:pt>
                <c:pt idx="8">
                  <c:v>PRICE_8</c:v>
                </c:pt>
                <c:pt idx="9">
                  <c:v>PRICE_9</c:v>
                </c:pt>
                <c:pt idx="10">
                  <c:v>PRICE_10</c:v>
                </c:pt>
                <c:pt idx="11">
                  <c:v>PRICE_11</c:v>
                </c:pt>
                <c:pt idx="12">
                  <c:v>PRICE_12</c:v>
                </c:pt>
              </c:strCache>
            </c:strRef>
          </c:cat>
          <c:val>
            <c:numRef>
              <c:f>'Regime Generator'!$D$38:$D$50</c:f>
              <c:numCache>
                <c:formatCode>0</c:formatCode>
                <c:ptCount val="13"/>
                <c:pt idx="0">
                  <c:v>104</c:v>
                </c:pt>
                <c:pt idx="1">
                  <c:v>65</c:v>
                </c:pt>
                <c:pt idx="2">
                  <c:v>58</c:v>
                </c:pt>
                <c:pt idx="3">
                  <c:v>114</c:v>
                </c:pt>
                <c:pt idx="4">
                  <c:v>111</c:v>
                </c:pt>
                <c:pt idx="5">
                  <c:v>108</c:v>
                </c:pt>
                <c:pt idx="6">
                  <c:v>100</c:v>
                </c:pt>
                <c:pt idx="7">
                  <c:v>101</c:v>
                </c:pt>
                <c:pt idx="8">
                  <c:v>125</c:v>
                </c:pt>
                <c:pt idx="9">
                  <c:v>65</c:v>
                </c:pt>
                <c:pt idx="10">
                  <c:v>59</c:v>
                </c:pt>
                <c:pt idx="11">
                  <c:v>54</c:v>
                </c:pt>
                <c:pt idx="12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14-40EC-BF87-119C4F5BB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553568"/>
        <c:axId val="1160554880"/>
      </c:lineChart>
      <c:catAx>
        <c:axId val="116055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54880"/>
        <c:crosses val="autoZero"/>
        <c:auto val="1"/>
        <c:lblAlgn val="ctr"/>
        <c:lblOffset val="100"/>
        <c:noMultiLvlLbl val="0"/>
      </c:catAx>
      <c:valAx>
        <c:axId val="11605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5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[AC_TURNIPS_ENGINE.xlsx]Feature_Test_1b!PivotTable1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Feature_Test_1b!$C$3:$C$5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Feature_Test_1b!$B$6:$B$17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Feature_Test_1b!$C$6:$C$17</c:f>
              <c:numCache>
                <c:formatCode>0.00%</c:formatCode>
                <c:ptCount val="12"/>
                <c:pt idx="0">
                  <c:v>0.71797033935773269</c:v>
                </c:pt>
                <c:pt idx="1">
                  <c:v>0.39030554865577138</c:v>
                </c:pt>
                <c:pt idx="2">
                  <c:v>0.25822390132042261</c:v>
                </c:pt>
                <c:pt idx="3">
                  <c:v>0.21938589454875701</c:v>
                </c:pt>
                <c:pt idx="4">
                  <c:v>-7.1756514366308807E-3</c:v>
                </c:pt>
                <c:pt idx="5">
                  <c:v>0.11883701273730331</c:v>
                </c:pt>
                <c:pt idx="6">
                  <c:v>5.4615480836822911E-2</c:v>
                </c:pt>
                <c:pt idx="7">
                  <c:v>-0.38796439620983053</c:v>
                </c:pt>
                <c:pt idx="9">
                  <c:v>-9.4027924791458453E-2</c:v>
                </c:pt>
                <c:pt idx="10">
                  <c:v>-0.12340659438283851</c:v>
                </c:pt>
                <c:pt idx="11">
                  <c:v>-0.10048855931567841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62-4365-8414-66E2FD0DD09E}"/>
            </c:ext>
          </c:extLst>
        </c:ser>
        <c:ser>
          <c:idx val="1"/>
          <c:order val="1"/>
          <c:tx>
            <c:strRef>
              <c:f>Feature_Test_1b!$D$3:$D$5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Feature_Test_1b!$B$6:$B$17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Feature_Test_1b!$D$6:$D$17</c:f>
              <c:numCache>
                <c:formatCode>0.00%</c:formatCode>
                <c:ptCount val="12"/>
                <c:pt idx="0">
                  <c:v>1.0000645102340531</c:v>
                </c:pt>
                <c:pt idx="1">
                  <c:v>0.22091584279442522</c:v>
                </c:pt>
                <c:pt idx="2">
                  <c:v>-0.11553774195603712</c:v>
                </c:pt>
                <c:pt idx="3">
                  <c:v>0.16601657868912478</c:v>
                </c:pt>
                <c:pt idx="4">
                  <c:v>-5.1863434544342647E-2</c:v>
                </c:pt>
                <c:pt idx="5">
                  <c:v>-7.4163322167538154E-2</c:v>
                </c:pt>
                <c:pt idx="6">
                  <c:v>5.3667176924994788E-3</c:v>
                </c:pt>
                <c:pt idx="7">
                  <c:v>-6.6065696473281102E-2</c:v>
                </c:pt>
                <c:pt idx="8">
                  <c:v>3.0932026853464099E-2</c:v>
                </c:pt>
                <c:pt idx="9">
                  <c:v>-6.0740220308557913E-2</c:v>
                </c:pt>
                <c:pt idx="10">
                  <c:v>-0.16930715513961545</c:v>
                </c:pt>
                <c:pt idx="11">
                  <c:v>-0.28500087650802997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62-4365-8414-66E2FD0DD09E}"/>
            </c:ext>
          </c:extLst>
        </c:ser>
        <c:ser>
          <c:idx val="2"/>
          <c:order val="2"/>
          <c:tx>
            <c:strRef>
              <c:f>Feature_Test_1b!$E$3:$E$5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Feature_Test_1b!$B$6:$B$17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Feature_Test_1b!$E$6:$E$17</c:f>
              <c:numCache>
                <c:formatCode>0.00%</c:formatCode>
                <c:ptCount val="12"/>
                <c:pt idx="0">
                  <c:v>-0.12227857760833921</c:v>
                </c:pt>
                <c:pt idx="1">
                  <c:v>-4.6086477534815096E-2</c:v>
                </c:pt>
                <c:pt idx="2">
                  <c:v>-4.7073837286563697E-2</c:v>
                </c:pt>
                <c:pt idx="3">
                  <c:v>-5.2772047918590512E-2</c:v>
                </c:pt>
                <c:pt idx="4">
                  <c:v>-5.0476082803969147E-2</c:v>
                </c:pt>
                <c:pt idx="5">
                  <c:v>-5.3019603281488845E-2</c:v>
                </c:pt>
                <c:pt idx="6">
                  <c:v>-5.0276167587250703E-2</c:v>
                </c:pt>
                <c:pt idx="7">
                  <c:v>-6.9180751062691462E-2</c:v>
                </c:pt>
                <c:pt idx="8">
                  <c:v>-6.8303325014390598E-2</c:v>
                </c:pt>
                <c:pt idx="9">
                  <c:v>-7.5263844892976037E-2</c:v>
                </c:pt>
                <c:pt idx="10">
                  <c:v>-7.6004273924161286E-2</c:v>
                </c:pt>
                <c:pt idx="11">
                  <c:v>-8.2967745231760329E-2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62-4365-8414-66E2FD0DD09E}"/>
            </c:ext>
          </c:extLst>
        </c:ser>
        <c:ser>
          <c:idx val="3"/>
          <c:order val="3"/>
          <c:tx>
            <c:strRef>
              <c:f>Feature_Test_1b!$F$3:$F$5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Feature_Test_1b!$B$6:$B$17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Feature_Test_1b!$F$6:$F$17</c:f>
              <c:numCache>
                <c:formatCode>0.00%</c:formatCode>
                <c:ptCount val="12"/>
                <c:pt idx="0">
                  <c:v>2.1062813568997245</c:v>
                </c:pt>
                <c:pt idx="1">
                  <c:v>0.60787597885829048</c:v>
                </c:pt>
                <c:pt idx="2">
                  <c:v>0.52054862085530573</c:v>
                </c:pt>
                <c:pt idx="3">
                  <c:v>-7.0280498227069832E-2</c:v>
                </c:pt>
                <c:pt idx="4">
                  <c:v>-0.27666066409055479</c:v>
                </c:pt>
                <c:pt idx="5">
                  <c:v>-0.25694749022464602</c:v>
                </c:pt>
                <c:pt idx="6">
                  <c:v>-0.16719786541516157</c:v>
                </c:pt>
                <c:pt idx="7">
                  <c:v>-0.11471722491073608</c:v>
                </c:pt>
                <c:pt idx="8">
                  <c:v>-0.1143186077592761</c:v>
                </c:pt>
                <c:pt idx="9">
                  <c:v>-0.17548210680842644</c:v>
                </c:pt>
                <c:pt idx="10">
                  <c:v>-0.30238104306457325</c:v>
                </c:pt>
                <c:pt idx="11">
                  <c:v>-0.3418690414287453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62-4365-8414-66E2FD0DD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469648"/>
        <c:axId val="1037470304"/>
      </c:lineChart>
      <c:catAx>
        <c:axId val="103746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470304"/>
        <c:crosses val="autoZero"/>
        <c:auto val="1"/>
        <c:lblAlgn val="ctr"/>
        <c:lblOffset val="100"/>
        <c:noMultiLvlLbl val="0"/>
      </c:catAx>
      <c:valAx>
        <c:axId val="103747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46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[AC_TURNIPS_ENGINE.xlsx]Feature_Test_2a!PivotTable1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Feature_Test_2a!$C$3:$C$5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Feature_Test_2a!$B$6:$B$17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Feature_Test_2a!$C$6:$C$17</c:f>
              <c:numCache>
                <c:formatCode>0.00%</c:formatCode>
                <c:ptCount val="12"/>
                <c:pt idx="0">
                  <c:v>1</c:v>
                </c:pt>
                <c:pt idx="1">
                  <c:v>0.94987200084588408</c:v>
                </c:pt>
                <c:pt idx="2">
                  <c:v>0.84708587332057794</c:v>
                </c:pt>
                <c:pt idx="3">
                  <c:v>0.7427844463698664</c:v>
                </c:pt>
                <c:pt idx="4">
                  <c:v>0.66004054633870368</c:v>
                </c:pt>
                <c:pt idx="5">
                  <c:v>0.58186429520404925</c:v>
                </c:pt>
                <c:pt idx="6">
                  <c:v>0.51121642920352084</c:v>
                </c:pt>
                <c:pt idx="7">
                  <c:v>0.17326652171130572</c:v>
                </c:pt>
                <c:pt idx="9">
                  <c:v>8.8461930816626566E-2</c:v>
                </c:pt>
                <c:pt idx="10">
                  <c:v>6.2053749212745951E-2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35-4D1C-A602-C0013A07B1C9}"/>
            </c:ext>
          </c:extLst>
        </c:ser>
        <c:ser>
          <c:idx val="1"/>
          <c:order val="1"/>
          <c:tx>
            <c:strRef>
              <c:f>Feature_Test_2a!$D$3:$D$5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Feature_Test_2a!$B$6:$B$17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Feature_Test_2a!$D$6:$D$17</c:f>
              <c:numCache>
                <c:formatCode>0.00%</c:formatCode>
                <c:ptCount val="12"/>
                <c:pt idx="0">
                  <c:v>1</c:v>
                </c:pt>
                <c:pt idx="1">
                  <c:v>0.48548440933342385</c:v>
                </c:pt>
                <c:pt idx="2">
                  <c:v>0.41526406536577681</c:v>
                </c:pt>
                <c:pt idx="3">
                  <c:v>0.22776667234881784</c:v>
                </c:pt>
                <c:pt idx="4">
                  <c:v>0.18379591219604083</c:v>
                </c:pt>
                <c:pt idx="5">
                  <c:v>0.1184191760172361</c:v>
                </c:pt>
                <c:pt idx="6">
                  <c:v>0.10193407902415394</c:v>
                </c:pt>
                <c:pt idx="7">
                  <c:v>9.1983428460197747E-2</c:v>
                </c:pt>
                <c:pt idx="8">
                  <c:v>7.3842219481949731E-2</c:v>
                </c:pt>
                <c:pt idx="9">
                  <c:v>5.5672126237784093E-2</c:v>
                </c:pt>
                <c:pt idx="10">
                  <c:v>3.9022135268516556E-2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35-4D1C-A602-C0013A07B1C9}"/>
            </c:ext>
          </c:extLst>
        </c:ser>
        <c:ser>
          <c:idx val="2"/>
          <c:order val="2"/>
          <c:tx>
            <c:strRef>
              <c:f>Feature_Test_2a!$E$3:$E$5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Feature_Test_2a!$B$6:$B$17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Feature_Test_2a!$E$6:$E$17</c:f>
              <c:numCache>
                <c:formatCode>0.00%</c:formatCode>
                <c:ptCount val="12"/>
                <c:pt idx="0">
                  <c:v>1</c:v>
                </c:pt>
                <c:pt idx="1">
                  <c:v>0.90771750605863355</c:v>
                </c:pt>
                <c:pt idx="2">
                  <c:v>0.81802547916994328</c:v>
                </c:pt>
                <c:pt idx="3">
                  <c:v>0.72225604082909456</c:v>
                </c:pt>
                <c:pt idx="4">
                  <c:v>0.6351705645089113</c:v>
                </c:pt>
                <c:pt idx="5">
                  <c:v>0.54857282508950855</c:v>
                </c:pt>
                <c:pt idx="6">
                  <c:v>0.47071877253879268</c:v>
                </c:pt>
                <c:pt idx="7">
                  <c:v>0.36921550891469995</c:v>
                </c:pt>
                <c:pt idx="8">
                  <c:v>0.27526537144206503</c:v>
                </c:pt>
                <c:pt idx="9">
                  <c:v>0.17933602160409542</c:v>
                </c:pt>
                <c:pt idx="10">
                  <c:v>8.961328218469268E-2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35-4D1C-A602-C0013A07B1C9}"/>
            </c:ext>
          </c:extLst>
        </c:ser>
        <c:ser>
          <c:idx val="3"/>
          <c:order val="3"/>
          <c:tx>
            <c:strRef>
              <c:f>Feature_Test_2a!$F$3:$F$5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Feature_Test_2a!$B$6:$B$17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Feature_Test_2a!$F$6:$F$17</c:f>
              <c:numCache>
                <c:formatCode>0.00%</c:formatCode>
                <c:ptCount val="12"/>
                <c:pt idx="0">
                  <c:v>1</c:v>
                </c:pt>
                <c:pt idx="1">
                  <c:v>0.65375620273002477</c:v>
                </c:pt>
                <c:pt idx="2">
                  <c:v>0.51321681712935741</c:v>
                </c:pt>
                <c:pt idx="3">
                  <c:v>0.1900016252305238</c:v>
                </c:pt>
                <c:pt idx="4">
                  <c:v>0.14487569762508262</c:v>
                </c:pt>
                <c:pt idx="5">
                  <c:v>0.14742599304602214</c:v>
                </c:pt>
                <c:pt idx="6">
                  <c:v>0.11877928601217771</c:v>
                </c:pt>
                <c:pt idx="7">
                  <c:v>0.11650386553817522</c:v>
                </c:pt>
                <c:pt idx="8">
                  <c:v>9.0634179151263122E-2</c:v>
                </c:pt>
                <c:pt idx="9">
                  <c:v>6.1301137785843778E-2</c:v>
                </c:pt>
                <c:pt idx="10">
                  <c:v>3.3210027543230783E-2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35-4D1C-A602-C0013A07B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469648"/>
        <c:axId val="1037470304"/>
      </c:lineChart>
      <c:catAx>
        <c:axId val="103746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470304"/>
        <c:crosses val="autoZero"/>
        <c:auto val="1"/>
        <c:lblAlgn val="ctr"/>
        <c:lblOffset val="100"/>
        <c:noMultiLvlLbl val="0"/>
      </c:catAx>
      <c:valAx>
        <c:axId val="103747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46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[AC_TURNIPS_ENGINE.xlsx]Feature_Test_2b!PivotTable1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Feature_Test_2b!$C$3:$C$5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Feature_Test_2b!$B$6:$B$17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Feature_Test_2b!$C$6:$C$17</c:f>
              <c:numCache>
                <c:formatCode>0.00%</c:formatCode>
                <c:ptCount val="12"/>
                <c:pt idx="0">
                  <c:v>1.3943521558638374</c:v>
                </c:pt>
                <c:pt idx="1">
                  <c:v>1.2578411338390678</c:v>
                </c:pt>
                <c:pt idx="2">
                  <c:v>0.97419201658484744</c:v>
                </c:pt>
                <c:pt idx="3">
                  <c:v>0.68995194601820597</c:v>
                </c:pt>
                <c:pt idx="4">
                  <c:v>0.46768670557407505</c:v>
                </c:pt>
                <c:pt idx="5">
                  <c:v>0.26279744933662302</c:v>
                </c:pt>
                <c:pt idx="6">
                  <c:v>7.1477617332045371E-2</c:v>
                </c:pt>
                <c:pt idx="7">
                  <c:v>-0.83398147782112486</c:v>
                </c:pt>
                <c:pt idx="9">
                  <c:v>-1.0569861349218475</c:v>
                </c:pt>
                <c:pt idx="10">
                  <c:v>-1.142298061215113</c:v>
                </c:pt>
                <c:pt idx="11">
                  <c:v>-1.3032038914030608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39-4731-9FBE-CD94E30DF604}"/>
            </c:ext>
          </c:extLst>
        </c:ser>
        <c:ser>
          <c:idx val="1"/>
          <c:order val="1"/>
          <c:tx>
            <c:strRef>
              <c:f>Feature_Test_2b!$D$3:$D$5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Feature_Test_2b!$B$6:$B$17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Feature_Test_2b!$D$6:$D$17</c:f>
              <c:numCache>
                <c:formatCode>0.00%</c:formatCode>
                <c:ptCount val="12"/>
                <c:pt idx="0">
                  <c:v>2.6648683811728033</c:v>
                </c:pt>
                <c:pt idx="1">
                  <c:v>0.85070743710677132</c:v>
                </c:pt>
                <c:pt idx="2">
                  <c:v>0.60404148171297489</c:v>
                </c:pt>
                <c:pt idx="3">
                  <c:v>-2.0459768898512126E-2</c:v>
                </c:pt>
                <c:pt idx="4">
                  <c:v>-0.18260270455613728</c:v>
                </c:pt>
                <c:pt idx="5">
                  <c:v>-0.39764074424368068</c:v>
                </c:pt>
                <c:pt idx="6">
                  <c:v>-0.43999190678571026</c:v>
                </c:pt>
                <c:pt idx="7">
                  <c:v>-0.50399534591178929</c:v>
                </c:pt>
                <c:pt idx="8">
                  <c:v>-0.53840807603353436</c:v>
                </c:pt>
                <c:pt idx="9">
                  <c:v>-0.6213164102875337</c:v>
                </c:pt>
                <c:pt idx="10">
                  <c:v>-0.66614548322232514</c:v>
                </c:pt>
                <c:pt idx="11">
                  <c:v>-0.80141215390836296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39-4731-9FBE-CD94E30DF604}"/>
            </c:ext>
          </c:extLst>
        </c:ser>
        <c:ser>
          <c:idx val="2"/>
          <c:order val="2"/>
          <c:tx>
            <c:strRef>
              <c:f>Feature_Test_2b!$E$3:$E$5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Feature_Test_2b!$B$6:$B$17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Feature_Test_2b!$E$6:$E$17</c:f>
              <c:numCache>
                <c:formatCode>0.00%</c:formatCode>
                <c:ptCount val="12"/>
                <c:pt idx="0">
                  <c:v>1.5235187679012967</c:v>
                </c:pt>
                <c:pt idx="1">
                  <c:v>1.2411475285255535</c:v>
                </c:pt>
                <c:pt idx="2">
                  <c:v>0.96705996295428687</c:v>
                </c:pt>
                <c:pt idx="3">
                  <c:v>0.6745988739641221</c:v>
                </c:pt>
                <c:pt idx="4">
                  <c:v>0.40890284520518749</c:v>
                </c:pt>
                <c:pt idx="5">
                  <c:v>0.14400078005998046</c:v>
                </c:pt>
                <c:pt idx="6">
                  <c:v>-9.3778141011031324E-2</c:v>
                </c:pt>
                <c:pt idx="7">
                  <c:v>-0.40344029720416857</c:v>
                </c:pt>
                <c:pt idx="8">
                  <c:v>-0.69008431406889836</c:v>
                </c:pt>
                <c:pt idx="9">
                  <c:v>-0.98281254964282216</c:v>
                </c:pt>
                <c:pt idx="10">
                  <c:v>-1.2574700687244742</c:v>
                </c:pt>
                <c:pt idx="11">
                  <c:v>-1.5316433879590328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39-4731-9FBE-CD94E30DF604}"/>
            </c:ext>
          </c:extLst>
        </c:ser>
        <c:ser>
          <c:idx val="3"/>
          <c:order val="3"/>
          <c:tx>
            <c:strRef>
              <c:f>Feature_Test_2b!$F$3:$F$5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Feature_Test_2b!$B$6:$B$17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Feature_Test_2b!$F$6:$F$17</c:f>
              <c:numCache>
                <c:formatCode>0.00%</c:formatCode>
                <c:ptCount val="12"/>
                <c:pt idx="0">
                  <c:v>2.4128187187997856</c:v>
                </c:pt>
                <c:pt idx="1">
                  <c:v>1.2479376250390337</c:v>
                </c:pt>
                <c:pt idx="2">
                  <c:v>0.78565501591294507</c:v>
                </c:pt>
                <c:pt idx="3">
                  <c:v>-0.22349221232912181</c:v>
                </c:pt>
                <c:pt idx="4">
                  <c:v>-0.33104623202793071</c:v>
                </c:pt>
                <c:pt idx="5">
                  <c:v>-0.37097147136327713</c:v>
                </c:pt>
                <c:pt idx="6">
                  <c:v>-0.42928595417499821</c:v>
                </c:pt>
                <c:pt idx="7">
                  <c:v>-0.47457951169009338</c:v>
                </c:pt>
                <c:pt idx="8">
                  <c:v>-0.54709689905924264</c:v>
                </c:pt>
                <c:pt idx="9">
                  <c:v>-0.63271027853624939</c:v>
                </c:pt>
                <c:pt idx="10">
                  <c:v>-0.77398267960622846</c:v>
                </c:pt>
                <c:pt idx="11">
                  <c:v>-0.82455764591452263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39-4731-9FBE-CD94E30DF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469648"/>
        <c:axId val="1037470304"/>
      </c:lineChart>
      <c:catAx>
        <c:axId val="103746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470304"/>
        <c:crosses val="autoZero"/>
        <c:auto val="1"/>
        <c:lblAlgn val="ctr"/>
        <c:lblOffset val="100"/>
        <c:noMultiLvlLbl val="0"/>
      </c:catAx>
      <c:valAx>
        <c:axId val="103747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46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[AC_TURNIPS_ENGINE.xlsx]Feature_Test_3!PivotTable1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Feature_Test_3!$C$3</c:f>
              <c:strCache>
                <c:ptCount val="1"/>
                <c:pt idx="0">
                  <c:v>StdDev of D_RET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Feature_Test_3!$B$4:$B$7</c:f>
              <c:strCache>
                <c:ptCount val="4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</c:strCache>
            </c:strRef>
          </c:cat>
          <c:val>
            <c:numRef>
              <c:f>Feature_Test_3!$C$4:$C$7</c:f>
              <c:numCache>
                <c:formatCode>0.00%</c:formatCode>
                <c:ptCount val="4"/>
                <c:pt idx="0">
                  <c:v>0.45117273945220426</c:v>
                </c:pt>
                <c:pt idx="1">
                  <c:v>0.74014749301198324</c:v>
                </c:pt>
                <c:pt idx="2">
                  <c:v>0.42185017476172121</c:v>
                </c:pt>
                <c:pt idx="3">
                  <c:v>2.9033261301229591E-2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2-42C5-95B2-70C729719BB6}"/>
            </c:ext>
          </c:extLst>
        </c:ser>
        <c:ser>
          <c:idx val="1"/>
          <c:order val="1"/>
          <c:tx>
            <c:strRef>
              <c:f>Feature_Test_3!$D$3</c:f>
              <c:strCache>
                <c:ptCount val="1"/>
                <c:pt idx="0">
                  <c:v>StdDev of WTD_RET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Feature_Test_3!$B$4:$B$7</c:f>
              <c:strCache>
                <c:ptCount val="4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</c:strCache>
            </c:strRef>
          </c:cat>
          <c:val>
            <c:numRef>
              <c:f>Feature_Test_3!$D$4:$D$7</c:f>
              <c:numCache>
                <c:formatCode>0.00%</c:formatCode>
                <c:ptCount val="4"/>
                <c:pt idx="0">
                  <c:v>0.80703241783816337</c:v>
                </c:pt>
                <c:pt idx="1">
                  <c:v>0.38823438201751481</c:v>
                </c:pt>
                <c:pt idx="2">
                  <c:v>0.26840878863891759</c:v>
                </c:pt>
                <c:pt idx="3">
                  <c:v>0.16238804867118789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3382-42C5-95B2-70C729719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7469648"/>
        <c:axId val="1037470304"/>
      </c:barChart>
      <c:catAx>
        <c:axId val="103746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470304"/>
        <c:crosses val="autoZero"/>
        <c:auto val="1"/>
        <c:lblAlgn val="ctr"/>
        <c:lblOffset val="100"/>
        <c:noMultiLvlLbl val="0"/>
      </c:catAx>
      <c:valAx>
        <c:axId val="103747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46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'0 - Oscillation'!$D$45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'0 - Oscillation'!$C$46:$C$58</c:f>
              <c:strCache>
                <c:ptCount val="13"/>
                <c:pt idx="0">
                  <c:v>PRICE_0</c:v>
                </c:pt>
                <c:pt idx="1">
                  <c:v>PRICE_1</c:v>
                </c:pt>
                <c:pt idx="2">
                  <c:v>PRICE_2</c:v>
                </c:pt>
                <c:pt idx="3">
                  <c:v>PRICE_3</c:v>
                </c:pt>
                <c:pt idx="4">
                  <c:v>PRICE_4</c:v>
                </c:pt>
                <c:pt idx="5">
                  <c:v>PRICE_5</c:v>
                </c:pt>
                <c:pt idx="6">
                  <c:v>PRICE_6</c:v>
                </c:pt>
                <c:pt idx="7">
                  <c:v>PRICE_7</c:v>
                </c:pt>
                <c:pt idx="8">
                  <c:v>PRICE_8</c:v>
                </c:pt>
                <c:pt idx="9">
                  <c:v>PRICE_9</c:v>
                </c:pt>
                <c:pt idx="10">
                  <c:v>PRICE_10</c:v>
                </c:pt>
                <c:pt idx="11">
                  <c:v>PRICE_11</c:v>
                </c:pt>
                <c:pt idx="12">
                  <c:v>PRICE_12</c:v>
                </c:pt>
              </c:strCache>
            </c:strRef>
          </c:cat>
          <c:val>
            <c:numRef>
              <c:f>'0 - Oscillation'!$D$46:$D$58</c:f>
              <c:numCache>
                <c:formatCode>#,##0.00</c:formatCode>
                <c:ptCount val="13"/>
                <c:pt idx="0" formatCode="General">
                  <c:v>104</c:v>
                </c:pt>
                <c:pt idx="1">
                  <c:v>64.054639999999992</c:v>
                </c:pt>
                <c:pt idx="2">
                  <c:v>57.638879999999993</c:v>
                </c:pt>
                <c:pt idx="3">
                  <c:v>113.36415999999998</c:v>
                </c:pt>
                <c:pt idx="4">
                  <c:v>110.08192000000001</c:v>
                </c:pt>
                <c:pt idx="5">
                  <c:v>107.66704000000001</c:v>
                </c:pt>
                <c:pt idx="6">
                  <c:v>99.300240000000002</c:v>
                </c:pt>
                <c:pt idx="7">
                  <c:v>100.77079999999999</c:v>
                </c:pt>
                <c:pt idx="8">
                  <c:v>124.75944000000001</c:v>
                </c:pt>
                <c:pt idx="9">
                  <c:v>64.054639999999992</c:v>
                </c:pt>
                <c:pt idx="10">
                  <c:v>58.49687999999999</c:v>
                </c:pt>
                <c:pt idx="11">
                  <c:v>53.865759999999995</c:v>
                </c:pt>
                <c:pt idx="12">
                  <c:v>109.15840000000001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2A-4354-9007-A2890247C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9744080"/>
        <c:axId val="959744408"/>
      </c:lineChart>
      <c:catAx>
        <c:axId val="95974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744408"/>
        <c:crosses val="autoZero"/>
        <c:auto val="1"/>
        <c:lblAlgn val="ctr"/>
        <c:lblOffset val="100"/>
        <c:noMultiLvlLbl val="0"/>
      </c:catAx>
      <c:valAx>
        <c:axId val="95974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74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'1 - Large Spike'!$D$41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'1 - Large Spike'!$C$43:$C$55</c:f>
              <c:strCache>
                <c:ptCount val="12"/>
                <c:pt idx="0">
                  <c:v>PRICE_1</c:v>
                </c:pt>
                <c:pt idx="1">
                  <c:v>PRICE_2</c:v>
                </c:pt>
                <c:pt idx="2">
                  <c:v>PRICE_3</c:v>
                </c:pt>
                <c:pt idx="3">
                  <c:v>PRICE_4</c:v>
                </c:pt>
                <c:pt idx="4">
                  <c:v>PRICE_5</c:v>
                </c:pt>
                <c:pt idx="5">
                  <c:v>PRICE_6</c:v>
                </c:pt>
                <c:pt idx="6">
                  <c:v>PRICE_7</c:v>
                </c:pt>
                <c:pt idx="7">
                  <c:v>PRICE_8</c:v>
                </c:pt>
                <c:pt idx="8">
                  <c:v>PRICE_9</c:v>
                </c:pt>
                <c:pt idx="9">
                  <c:v>PRICE_10</c:v>
                </c:pt>
                <c:pt idx="10">
                  <c:v>PRICE_11</c:v>
                </c:pt>
                <c:pt idx="11">
                  <c:v>PRICE_12</c:v>
                </c:pt>
              </c:strCache>
            </c:strRef>
          </c:cat>
          <c:val>
            <c:numRef>
              <c:f>'1 - Large Spike'!$D$43:$D$55</c:f>
              <c:numCache>
                <c:formatCode>#,##0.00</c:formatCode>
                <c:ptCount val="13"/>
                <c:pt idx="0">
                  <c:v>91.902720000000002</c:v>
                </c:pt>
                <c:pt idx="1">
                  <c:v>125.38448</c:v>
                </c:pt>
                <c:pt idx="2">
                  <c:v>191.60231999999999</c:v>
                </c:pt>
                <c:pt idx="3">
                  <c:v>620.27575999999999</c:v>
                </c:pt>
                <c:pt idx="4">
                  <c:v>207.94592</c:v>
                </c:pt>
                <c:pt idx="5">
                  <c:v>126.75623999999999</c:v>
                </c:pt>
                <c:pt idx="6">
                  <c:v>80.254720000000006</c:v>
                </c:pt>
                <c:pt idx="7">
                  <c:v>68.532879999999992</c:v>
                </c:pt>
                <c:pt idx="8">
                  <c:v>72.88839999999999</c:v>
                </c:pt>
                <c:pt idx="9">
                  <c:v>63.53152</c:v>
                </c:pt>
                <c:pt idx="10">
                  <c:v>53.346800000000002</c:v>
                </c:pt>
                <c:pt idx="11">
                  <c:v>75.771280000000004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467E-B825-A661B1B85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9744080"/>
        <c:axId val="959744408"/>
      </c:lineChart>
      <c:catAx>
        <c:axId val="95974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744408"/>
        <c:crosses val="autoZero"/>
        <c:auto val="1"/>
        <c:lblAlgn val="ctr"/>
        <c:lblOffset val="100"/>
        <c:noMultiLvlLbl val="0"/>
      </c:catAx>
      <c:valAx>
        <c:axId val="95974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74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'2 - Decreasing'!$D$38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'2 - Decreasing'!$C$39:$C$51</c:f>
              <c:strCache>
                <c:ptCount val="13"/>
                <c:pt idx="0">
                  <c:v>PRICE_0</c:v>
                </c:pt>
                <c:pt idx="1">
                  <c:v>PRICE_1</c:v>
                </c:pt>
                <c:pt idx="2">
                  <c:v>PRICE_2</c:v>
                </c:pt>
                <c:pt idx="3">
                  <c:v>PRICE_3</c:v>
                </c:pt>
                <c:pt idx="4">
                  <c:v>PRICE_4</c:v>
                </c:pt>
                <c:pt idx="5">
                  <c:v>PRICE_5</c:v>
                </c:pt>
                <c:pt idx="6">
                  <c:v>PRICE_6</c:v>
                </c:pt>
                <c:pt idx="7">
                  <c:v>PRICE_7</c:v>
                </c:pt>
                <c:pt idx="8">
                  <c:v>PRICE_8</c:v>
                </c:pt>
                <c:pt idx="9">
                  <c:v>PRICE_9</c:v>
                </c:pt>
                <c:pt idx="10">
                  <c:v>PRICE_10</c:v>
                </c:pt>
                <c:pt idx="11">
                  <c:v>PRICE_11</c:v>
                </c:pt>
                <c:pt idx="12">
                  <c:v>PRICE_12</c:v>
                </c:pt>
              </c:strCache>
            </c:strRef>
          </c:cat>
          <c:val>
            <c:numRef>
              <c:f>'2 - Decreasing'!$D$39:$D$51</c:f>
              <c:numCache>
                <c:formatCode>#,##0.00</c:formatCode>
                <c:ptCount val="13"/>
                <c:pt idx="0" formatCode="General">
                  <c:v>104</c:v>
                </c:pt>
                <c:pt idx="1">
                  <c:v>92.318719999999999</c:v>
                </c:pt>
                <c:pt idx="2">
                  <c:v>87.637680000000003</c:v>
                </c:pt>
                <c:pt idx="3">
                  <c:v>83.494320000000002</c:v>
                </c:pt>
                <c:pt idx="4">
                  <c:v>78.574080000000009</c:v>
                </c:pt>
                <c:pt idx="5">
                  <c:v>74.169680000000014</c:v>
                </c:pt>
                <c:pt idx="6">
                  <c:v>70.594160000000016</c:v>
                </c:pt>
                <c:pt idx="7">
                  <c:v>67.309840000000008</c:v>
                </c:pt>
                <c:pt idx="8">
                  <c:v>62.401040000000002</c:v>
                </c:pt>
                <c:pt idx="9">
                  <c:v>59.006480000000003</c:v>
                </c:pt>
                <c:pt idx="10">
                  <c:v>55.874000000000002</c:v>
                </c:pt>
                <c:pt idx="11">
                  <c:v>51.091040000000007</c:v>
                </c:pt>
                <c:pt idx="12">
                  <c:v>45.964880000000001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6-45B8-9011-C78A1E2C6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9744080"/>
        <c:axId val="959744408"/>
      </c:lineChart>
      <c:catAx>
        <c:axId val="95974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744408"/>
        <c:crosses val="autoZero"/>
        <c:auto val="1"/>
        <c:lblAlgn val="ctr"/>
        <c:lblOffset val="100"/>
        <c:noMultiLvlLbl val="0"/>
      </c:catAx>
      <c:valAx>
        <c:axId val="95974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74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'3 - Double Peak'!$D$42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'3 - Double Peak'!$C$44:$C$56</c:f>
              <c:strCache>
                <c:ptCount val="12"/>
                <c:pt idx="0">
                  <c:v>PRICE_1</c:v>
                </c:pt>
                <c:pt idx="1">
                  <c:v>PRICE_2</c:v>
                </c:pt>
                <c:pt idx="2">
                  <c:v>PRICE_3</c:v>
                </c:pt>
                <c:pt idx="3">
                  <c:v>PRICE_4</c:v>
                </c:pt>
                <c:pt idx="4">
                  <c:v>PRICE_5</c:v>
                </c:pt>
                <c:pt idx="5">
                  <c:v>PRICE_6</c:v>
                </c:pt>
                <c:pt idx="6">
                  <c:v>PRICE_7</c:v>
                </c:pt>
                <c:pt idx="7">
                  <c:v>PRICE_8</c:v>
                </c:pt>
                <c:pt idx="8">
                  <c:v>PRICE_9</c:v>
                </c:pt>
                <c:pt idx="9">
                  <c:v>PRICE_10</c:v>
                </c:pt>
                <c:pt idx="10">
                  <c:v>PRICE_11</c:v>
                </c:pt>
                <c:pt idx="11">
                  <c:v>PRICE_12</c:v>
                </c:pt>
              </c:strCache>
            </c:strRef>
          </c:cat>
          <c:val>
            <c:numRef>
              <c:f>'3 - Double Peak'!$D$44:$D$56</c:f>
              <c:numCache>
                <c:formatCode>#,##0.00</c:formatCode>
                <c:ptCount val="13"/>
                <c:pt idx="0">
                  <c:v>62.557040000000001</c:v>
                </c:pt>
                <c:pt idx="1">
                  <c:v>133.35399999999998</c:v>
                </c:pt>
                <c:pt idx="2">
                  <c:v>100.13016</c:v>
                </c:pt>
                <c:pt idx="3">
                  <c:v>77.894959999999998</c:v>
                </c:pt>
                <c:pt idx="4">
                  <c:v>188.92223999999999</c:v>
                </c:pt>
                <c:pt idx="5">
                  <c:v>55.793920000000007</c:v>
                </c:pt>
                <c:pt idx="6">
                  <c:v>62.557040000000001</c:v>
                </c:pt>
                <c:pt idx="7">
                  <c:v>58.445920000000001</c:v>
                </c:pt>
                <c:pt idx="8">
                  <c:v>54.456480000000006</c:v>
                </c:pt>
                <c:pt idx="9">
                  <c:v>50.895520000000012</c:v>
                </c:pt>
                <c:pt idx="10">
                  <c:v>46.078240000000015</c:v>
                </c:pt>
                <c:pt idx="11">
                  <c:v>41.486640000000008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7-4CD0-9F5F-7FB927BE3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9744080"/>
        <c:axId val="959744408"/>
      </c:lineChart>
      <c:catAx>
        <c:axId val="95974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744408"/>
        <c:crosses val="autoZero"/>
        <c:auto val="1"/>
        <c:lblAlgn val="ctr"/>
        <c:lblOffset val="100"/>
        <c:noMultiLvlLbl val="0"/>
      </c:catAx>
      <c:valAx>
        <c:axId val="95974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74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[AC_TURNIPS_ENGINE.xlsx]Sim_Report_1!PivotTable1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Sim_Report_1!$C$3:$C$4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Sim_Report_1!$B$5:$B$144</c:f>
              <c:multiLvlStrCache>
                <c:ptCount val="130"/>
                <c:lvl>
                  <c:pt idx="0">
                    <c:v>PRICE_0</c:v>
                  </c:pt>
                  <c:pt idx="1">
                    <c:v>PRICE_1</c:v>
                  </c:pt>
                  <c:pt idx="2">
                    <c:v>PRICE_2</c:v>
                  </c:pt>
                  <c:pt idx="3">
                    <c:v>PRICE_3</c:v>
                  </c:pt>
                  <c:pt idx="4">
                    <c:v>PRICE_4</c:v>
                  </c:pt>
                  <c:pt idx="5">
                    <c:v>PRICE_5</c:v>
                  </c:pt>
                  <c:pt idx="6">
                    <c:v>PRICE_6</c:v>
                  </c:pt>
                  <c:pt idx="7">
                    <c:v>PRICE_7</c:v>
                  </c:pt>
                  <c:pt idx="8">
                    <c:v>PRICE_8</c:v>
                  </c:pt>
                  <c:pt idx="9">
                    <c:v>PRICE_9</c:v>
                  </c:pt>
                  <c:pt idx="10">
                    <c:v>PRICE_10</c:v>
                  </c:pt>
                  <c:pt idx="11">
                    <c:v>PRICE_11</c:v>
                  </c:pt>
                  <c:pt idx="12">
                    <c:v>PRICE_12</c:v>
                  </c:pt>
                  <c:pt idx="13">
                    <c:v>PRICE_0</c:v>
                  </c:pt>
                  <c:pt idx="14">
                    <c:v>PRICE_1</c:v>
                  </c:pt>
                  <c:pt idx="15">
                    <c:v>PRICE_2</c:v>
                  </c:pt>
                  <c:pt idx="16">
                    <c:v>PRICE_3</c:v>
                  </c:pt>
                  <c:pt idx="17">
                    <c:v>PRICE_4</c:v>
                  </c:pt>
                  <c:pt idx="18">
                    <c:v>PRICE_5</c:v>
                  </c:pt>
                  <c:pt idx="19">
                    <c:v>PRICE_6</c:v>
                  </c:pt>
                  <c:pt idx="20">
                    <c:v>PRICE_7</c:v>
                  </c:pt>
                  <c:pt idx="21">
                    <c:v>PRICE_8</c:v>
                  </c:pt>
                  <c:pt idx="22">
                    <c:v>PRICE_9</c:v>
                  </c:pt>
                  <c:pt idx="23">
                    <c:v>PRICE_10</c:v>
                  </c:pt>
                  <c:pt idx="24">
                    <c:v>PRICE_11</c:v>
                  </c:pt>
                  <c:pt idx="25">
                    <c:v>PRICE_12</c:v>
                  </c:pt>
                  <c:pt idx="26">
                    <c:v>PRICE_0</c:v>
                  </c:pt>
                  <c:pt idx="27">
                    <c:v>PRICE_1</c:v>
                  </c:pt>
                  <c:pt idx="28">
                    <c:v>PRICE_2</c:v>
                  </c:pt>
                  <c:pt idx="29">
                    <c:v>PRICE_3</c:v>
                  </c:pt>
                  <c:pt idx="30">
                    <c:v>PRICE_4</c:v>
                  </c:pt>
                  <c:pt idx="31">
                    <c:v>PRICE_5</c:v>
                  </c:pt>
                  <c:pt idx="32">
                    <c:v>PRICE_6</c:v>
                  </c:pt>
                  <c:pt idx="33">
                    <c:v>PRICE_7</c:v>
                  </c:pt>
                  <c:pt idx="34">
                    <c:v>PRICE_8</c:v>
                  </c:pt>
                  <c:pt idx="35">
                    <c:v>PRICE_9</c:v>
                  </c:pt>
                  <c:pt idx="36">
                    <c:v>PRICE_10</c:v>
                  </c:pt>
                  <c:pt idx="37">
                    <c:v>PRICE_11</c:v>
                  </c:pt>
                  <c:pt idx="38">
                    <c:v>PRICE_12</c:v>
                  </c:pt>
                  <c:pt idx="39">
                    <c:v>PRICE_0</c:v>
                  </c:pt>
                  <c:pt idx="40">
                    <c:v>PRICE_1</c:v>
                  </c:pt>
                  <c:pt idx="41">
                    <c:v>PRICE_2</c:v>
                  </c:pt>
                  <c:pt idx="42">
                    <c:v>PRICE_3</c:v>
                  </c:pt>
                  <c:pt idx="43">
                    <c:v>PRICE_4</c:v>
                  </c:pt>
                  <c:pt idx="44">
                    <c:v>PRICE_5</c:v>
                  </c:pt>
                  <c:pt idx="45">
                    <c:v>PRICE_6</c:v>
                  </c:pt>
                  <c:pt idx="46">
                    <c:v>PRICE_7</c:v>
                  </c:pt>
                  <c:pt idx="47">
                    <c:v>PRICE_8</c:v>
                  </c:pt>
                  <c:pt idx="48">
                    <c:v>PRICE_9</c:v>
                  </c:pt>
                  <c:pt idx="49">
                    <c:v>PRICE_10</c:v>
                  </c:pt>
                  <c:pt idx="50">
                    <c:v>PRICE_11</c:v>
                  </c:pt>
                  <c:pt idx="51">
                    <c:v>PRICE_12</c:v>
                  </c:pt>
                  <c:pt idx="52">
                    <c:v>PRICE_0</c:v>
                  </c:pt>
                  <c:pt idx="53">
                    <c:v>PRICE_1</c:v>
                  </c:pt>
                  <c:pt idx="54">
                    <c:v>PRICE_2</c:v>
                  </c:pt>
                  <c:pt idx="55">
                    <c:v>PRICE_3</c:v>
                  </c:pt>
                  <c:pt idx="56">
                    <c:v>PRICE_4</c:v>
                  </c:pt>
                  <c:pt idx="57">
                    <c:v>PRICE_5</c:v>
                  </c:pt>
                  <c:pt idx="58">
                    <c:v>PRICE_6</c:v>
                  </c:pt>
                  <c:pt idx="59">
                    <c:v>PRICE_7</c:v>
                  </c:pt>
                  <c:pt idx="60">
                    <c:v>PRICE_8</c:v>
                  </c:pt>
                  <c:pt idx="61">
                    <c:v>PRICE_9</c:v>
                  </c:pt>
                  <c:pt idx="62">
                    <c:v>PRICE_10</c:v>
                  </c:pt>
                  <c:pt idx="63">
                    <c:v>PRICE_11</c:v>
                  </c:pt>
                  <c:pt idx="64">
                    <c:v>PRICE_12</c:v>
                  </c:pt>
                  <c:pt idx="65">
                    <c:v>PRICE_0</c:v>
                  </c:pt>
                  <c:pt idx="66">
                    <c:v>PRICE_1</c:v>
                  </c:pt>
                  <c:pt idx="67">
                    <c:v>PRICE_2</c:v>
                  </c:pt>
                  <c:pt idx="68">
                    <c:v>PRICE_3</c:v>
                  </c:pt>
                  <c:pt idx="69">
                    <c:v>PRICE_4</c:v>
                  </c:pt>
                  <c:pt idx="70">
                    <c:v>PRICE_5</c:v>
                  </c:pt>
                  <c:pt idx="71">
                    <c:v>PRICE_6</c:v>
                  </c:pt>
                  <c:pt idx="72">
                    <c:v>PRICE_7</c:v>
                  </c:pt>
                  <c:pt idx="73">
                    <c:v>PRICE_8</c:v>
                  </c:pt>
                  <c:pt idx="74">
                    <c:v>PRICE_9</c:v>
                  </c:pt>
                  <c:pt idx="75">
                    <c:v>PRICE_10</c:v>
                  </c:pt>
                  <c:pt idx="76">
                    <c:v>PRICE_11</c:v>
                  </c:pt>
                  <c:pt idx="77">
                    <c:v>PRICE_12</c:v>
                  </c:pt>
                  <c:pt idx="78">
                    <c:v>PRICE_0</c:v>
                  </c:pt>
                  <c:pt idx="79">
                    <c:v>PRICE_1</c:v>
                  </c:pt>
                  <c:pt idx="80">
                    <c:v>PRICE_2</c:v>
                  </c:pt>
                  <c:pt idx="81">
                    <c:v>PRICE_3</c:v>
                  </c:pt>
                  <c:pt idx="82">
                    <c:v>PRICE_4</c:v>
                  </c:pt>
                  <c:pt idx="83">
                    <c:v>PRICE_5</c:v>
                  </c:pt>
                  <c:pt idx="84">
                    <c:v>PRICE_6</c:v>
                  </c:pt>
                  <c:pt idx="85">
                    <c:v>PRICE_7</c:v>
                  </c:pt>
                  <c:pt idx="86">
                    <c:v>PRICE_8</c:v>
                  </c:pt>
                  <c:pt idx="87">
                    <c:v>PRICE_9</c:v>
                  </c:pt>
                  <c:pt idx="88">
                    <c:v>PRICE_10</c:v>
                  </c:pt>
                  <c:pt idx="89">
                    <c:v>PRICE_11</c:v>
                  </c:pt>
                  <c:pt idx="90">
                    <c:v>PRICE_12</c:v>
                  </c:pt>
                  <c:pt idx="91">
                    <c:v>PRICE_0</c:v>
                  </c:pt>
                  <c:pt idx="92">
                    <c:v>PRICE_1</c:v>
                  </c:pt>
                  <c:pt idx="93">
                    <c:v>PRICE_2</c:v>
                  </c:pt>
                  <c:pt idx="94">
                    <c:v>PRICE_3</c:v>
                  </c:pt>
                  <c:pt idx="95">
                    <c:v>PRICE_4</c:v>
                  </c:pt>
                  <c:pt idx="96">
                    <c:v>PRICE_5</c:v>
                  </c:pt>
                  <c:pt idx="97">
                    <c:v>PRICE_6</c:v>
                  </c:pt>
                  <c:pt idx="98">
                    <c:v>PRICE_7</c:v>
                  </c:pt>
                  <c:pt idx="99">
                    <c:v>PRICE_8</c:v>
                  </c:pt>
                  <c:pt idx="100">
                    <c:v>PRICE_9</c:v>
                  </c:pt>
                  <c:pt idx="101">
                    <c:v>PRICE_10</c:v>
                  </c:pt>
                  <c:pt idx="102">
                    <c:v>PRICE_11</c:v>
                  </c:pt>
                  <c:pt idx="103">
                    <c:v>PRICE_12</c:v>
                  </c:pt>
                  <c:pt idx="104">
                    <c:v>PRICE_0</c:v>
                  </c:pt>
                  <c:pt idx="105">
                    <c:v>PRICE_1</c:v>
                  </c:pt>
                  <c:pt idx="106">
                    <c:v>PRICE_2</c:v>
                  </c:pt>
                  <c:pt idx="107">
                    <c:v>PRICE_3</c:v>
                  </c:pt>
                  <c:pt idx="108">
                    <c:v>PRICE_4</c:v>
                  </c:pt>
                  <c:pt idx="109">
                    <c:v>PRICE_5</c:v>
                  </c:pt>
                  <c:pt idx="110">
                    <c:v>PRICE_6</c:v>
                  </c:pt>
                  <c:pt idx="111">
                    <c:v>PRICE_7</c:v>
                  </c:pt>
                  <c:pt idx="112">
                    <c:v>PRICE_8</c:v>
                  </c:pt>
                  <c:pt idx="113">
                    <c:v>PRICE_9</c:v>
                  </c:pt>
                  <c:pt idx="114">
                    <c:v>PRICE_10</c:v>
                  </c:pt>
                  <c:pt idx="115">
                    <c:v>PRICE_11</c:v>
                  </c:pt>
                  <c:pt idx="116">
                    <c:v>PRICE_12</c:v>
                  </c:pt>
                  <c:pt idx="117">
                    <c:v>PRICE_0</c:v>
                  </c:pt>
                  <c:pt idx="118">
                    <c:v>PRICE_1</c:v>
                  </c:pt>
                  <c:pt idx="119">
                    <c:v>PRICE_2</c:v>
                  </c:pt>
                  <c:pt idx="120">
                    <c:v>PRICE_3</c:v>
                  </c:pt>
                  <c:pt idx="121">
                    <c:v>PRICE_4</c:v>
                  </c:pt>
                  <c:pt idx="122">
                    <c:v>PRICE_5</c:v>
                  </c:pt>
                  <c:pt idx="123">
                    <c:v>PRICE_6</c:v>
                  </c:pt>
                  <c:pt idx="124">
                    <c:v>PRICE_7</c:v>
                  </c:pt>
                  <c:pt idx="125">
                    <c:v>PRICE_8</c:v>
                  </c:pt>
                  <c:pt idx="126">
                    <c:v>PRICE_9</c:v>
                  </c:pt>
                  <c:pt idx="127">
                    <c:v>PRICE_10</c:v>
                  </c:pt>
                  <c:pt idx="128">
                    <c:v>PRICE_11</c:v>
                  </c:pt>
                  <c:pt idx="129">
                    <c:v>PRICE_12</c:v>
                  </c:pt>
                </c:lvl>
                <c:lvl>
                  <c:pt idx="0">
                    <c:v>1</c:v>
                  </c:pt>
                  <c:pt idx="13">
                    <c:v>2</c:v>
                  </c:pt>
                  <c:pt idx="26">
                    <c:v>3</c:v>
                  </c:pt>
                  <c:pt idx="39">
                    <c:v>4</c:v>
                  </c:pt>
                  <c:pt idx="52">
                    <c:v>5</c:v>
                  </c:pt>
                  <c:pt idx="65">
                    <c:v>6</c:v>
                  </c:pt>
                  <c:pt idx="78">
                    <c:v>7</c:v>
                  </c:pt>
                  <c:pt idx="91">
                    <c:v>8</c:v>
                  </c:pt>
                  <c:pt idx="104">
                    <c:v>9</c:v>
                  </c:pt>
                  <c:pt idx="117">
                    <c:v>10</c:v>
                  </c:pt>
                </c:lvl>
              </c:multiLvlStrCache>
            </c:multiLvlStrRef>
          </c:cat>
          <c:val>
            <c:numRef>
              <c:f>Sim_Report_1!$C$5:$C$144</c:f>
              <c:numCache>
                <c:formatCode>General</c:formatCode>
                <c:ptCount val="130"/>
                <c:pt idx="0">
                  <c:v>97</c:v>
                </c:pt>
                <c:pt idx="1">
                  <c:v>77</c:v>
                </c:pt>
                <c:pt idx="2">
                  <c:v>73</c:v>
                </c:pt>
                <c:pt idx="3">
                  <c:v>70</c:v>
                </c:pt>
                <c:pt idx="4">
                  <c:v>66</c:v>
                </c:pt>
                <c:pt idx="5">
                  <c:v>63</c:v>
                </c:pt>
                <c:pt idx="6">
                  <c:v>111</c:v>
                </c:pt>
                <c:pt idx="7">
                  <c:v>101</c:v>
                </c:pt>
                <c:pt idx="8">
                  <c:v>57</c:v>
                </c:pt>
                <c:pt idx="9">
                  <c:v>162</c:v>
                </c:pt>
                <c:pt idx="10">
                  <c:v>60</c:v>
                </c:pt>
                <c:pt idx="11">
                  <c:v>77</c:v>
                </c:pt>
                <c:pt idx="12">
                  <c:v>74</c:v>
                </c:pt>
                <c:pt idx="13">
                  <c:v>93</c:v>
                </c:pt>
                <c:pt idx="14">
                  <c:v>113</c:v>
                </c:pt>
                <c:pt idx="15">
                  <c:v>102</c:v>
                </c:pt>
                <c:pt idx="16">
                  <c:v>130</c:v>
                </c:pt>
                <c:pt idx="17">
                  <c:v>104</c:v>
                </c:pt>
                <c:pt idx="18">
                  <c:v>119</c:v>
                </c:pt>
                <c:pt idx="19">
                  <c:v>98</c:v>
                </c:pt>
                <c:pt idx="20">
                  <c:v>63</c:v>
                </c:pt>
                <c:pt idx="21">
                  <c:v>56</c:v>
                </c:pt>
                <c:pt idx="22">
                  <c:v>91</c:v>
                </c:pt>
                <c:pt idx="23">
                  <c:v>63</c:v>
                </c:pt>
                <c:pt idx="24">
                  <c:v>55</c:v>
                </c:pt>
                <c:pt idx="25">
                  <c:v>46</c:v>
                </c:pt>
                <c:pt idx="26">
                  <c:v>108</c:v>
                </c:pt>
                <c:pt idx="27">
                  <c:v>147</c:v>
                </c:pt>
                <c:pt idx="28">
                  <c:v>80</c:v>
                </c:pt>
                <c:pt idx="29">
                  <c:v>74</c:v>
                </c:pt>
                <c:pt idx="30">
                  <c:v>69</c:v>
                </c:pt>
                <c:pt idx="31">
                  <c:v>104</c:v>
                </c:pt>
                <c:pt idx="32">
                  <c:v>149</c:v>
                </c:pt>
                <c:pt idx="33">
                  <c:v>118</c:v>
                </c:pt>
                <c:pt idx="34">
                  <c:v>149</c:v>
                </c:pt>
                <c:pt idx="35">
                  <c:v>80</c:v>
                </c:pt>
                <c:pt idx="36">
                  <c:v>75</c:v>
                </c:pt>
                <c:pt idx="37">
                  <c:v>114</c:v>
                </c:pt>
                <c:pt idx="38">
                  <c:v>122</c:v>
                </c:pt>
                <c:pt idx="39">
                  <c:v>109</c:v>
                </c:pt>
                <c:pt idx="40">
                  <c:v>133</c:v>
                </c:pt>
                <c:pt idx="41">
                  <c:v>152</c:v>
                </c:pt>
                <c:pt idx="42">
                  <c:v>50</c:v>
                </c:pt>
                <c:pt idx="43">
                  <c:v>169</c:v>
                </c:pt>
                <c:pt idx="44">
                  <c:v>47</c:v>
                </c:pt>
                <c:pt idx="45">
                  <c:v>49</c:v>
                </c:pt>
                <c:pt idx="46">
                  <c:v>44</c:v>
                </c:pt>
                <c:pt idx="47">
                  <c:v>39</c:v>
                </c:pt>
                <c:pt idx="48">
                  <c:v>35</c:v>
                </c:pt>
                <c:pt idx="49">
                  <c:v>30</c:v>
                </c:pt>
                <c:pt idx="50">
                  <c:v>26</c:v>
                </c:pt>
                <c:pt idx="51">
                  <c:v>22</c:v>
                </c:pt>
                <c:pt idx="52">
                  <c:v>102</c:v>
                </c:pt>
                <c:pt idx="53">
                  <c:v>56</c:v>
                </c:pt>
                <c:pt idx="54">
                  <c:v>51</c:v>
                </c:pt>
                <c:pt idx="55">
                  <c:v>48</c:v>
                </c:pt>
                <c:pt idx="56">
                  <c:v>43</c:v>
                </c:pt>
                <c:pt idx="57">
                  <c:v>39</c:v>
                </c:pt>
                <c:pt idx="58">
                  <c:v>34</c:v>
                </c:pt>
                <c:pt idx="59">
                  <c:v>96</c:v>
                </c:pt>
                <c:pt idx="60">
                  <c:v>107</c:v>
                </c:pt>
                <c:pt idx="61">
                  <c:v>72</c:v>
                </c:pt>
                <c:pt idx="62">
                  <c:v>186</c:v>
                </c:pt>
                <c:pt idx="63">
                  <c:v>52</c:v>
                </c:pt>
                <c:pt idx="64">
                  <c:v>56</c:v>
                </c:pt>
                <c:pt idx="65">
                  <c:v>101</c:v>
                </c:pt>
                <c:pt idx="66">
                  <c:v>91</c:v>
                </c:pt>
                <c:pt idx="67">
                  <c:v>86</c:v>
                </c:pt>
                <c:pt idx="68">
                  <c:v>82</c:v>
                </c:pt>
                <c:pt idx="69">
                  <c:v>77</c:v>
                </c:pt>
                <c:pt idx="70">
                  <c:v>73</c:v>
                </c:pt>
                <c:pt idx="71">
                  <c:v>69</c:v>
                </c:pt>
                <c:pt idx="72">
                  <c:v>66</c:v>
                </c:pt>
                <c:pt idx="73">
                  <c:v>61</c:v>
                </c:pt>
                <c:pt idx="74">
                  <c:v>58</c:v>
                </c:pt>
                <c:pt idx="75">
                  <c:v>54</c:v>
                </c:pt>
                <c:pt idx="76">
                  <c:v>50</c:v>
                </c:pt>
                <c:pt idx="77">
                  <c:v>46</c:v>
                </c:pt>
                <c:pt idx="78">
                  <c:v>103</c:v>
                </c:pt>
                <c:pt idx="79">
                  <c:v>91</c:v>
                </c:pt>
                <c:pt idx="80">
                  <c:v>87</c:v>
                </c:pt>
                <c:pt idx="81">
                  <c:v>83</c:v>
                </c:pt>
                <c:pt idx="82">
                  <c:v>80</c:v>
                </c:pt>
                <c:pt idx="83">
                  <c:v>75</c:v>
                </c:pt>
                <c:pt idx="84">
                  <c:v>70</c:v>
                </c:pt>
                <c:pt idx="85">
                  <c:v>117</c:v>
                </c:pt>
                <c:pt idx="86">
                  <c:v>166</c:v>
                </c:pt>
                <c:pt idx="87">
                  <c:v>346</c:v>
                </c:pt>
                <c:pt idx="88">
                  <c:v>190</c:v>
                </c:pt>
                <c:pt idx="89">
                  <c:v>106</c:v>
                </c:pt>
                <c:pt idx="90">
                  <c:v>85</c:v>
                </c:pt>
                <c:pt idx="91">
                  <c:v>98</c:v>
                </c:pt>
                <c:pt idx="92">
                  <c:v>137</c:v>
                </c:pt>
                <c:pt idx="93">
                  <c:v>132</c:v>
                </c:pt>
                <c:pt idx="94">
                  <c:v>123</c:v>
                </c:pt>
                <c:pt idx="95">
                  <c:v>71</c:v>
                </c:pt>
                <c:pt idx="96">
                  <c:v>62</c:v>
                </c:pt>
                <c:pt idx="97">
                  <c:v>105</c:v>
                </c:pt>
                <c:pt idx="98">
                  <c:v>107</c:v>
                </c:pt>
                <c:pt idx="99">
                  <c:v>102</c:v>
                </c:pt>
                <c:pt idx="100">
                  <c:v>134</c:v>
                </c:pt>
                <c:pt idx="101">
                  <c:v>71</c:v>
                </c:pt>
                <c:pt idx="102">
                  <c:v>64</c:v>
                </c:pt>
                <c:pt idx="103">
                  <c:v>56</c:v>
                </c:pt>
                <c:pt idx="104">
                  <c:v>99</c:v>
                </c:pt>
                <c:pt idx="105">
                  <c:v>95</c:v>
                </c:pt>
                <c:pt idx="106">
                  <c:v>116</c:v>
                </c:pt>
                <c:pt idx="107">
                  <c:v>91</c:v>
                </c:pt>
                <c:pt idx="108">
                  <c:v>94</c:v>
                </c:pt>
                <c:pt idx="109">
                  <c:v>136</c:v>
                </c:pt>
                <c:pt idx="110">
                  <c:v>99</c:v>
                </c:pt>
                <c:pt idx="111">
                  <c:v>76</c:v>
                </c:pt>
                <c:pt idx="112">
                  <c:v>69</c:v>
                </c:pt>
                <c:pt idx="113">
                  <c:v>63</c:v>
                </c:pt>
                <c:pt idx="114">
                  <c:v>133</c:v>
                </c:pt>
                <c:pt idx="115">
                  <c:v>76</c:v>
                </c:pt>
                <c:pt idx="116">
                  <c:v>69</c:v>
                </c:pt>
                <c:pt idx="117">
                  <c:v>95</c:v>
                </c:pt>
                <c:pt idx="118">
                  <c:v>83</c:v>
                </c:pt>
                <c:pt idx="119">
                  <c:v>79</c:v>
                </c:pt>
                <c:pt idx="120">
                  <c:v>76</c:v>
                </c:pt>
                <c:pt idx="121">
                  <c:v>73</c:v>
                </c:pt>
                <c:pt idx="122">
                  <c:v>70</c:v>
                </c:pt>
                <c:pt idx="123">
                  <c:v>66</c:v>
                </c:pt>
                <c:pt idx="124">
                  <c:v>63</c:v>
                </c:pt>
                <c:pt idx="125">
                  <c:v>60</c:v>
                </c:pt>
                <c:pt idx="126">
                  <c:v>56</c:v>
                </c:pt>
                <c:pt idx="127">
                  <c:v>52</c:v>
                </c:pt>
                <c:pt idx="128">
                  <c:v>47</c:v>
                </c:pt>
                <c:pt idx="129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1-4D3B-90C4-9DAA0BD7FAD5}"/>
            </c:ext>
          </c:extLst>
        </c:ser>
        <c:ser>
          <c:idx val="1"/>
          <c:order val="1"/>
          <c:tx>
            <c:strRef>
              <c:f>Sim_Report_1!$D$3:$D$4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Sim_Report_1!$B$5:$B$144</c:f>
              <c:multiLvlStrCache>
                <c:ptCount val="130"/>
                <c:lvl>
                  <c:pt idx="0">
                    <c:v>PRICE_0</c:v>
                  </c:pt>
                  <c:pt idx="1">
                    <c:v>PRICE_1</c:v>
                  </c:pt>
                  <c:pt idx="2">
                    <c:v>PRICE_2</c:v>
                  </c:pt>
                  <c:pt idx="3">
                    <c:v>PRICE_3</c:v>
                  </c:pt>
                  <c:pt idx="4">
                    <c:v>PRICE_4</c:v>
                  </c:pt>
                  <c:pt idx="5">
                    <c:v>PRICE_5</c:v>
                  </c:pt>
                  <c:pt idx="6">
                    <c:v>PRICE_6</c:v>
                  </c:pt>
                  <c:pt idx="7">
                    <c:v>PRICE_7</c:v>
                  </c:pt>
                  <c:pt idx="8">
                    <c:v>PRICE_8</c:v>
                  </c:pt>
                  <c:pt idx="9">
                    <c:v>PRICE_9</c:v>
                  </c:pt>
                  <c:pt idx="10">
                    <c:v>PRICE_10</c:v>
                  </c:pt>
                  <c:pt idx="11">
                    <c:v>PRICE_11</c:v>
                  </c:pt>
                  <c:pt idx="12">
                    <c:v>PRICE_12</c:v>
                  </c:pt>
                  <c:pt idx="13">
                    <c:v>PRICE_0</c:v>
                  </c:pt>
                  <c:pt idx="14">
                    <c:v>PRICE_1</c:v>
                  </c:pt>
                  <c:pt idx="15">
                    <c:v>PRICE_2</c:v>
                  </c:pt>
                  <c:pt idx="16">
                    <c:v>PRICE_3</c:v>
                  </c:pt>
                  <c:pt idx="17">
                    <c:v>PRICE_4</c:v>
                  </c:pt>
                  <c:pt idx="18">
                    <c:v>PRICE_5</c:v>
                  </c:pt>
                  <c:pt idx="19">
                    <c:v>PRICE_6</c:v>
                  </c:pt>
                  <c:pt idx="20">
                    <c:v>PRICE_7</c:v>
                  </c:pt>
                  <c:pt idx="21">
                    <c:v>PRICE_8</c:v>
                  </c:pt>
                  <c:pt idx="22">
                    <c:v>PRICE_9</c:v>
                  </c:pt>
                  <c:pt idx="23">
                    <c:v>PRICE_10</c:v>
                  </c:pt>
                  <c:pt idx="24">
                    <c:v>PRICE_11</c:v>
                  </c:pt>
                  <c:pt idx="25">
                    <c:v>PRICE_12</c:v>
                  </c:pt>
                  <c:pt idx="26">
                    <c:v>PRICE_0</c:v>
                  </c:pt>
                  <c:pt idx="27">
                    <c:v>PRICE_1</c:v>
                  </c:pt>
                  <c:pt idx="28">
                    <c:v>PRICE_2</c:v>
                  </c:pt>
                  <c:pt idx="29">
                    <c:v>PRICE_3</c:v>
                  </c:pt>
                  <c:pt idx="30">
                    <c:v>PRICE_4</c:v>
                  </c:pt>
                  <c:pt idx="31">
                    <c:v>PRICE_5</c:v>
                  </c:pt>
                  <c:pt idx="32">
                    <c:v>PRICE_6</c:v>
                  </c:pt>
                  <c:pt idx="33">
                    <c:v>PRICE_7</c:v>
                  </c:pt>
                  <c:pt idx="34">
                    <c:v>PRICE_8</c:v>
                  </c:pt>
                  <c:pt idx="35">
                    <c:v>PRICE_9</c:v>
                  </c:pt>
                  <c:pt idx="36">
                    <c:v>PRICE_10</c:v>
                  </c:pt>
                  <c:pt idx="37">
                    <c:v>PRICE_11</c:v>
                  </c:pt>
                  <c:pt idx="38">
                    <c:v>PRICE_12</c:v>
                  </c:pt>
                  <c:pt idx="39">
                    <c:v>PRICE_0</c:v>
                  </c:pt>
                  <c:pt idx="40">
                    <c:v>PRICE_1</c:v>
                  </c:pt>
                  <c:pt idx="41">
                    <c:v>PRICE_2</c:v>
                  </c:pt>
                  <c:pt idx="42">
                    <c:v>PRICE_3</c:v>
                  </c:pt>
                  <c:pt idx="43">
                    <c:v>PRICE_4</c:v>
                  </c:pt>
                  <c:pt idx="44">
                    <c:v>PRICE_5</c:v>
                  </c:pt>
                  <c:pt idx="45">
                    <c:v>PRICE_6</c:v>
                  </c:pt>
                  <c:pt idx="46">
                    <c:v>PRICE_7</c:v>
                  </c:pt>
                  <c:pt idx="47">
                    <c:v>PRICE_8</c:v>
                  </c:pt>
                  <c:pt idx="48">
                    <c:v>PRICE_9</c:v>
                  </c:pt>
                  <c:pt idx="49">
                    <c:v>PRICE_10</c:v>
                  </c:pt>
                  <c:pt idx="50">
                    <c:v>PRICE_11</c:v>
                  </c:pt>
                  <c:pt idx="51">
                    <c:v>PRICE_12</c:v>
                  </c:pt>
                  <c:pt idx="52">
                    <c:v>PRICE_0</c:v>
                  </c:pt>
                  <c:pt idx="53">
                    <c:v>PRICE_1</c:v>
                  </c:pt>
                  <c:pt idx="54">
                    <c:v>PRICE_2</c:v>
                  </c:pt>
                  <c:pt idx="55">
                    <c:v>PRICE_3</c:v>
                  </c:pt>
                  <c:pt idx="56">
                    <c:v>PRICE_4</c:v>
                  </c:pt>
                  <c:pt idx="57">
                    <c:v>PRICE_5</c:v>
                  </c:pt>
                  <c:pt idx="58">
                    <c:v>PRICE_6</c:v>
                  </c:pt>
                  <c:pt idx="59">
                    <c:v>PRICE_7</c:v>
                  </c:pt>
                  <c:pt idx="60">
                    <c:v>PRICE_8</c:v>
                  </c:pt>
                  <c:pt idx="61">
                    <c:v>PRICE_9</c:v>
                  </c:pt>
                  <c:pt idx="62">
                    <c:v>PRICE_10</c:v>
                  </c:pt>
                  <c:pt idx="63">
                    <c:v>PRICE_11</c:v>
                  </c:pt>
                  <c:pt idx="64">
                    <c:v>PRICE_12</c:v>
                  </c:pt>
                  <c:pt idx="65">
                    <c:v>PRICE_0</c:v>
                  </c:pt>
                  <c:pt idx="66">
                    <c:v>PRICE_1</c:v>
                  </c:pt>
                  <c:pt idx="67">
                    <c:v>PRICE_2</c:v>
                  </c:pt>
                  <c:pt idx="68">
                    <c:v>PRICE_3</c:v>
                  </c:pt>
                  <c:pt idx="69">
                    <c:v>PRICE_4</c:v>
                  </c:pt>
                  <c:pt idx="70">
                    <c:v>PRICE_5</c:v>
                  </c:pt>
                  <c:pt idx="71">
                    <c:v>PRICE_6</c:v>
                  </c:pt>
                  <c:pt idx="72">
                    <c:v>PRICE_7</c:v>
                  </c:pt>
                  <c:pt idx="73">
                    <c:v>PRICE_8</c:v>
                  </c:pt>
                  <c:pt idx="74">
                    <c:v>PRICE_9</c:v>
                  </c:pt>
                  <c:pt idx="75">
                    <c:v>PRICE_10</c:v>
                  </c:pt>
                  <c:pt idx="76">
                    <c:v>PRICE_11</c:v>
                  </c:pt>
                  <c:pt idx="77">
                    <c:v>PRICE_12</c:v>
                  </c:pt>
                  <c:pt idx="78">
                    <c:v>PRICE_0</c:v>
                  </c:pt>
                  <c:pt idx="79">
                    <c:v>PRICE_1</c:v>
                  </c:pt>
                  <c:pt idx="80">
                    <c:v>PRICE_2</c:v>
                  </c:pt>
                  <c:pt idx="81">
                    <c:v>PRICE_3</c:v>
                  </c:pt>
                  <c:pt idx="82">
                    <c:v>PRICE_4</c:v>
                  </c:pt>
                  <c:pt idx="83">
                    <c:v>PRICE_5</c:v>
                  </c:pt>
                  <c:pt idx="84">
                    <c:v>PRICE_6</c:v>
                  </c:pt>
                  <c:pt idx="85">
                    <c:v>PRICE_7</c:v>
                  </c:pt>
                  <c:pt idx="86">
                    <c:v>PRICE_8</c:v>
                  </c:pt>
                  <c:pt idx="87">
                    <c:v>PRICE_9</c:v>
                  </c:pt>
                  <c:pt idx="88">
                    <c:v>PRICE_10</c:v>
                  </c:pt>
                  <c:pt idx="89">
                    <c:v>PRICE_11</c:v>
                  </c:pt>
                  <c:pt idx="90">
                    <c:v>PRICE_12</c:v>
                  </c:pt>
                  <c:pt idx="91">
                    <c:v>PRICE_0</c:v>
                  </c:pt>
                  <c:pt idx="92">
                    <c:v>PRICE_1</c:v>
                  </c:pt>
                  <c:pt idx="93">
                    <c:v>PRICE_2</c:v>
                  </c:pt>
                  <c:pt idx="94">
                    <c:v>PRICE_3</c:v>
                  </c:pt>
                  <c:pt idx="95">
                    <c:v>PRICE_4</c:v>
                  </c:pt>
                  <c:pt idx="96">
                    <c:v>PRICE_5</c:v>
                  </c:pt>
                  <c:pt idx="97">
                    <c:v>PRICE_6</c:v>
                  </c:pt>
                  <c:pt idx="98">
                    <c:v>PRICE_7</c:v>
                  </c:pt>
                  <c:pt idx="99">
                    <c:v>PRICE_8</c:v>
                  </c:pt>
                  <c:pt idx="100">
                    <c:v>PRICE_9</c:v>
                  </c:pt>
                  <c:pt idx="101">
                    <c:v>PRICE_10</c:v>
                  </c:pt>
                  <c:pt idx="102">
                    <c:v>PRICE_11</c:v>
                  </c:pt>
                  <c:pt idx="103">
                    <c:v>PRICE_12</c:v>
                  </c:pt>
                  <c:pt idx="104">
                    <c:v>PRICE_0</c:v>
                  </c:pt>
                  <c:pt idx="105">
                    <c:v>PRICE_1</c:v>
                  </c:pt>
                  <c:pt idx="106">
                    <c:v>PRICE_2</c:v>
                  </c:pt>
                  <c:pt idx="107">
                    <c:v>PRICE_3</c:v>
                  </c:pt>
                  <c:pt idx="108">
                    <c:v>PRICE_4</c:v>
                  </c:pt>
                  <c:pt idx="109">
                    <c:v>PRICE_5</c:v>
                  </c:pt>
                  <c:pt idx="110">
                    <c:v>PRICE_6</c:v>
                  </c:pt>
                  <c:pt idx="111">
                    <c:v>PRICE_7</c:v>
                  </c:pt>
                  <c:pt idx="112">
                    <c:v>PRICE_8</c:v>
                  </c:pt>
                  <c:pt idx="113">
                    <c:v>PRICE_9</c:v>
                  </c:pt>
                  <c:pt idx="114">
                    <c:v>PRICE_10</c:v>
                  </c:pt>
                  <c:pt idx="115">
                    <c:v>PRICE_11</c:v>
                  </c:pt>
                  <c:pt idx="116">
                    <c:v>PRICE_12</c:v>
                  </c:pt>
                  <c:pt idx="117">
                    <c:v>PRICE_0</c:v>
                  </c:pt>
                  <c:pt idx="118">
                    <c:v>PRICE_1</c:v>
                  </c:pt>
                  <c:pt idx="119">
                    <c:v>PRICE_2</c:v>
                  </c:pt>
                  <c:pt idx="120">
                    <c:v>PRICE_3</c:v>
                  </c:pt>
                  <c:pt idx="121">
                    <c:v>PRICE_4</c:v>
                  </c:pt>
                  <c:pt idx="122">
                    <c:v>PRICE_5</c:v>
                  </c:pt>
                  <c:pt idx="123">
                    <c:v>PRICE_6</c:v>
                  </c:pt>
                  <c:pt idx="124">
                    <c:v>PRICE_7</c:v>
                  </c:pt>
                  <c:pt idx="125">
                    <c:v>PRICE_8</c:v>
                  </c:pt>
                  <c:pt idx="126">
                    <c:v>PRICE_9</c:v>
                  </c:pt>
                  <c:pt idx="127">
                    <c:v>PRICE_10</c:v>
                  </c:pt>
                  <c:pt idx="128">
                    <c:v>PRICE_11</c:v>
                  </c:pt>
                  <c:pt idx="129">
                    <c:v>PRICE_12</c:v>
                  </c:pt>
                </c:lvl>
                <c:lvl>
                  <c:pt idx="0">
                    <c:v>1</c:v>
                  </c:pt>
                  <c:pt idx="13">
                    <c:v>2</c:v>
                  </c:pt>
                  <c:pt idx="26">
                    <c:v>3</c:v>
                  </c:pt>
                  <c:pt idx="39">
                    <c:v>4</c:v>
                  </c:pt>
                  <c:pt idx="52">
                    <c:v>5</c:v>
                  </c:pt>
                  <c:pt idx="65">
                    <c:v>6</c:v>
                  </c:pt>
                  <c:pt idx="78">
                    <c:v>7</c:v>
                  </c:pt>
                  <c:pt idx="91">
                    <c:v>8</c:v>
                  </c:pt>
                  <c:pt idx="104">
                    <c:v>9</c:v>
                  </c:pt>
                  <c:pt idx="117">
                    <c:v>10</c:v>
                  </c:pt>
                </c:lvl>
              </c:multiLvlStrCache>
            </c:multiLvlStrRef>
          </c:cat>
          <c:val>
            <c:numRef>
              <c:f>Sim_Report_1!$D$5:$D$144</c:f>
              <c:numCache>
                <c:formatCode>General</c:formatCode>
                <c:ptCount val="130"/>
                <c:pt idx="0">
                  <c:v>105</c:v>
                </c:pt>
                <c:pt idx="1">
                  <c:v>59</c:v>
                </c:pt>
                <c:pt idx="2">
                  <c:v>53</c:v>
                </c:pt>
                <c:pt idx="3">
                  <c:v>50</c:v>
                </c:pt>
                <c:pt idx="4">
                  <c:v>46</c:v>
                </c:pt>
                <c:pt idx="5">
                  <c:v>126</c:v>
                </c:pt>
                <c:pt idx="6">
                  <c:v>145</c:v>
                </c:pt>
                <c:pt idx="7">
                  <c:v>55</c:v>
                </c:pt>
                <c:pt idx="8">
                  <c:v>160</c:v>
                </c:pt>
                <c:pt idx="9">
                  <c:v>54</c:v>
                </c:pt>
                <c:pt idx="10">
                  <c:v>59</c:v>
                </c:pt>
                <c:pt idx="11">
                  <c:v>54</c:v>
                </c:pt>
                <c:pt idx="12">
                  <c:v>51</c:v>
                </c:pt>
                <c:pt idx="13">
                  <c:v>106</c:v>
                </c:pt>
                <c:pt idx="14">
                  <c:v>91</c:v>
                </c:pt>
                <c:pt idx="15">
                  <c:v>86</c:v>
                </c:pt>
                <c:pt idx="16">
                  <c:v>115</c:v>
                </c:pt>
                <c:pt idx="17">
                  <c:v>209</c:v>
                </c:pt>
                <c:pt idx="18">
                  <c:v>474</c:v>
                </c:pt>
                <c:pt idx="19">
                  <c:v>206</c:v>
                </c:pt>
                <c:pt idx="20">
                  <c:v>115</c:v>
                </c:pt>
                <c:pt idx="21">
                  <c:v>60</c:v>
                </c:pt>
                <c:pt idx="22">
                  <c:v>90</c:v>
                </c:pt>
                <c:pt idx="23">
                  <c:v>90</c:v>
                </c:pt>
                <c:pt idx="24">
                  <c:v>67</c:v>
                </c:pt>
                <c:pt idx="25">
                  <c:v>64</c:v>
                </c:pt>
                <c:pt idx="26">
                  <c:v>102</c:v>
                </c:pt>
                <c:pt idx="27">
                  <c:v>123</c:v>
                </c:pt>
                <c:pt idx="28">
                  <c:v>104</c:v>
                </c:pt>
                <c:pt idx="29">
                  <c:v>113</c:v>
                </c:pt>
                <c:pt idx="30">
                  <c:v>135</c:v>
                </c:pt>
                <c:pt idx="31">
                  <c:v>116</c:v>
                </c:pt>
                <c:pt idx="32">
                  <c:v>67</c:v>
                </c:pt>
                <c:pt idx="33">
                  <c:v>60</c:v>
                </c:pt>
                <c:pt idx="34">
                  <c:v>54</c:v>
                </c:pt>
                <c:pt idx="35">
                  <c:v>125</c:v>
                </c:pt>
                <c:pt idx="36">
                  <c:v>67</c:v>
                </c:pt>
                <c:pt idx="37">
                  <c:v>57</c:v>
                </c:pt>
                <c:pt idx="38">
                  <c:v>111</c:v>
                </c:pt>
                <c:pt idx="39">
                  <c:v>98</c:v>
                </c:pt>
                <c:pt idx="40">
                  <c:v>84</c:v>
                </c:pt>
                <c:pt idx="41">
                  <c:v>80</c:v>
                </c:pt>
                <c:pt idx="42">
                  <c:v>77</c:v>
                </c:pt>
                <c:pt idx="43">
                  <c:v>118</c:v>
                </c:pt>
                <c:pt idx="44">
                  <c:v>110</c:v>
                </c:pt>
                <c:pt idx="45">
                  <c:v>65</c:v>
                </c:pt>
                <c:pt idx="46">
                  <c:v>176</c:v>
                </c:pt>
                <c:pt idx="47">
                  <c:v>51</c:v>
                </c:pt>
                <c:pt idx="48">
                  <c:v>84</c:v>
                </c:pt>
                <c:pt idx="49">
                  <c:v>80</c:v>
                </c:pt>
                <c:pt idx="50">
                  <c:v>76</c:v>
                </c:pt>
                <c:pt idx="51">
                  <c:v>73</c:v>
                </c:pt>
                <c:pt idx="52">
                  <c:v>93</c:v>
                </c:pt>
                <c:pt idx="53">
                  <c:v>83</c:v>
                </c:pt>
                <c:pt idx="54">
                  <c:v>79</c:v>
                </c:pt>
                <c:pt idx="55">
                  <c:v>122</c:v>
                </c:pt>
                <c:pt idx="56">
                  <c:v>174</c:v>
                </c:pt>
                <c:pt idx="57">
                  <c:v>238</c:v>
                </c:pt>
                <c:pt idx="58">
                  <c:v>185</c:v>
                </c:pt>
                <c:pt idx="59">
                  <c:v>111</c:v>
                </c:pt>
                <c:pt idx="60">
                  <c:v>76</c:v>
                </c:pt>
                <c:pt idx="61">
                  <c:v>55</c:v>
                </c:pt>
                <c:pt idx="62">
                  <c:v>61</c:v>
                </c:pt>
                <c:pt idx="63">
                  <c:v>48</c:v>
                </c:pt>
                <c:pt idx="64">
                  <c:v>65</c:v>
                </c:pt>
                <c:pt idx="65">
                  <c:v>107</c:v>
                </c:pt>
                <c:pt idx="66">
                  <c:v>82</c:v>
                </c:pt>
                <c:pt idx="67">
                  <c:v>72</c:v>
                </c:pt>
                <c:pt idx="68">
                  <c:v>138</c:v>
                </c:pt>
                <c:pt idx="69">
                  <c:v>136</c:v>
                </c:pt>
                <c:pt idx="70">
                  <c:v>125</c:v>
                </c:pt>
                <c:pt idx="71">
                  <c:v>142</c:v>
                </c:pt>
                <c:pt idx="72">
                  <c:v>137</c:v>
                </c:pt>
                <c:pt idx="73">
                  <c:v>115</c:v>
                </c:pt>
                <c:pt idx="74">
                  <c:v>144</c:v>
                </c:pt>
                <c:pt idx="75">
                  <c:v>82</c:v>
                </c:pt>
                <c:pt idx="76">
                  <c:v>74</c:v>
                </c:pt>
                <c:pt idx="77">
                  <c:v>68</c:v>
                </c:pt>
                <c:pt idx="78">
                  <c:v>100</c:v>
                </c:pt>
                <c:pt idx="79">
                  <c:v>55</c:v>
                </c:pt>
                <c:pt idx="80">
                  <c:v>114</c:v>
                </c:pt>
                <c:pt idx="81">
                  <c:v>114</c:v>
                </c:pt>
                <c:pt idx="82">
                  <c:v>60</c:v>
                </c:pt>
                <c:pt idx="83">
                  <c:v>189</c:v>
                </c:pt>
                <c:pt idx="84">
                  <c:v>72</c:v>
                </c:pt>
                <c:pt idx="85">
                  <c:v>55</c:v>
                </c:pt>
                <c:pt idx="86">
                  <c:v>52</c:v>
                </c:pt>
                <c:pt idx="87">
                  <c:v>47</c:v>
                </c:pt>
                <c:pt idx="88">
                  <c:v>42</c:v>
                </c:pt>
                <c:pt idx="89">
                  <c:v>38</c:v>
                </c:pt>
                <c:pt idx="90">
                  <c:v>34</c:v>
                </c:pt>
                <c:pt idx="91">
                  <c:v>107</c:v>
                </c:pt>
                <c:pt idx="92">
                  <c:v>114</c:v>
                </c:pt>
                <c:pt idx="93">
                  <c:v>138</c:v>
                </c:pt>
                <c:pt idx="94">
                  <c:v>109</c:v>
                </c:pt>
                <c:pt idx="95">
                  <c:v>103</c:v>
                </c:pt>
                <c:pt idx="96">
                  <c:v>109</c:v>
                </c:pt>
                <c:pt idx="97">
                  <c:v>128</c:v>
                </c:pt>
                <c:pt idx="98">
                  <c:v>74</c:v>
                </c:pt>
                <c:pt idx="99">
                  <c:v>64</c:v>
                </c:pt>
                <c:pt idx="100">
                  <c:v>58</c:v>
                </c:pt>
                <c:pt idx="101">
                  <c:v>139</c:v>
                </c:pt>
                <c:pt idx="102">
                  <c:v>74</c:v>
                </c:pt>
                <c:pt idx="103">
                  <c:v>66</c:v>
                </c:pt>
                <c:pt idx="104">
                  <c:v>101</c:v>
                </c:pt>
                <c:pt idx="105">
                  <c:v>89</c:v>
                </c:pt>
                <c:pt idx="106">
                  <c:v>85</c:v>
                </c:pt>
                <c:pt idx="107">
                  <c:v>81</c:v>
                </c:pt>
                <c:pt idx="108">
                  <c:v>77</c:v>
                </c:pt>
                <c:pt idx="109">
                  <c:v>72</c:v>
                </c:pt>
                <c:pt idx="110">
                  <c:v>68</c:v>
                </c:pt>
                <c:pt idx="111">
                  <c:v>98</c:v>
                </c:pt>
                <c:pt idx="112">
                  <c:v>164</c:v>
                </c:pt>
                <c:pt idx="113">
                  <c:v>222</c:v>
                </c:pt>
                <c:pt idx="114">
                  <c:v>146</c:v>
                </c:pt>
                <c:pt idx="115">
                  <c:v>96</c:v>
                </c:pt>
                <c:pt idx="116">
                  <c:v>64</c:v>
                </c:pt>
                <c:pt idx="117">
                  <c:v>105</c:v>
                </c:pt>
                <c:pt idx="118">
                  <c:v>64</c:v>
                </c:pt>
                <c:pt idx="119">
                  <c:v>59</c:v>
                </c:pt>
                <c:pt idx="120">
                  <c:v>53</c:v>
                </c:pt>
                <c:pt idx="121">
                  <c:v>97</c:v>
                </c:pt>
                <c:pt idx="122">
                  <c:v>131</c:v>
                </c:pt>
                <c:pt idx="123">
                  <c:v>64</c:v>
                </c:pt>
                <c:pt idx="124">
                  <c:v>56</c:v>
                </c:pt>
                <c:pt idx="125">
                  <c:v>113</c:v>
                </c:pt>
                <c:pt idx="126">
                  <c:v>108</c:v>
                </c:pt>
                <c:pt idx="127">
                  <c:v>139</c:v>
                </c:pt>
                <c:pt idx="128">
                  <c:v>138</c:v>
                </c:pt>
                <c:pt idx="12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9-3C51-4D3B-90C4-9DAA0BD7FAD5}"/>
            </c:ext>
          </c:extLst>
        </c:ser>
        <c:ser>
          <c:idx val="2"/>
          <c:order val="2"/>
          <c:tx>
            <c:strRef>
              <c:f>Sim_Report_1!$E$3:$E$4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Sim_Report_1!$B$5:$B$144</c:f>
              <c:multiLvlStrCache>
                <c:ptCount val="130"/>
                <c:lvl>
                  <c:pt idx="0">
                    <c:v>PRICE_0</c:v>
                  </c:pt>
                  <c:pt idx="1">
                    <c:v>PRICE_1</c:v>
                  </c:pt>
                  <c:pt idx="2">
                    <c:v>PRICE_2</c:v>
                  </c:pt>
                  <c:pt idx="3">
                    <c:v>PRICE_3</c:v>
                  </c:pt>
                  <c:pt idx="4">
                    <c:v>PRICE_4</c:v>
                  </c:pt>
                  <c:pt idx="5">
                    <c:v>PRICE_5</c:v>
                  </c:pt>
                  <c:pt idx="6">
                    <c:v>PRICE_6</c:v>
                  </c:pt>
                  <c:pt idx="7">
                    <c:v>PRICE_7</c:v>
                  </c:pt>
                  <c:pt idx="8">
                    <c:v>PRICE_8</c:v>
                  </c:pt>
                  <c:pt idx="9">
                    <c:v>PRICE_9</c:v>
                  </c:pt>
                  <c:pt idx="10">
                    <c:v>PRICE_10</c:v>
                  </c:pt>
                  <c:pt idx="11">
                    <c:v>PRICE_11</c:v>
                  </c:pt>
                  <c:pt idx="12">
                    <c:v>PRICE_12</c:v>
                  </c:pt>
                  <c:pt idx="13">
                    <c:v>PRICE_0</c:v>
                  </c:pt>
                  <c:pt idx="14">
                    <c:v>PRICE_1</c:v>
                  </c:pt>
                  <c:pt idx="15">
                    <c:v>PRICE_2</c:v>
                  </c:pt>
                  <c:pt idx="16">
                    <c:v>PRICE_3</c:v>
                  </c:pt>
                  <c:pt idx="17">
                    <c:v>PRICE_4</c:v>
                  </c:pt>
                  <c:pt idx="18">
                    <c:v>PRICE_5</c:v>
                  </c:pt>
                  <c:pt idx="19">
                    <c:v>PRICE_6</c:v>
                  </c:pt>
                  <c:pt idx="20">
                    <c:v>PRICE_7</c:v>
                  </c:pt>
                  <c:pt idx="21">
                    <c:v>PRICE_8</c:v>
                  </c:pt>
                  <c:pt idx="22">
                    <c:v>PRICE_9</c:v>
                  </c:pt>
                  <c:pt idx="23">
                    <c:v>PRICE_10</c:v>
                  </c:pt>
                  <c:pt idx="24">
                    <c:v>PRICE_11</c:v>
                  </c:pt>
                  <c:pt idx="25">
                    <c:v>PRICE_12</c:v>
                  </c:pt>
                  <c:pt idx="26">
                    <c:v>PRICE_0</c:v>
                  </c:pt>
                  <c:pt idx="27">
                    <c:v>PRICE_1</c:v>
                  </c:pt>
                  <c:pt idx="28">
                    <c:v>PRICE_2</c:v>
                  </c:pt>
                  <c:pt idx="29">
                    <c:v>PRICE_3</c:v>
                  </c:pt>
                  <c:pt idx="30">
                    <c:v>PRICE_4</c:v>
                  </c:pt>
                  <c:pt idx="31">
                    <c:v>PRICE_5</c:v>
                  </c:pt>
                  <c:pt idx="32">
                    <c:v>PRICE_6</c:v>
                  </c:pt>
                  <c:pt idx="33">
                    <c:v>PRICE_7</c:v>
                  </c:pt>
                  <c:pt idx="34">
                    <c:v>PRICE_8</c:v>
                  </c:pt>
                  <c:pt idx="35">
                    <c:v>PRICE_9</c:v>
                  </c:pt>
                  <c:pt idx="36">
                    <c:v>PRICE_10</c:v>
                  </c:pt>
                  <c:pt idx="37">
                    <c:v>PRICE_11</c:v>
                  </c:pt>
                  <c:pt idx="38">
                    <c:v>PRICE_12</c:v>
                  </c:pt>
                  <c:pt idx="39">
                    <c:v>PRICE_0</c:v>
                  </c:pt>
                  <c:pt idx="40">
                    <c:v>PRICE_1</c:v>
                  </c:pt>
                  <c:pt idx="41">
                    <c:v>PRICE_2</c:v>
                  </c:pt>
                  <c:pt idx="42">
                    <c:v>PRICE_3</c:v>
                  </c:pt>
                  <c:pt idx="43">
                    <c:v>PRICE_4</c:v>
                  </c:pt>
                  <c:pt idx="44">
                    <c:v>PRICE_5</c:v>
                  </c:pt>
                  <c:pt idx="45">
                    <c:v>PRICE_6</c:v>
                  </c:pt>
                  <c:pt idx="46">
                    <c:v>PRICE_7</c:v>
                  </c:pt>
                  <c:pt idx="47">
                    <c:v>PRICE_8</c:v>
                  </c:pt>
                  <c:pt idx="48">
                    <c:v>PRICE_9</c:v>
                  </c:pt>
                  <c:pt idx="49">
                    <c:v>PRICE_10</c:v>
                  </c:pt>
                  <c:pt idx="50">
                    <c:v>PRICE_11</c:v>
                  </c:pt>
                  <c:pt idx="51">
                    <c:v>PRICE_12</c:v>
                  </c:pt>
                  <c:pt idx="52">
                    <c:v>PRICE_0</c:v>
                  </c:pt>
                  <c:pt idx="53">
                    <c:v>PRICE_1</c:v>
                  </c:pt>
                  <c:pt idx="54">
                    <c:v>PRICE_2</c:v>
                  </c:pt>
                  <c:pt idx="55">
                    <c:v>PRICE_3</c:v>
                  </c:pt>
                  <c:pt idx="56">
                    <c:v>PRICE_4</c:v>
                  </c:pt>
                  <c:pt idx="57">
                    <c:v>PRICE_5</c:v>
                  </c:pt>
                  <c:pt idx="58">
                    <c:v>PRICE_6</c:v>
                  </c:pt>
                  <c:pt idx="59">
                    <c:v>PRICE_7</c:v>
                  </c:pt>
                  <c:pt idx="60">
                    <c:v>PRICE_8</c:v>
                  </c:pt>
                  <c:pt idx="61">
                    <c:v>PRICE_9</c:v>
                  </c:pt>
                  <c:pt idx="62">
                    <c:v>PRICE_10</c:v>
                  </c:pt>
                  <c:pt idx="63">
                    <c:v>PRICE_11</c:v>
                  </c:pt>
                  <c:pt idx="64">
                    <c:v>PRICE_12</c:v>
                  </c:pt>
                  <c:pt idx="65">
                    <c:v>PRICE_0</c:v>
                  </c:pt>
                  <c:pt idx="66">
                    <c:v>PRICE_1</c:v>
                  </c:pt>
                  <c:pt idx="67">
                    <c:v>PRICE_2</c:v>
                  </c:pt>
                  <c:pt idx="68">
                    <c:v>PRICE_3</c:v>
                  </c:pt>
                  <c:pt idx="69">
                    <c:v>PRICE_4</c:v>
                  </c:pt>
                  <c:pt idx="70">
                    <c:v>PRICE_5</c:v>
                  </c:pt>
                  <c:pt idx="71">
                    <c:v>PRICE_6</c:v>
                  </c:pt>
                  <c:pt idx="72">
                    <c:v>PRICE_7</c:v>
                  </c:pt>
                  <c:pt idx="73">
                    <c:v>PRICE_8</c:v>
                  </c:pt>
                  <c:pt idx="74">
                    <c:v>PRICE_9</c:v>
                  </c:pt>
                  <c:pt idx="75">
                    <c:v>PRICE_10</c:v>
                  </c:pt>
                  <c:pt idx="76">
                    <c:v>PRICE_11</c:v>
                  </c:pt>
                  <c:pt idx="77">
                    <c:v>PRICE_12</c:v>
                  </c:pt>
                  <c:pt idx="78">
                    <c:v>PRICE_0</c:v>
                  </c:pt>
                  <c:pt idx="79">
                    <c:v>PRICE_1</c:v>
                  </c:pt>
                  <c:pt idx="80">
                    <c:v>PRICE_2</c:v>
                  </c:pt>
                  <c:pt idx="81">
                    <c:v>PRICE_3</c:v>
                  </c:pt>
                  <c:pt idx="82">
                    <c:v>PRICE_4</c:v>
                  </c:pt>
                  <c:pt idx="83">
                    <c:v>PRICE_5</c:v>
                  </c:pt>
                  <c:pt idx="84">
                    <c:v>PRICE_6</c:v>
                  </c:pt>
                  <c:pt idx="85">
                    <c:v>PRICE_7</c:v>
                  </c:pt>
                  <c:pt idx="86">
                    <c:v>PRICE_8</c:v>
                  </c:pt>
                  <c:pt idx="87">
                    <c:v>PRICE_9</c:v>
                  </c:pt>
                  <c:pt idx="88">
                    <c:v>PRICE_10</c:v>
                  </c:pt>
                  <c:pt idx="89">
                    <c:v>PRICE_11</c:v>
                  </c:pt>
                  <c:pt idx="90">
                    <c:v>PRICE_12</c:v>
                  </c:pt>
                  <c:pt idx="91">
                    <c:v>PRICE_0</c:v>
                  </c:pt>
                  <c:pt idx="92">
                    <c:v>PRICE_1</c:v>
                  </c:pt>
                  <c:pt idx="93">
                    <c:v>PRICE_2</c:v>
                  </c:pt>
                  <c:pt idx="94">
                    <c:v>PRICE_3</c:v>
                  </c:pt>
                  <c:pt idx="95">
                    <c:v>PRICE_4</c:v>
                  </c:pt>
                  <c:pt idx="96">
                    <c:v>PRICE_5</c:v>
                  </c:pt>
                  <c:pt idx="97">
                    <c:v>PRICE_6</c:v>
                  </c:pt>
                  <c:pt idx="98">
                    <c:v>PRICE_7</c:v>
                  </c:pt>
                  <c:pt idx="99">
                    <c:v>PRICE_8</c:v>
                  </c:pt>
                  <c:pt idx="100">
                    <c:v>PRICE_9</c:v>
                  </c:pt>
                  <c:pt idx="101">
                    <c:v>PRICE_10</c:v>
                  </c:pt>
                  <c:pt idx="102">
                    <c:v>PRICE_11</c:v>
                  </c:pt>
                  <c:pt idx="103">
                    <c:v>PRICE_12</c:v>
                  </c:pt>
                  <c:pt idx="104">
                    <c:v>PRICE_0</c:v>
                  </c:pt>
                  <c:pt idx="105">
                    <c:v>PRICE_1</c:v>
                  </c:pt>
                  <c:pt idx="106">
                    <c:v>PRICE_2</c:v>
                  </c:pt>
                  <c:pt idx="107">
                    <c:v>PRICE_3</c:v>
                  </c:pt>
                  <c:pt idx="108">
                    <c:v>PRICE_4</c:v>
                  </c:pt>
                  <c:pt idx="109">
                    <c:v>PRICE_5</c:v>
                  </c:pt>
                  <c:pt idx="110">
                    <c:v>PRICE_6</c:v>
                  </c:pt>
                  <c:pt idx="111">
                    <c:v>PRICE_7</c:v>
                  </c:pt>
                  <c:pt idx="112">
                    <c:v>PRICE_8</c:v>
                  </c:pt>
                  <c:pt idx="113">
                    <c:v>PRICE_9</c:v>
                  </c:pt>
                  <c:pt idx="114">
                    <c:v>PRICE_10</c:v>
                  </c:pt>
                  <c:pt idx="115">
                    <c:v>PRICE_11</c:v>
                  </c:pt>
                  <c:pt idx="116">
                    <c:v>PRICE_12</c:v>
                  </c:pt>
                  <c:pt idx="117">
                    <c:v>PRICE_0</c:v>
                  </c:pt>
                  <c:pt idx="118">
                    <c:v>PRICE_1</c:v>
                  </c:pt>
                  <c:pt idx="119">
                    <c:v>PRICE_2</c:v>
                  </c:pt>
                  <c:pt idx="120">
                    <c:v>PRICE_3</c:v>
                  </c:pt>
                  <c:pt idx="121">
                    <c:v>PRICE_4</c:v>
                  </c:pt>
                  <c:pt idx="122">
                    <c:v>PRICE_5</c:v>
                  </c:pt>
                  <c:pt idx="123">
                    <c:v>PRICE_6</c:v>
                  </c:pt>
                  <c:pt idx="124">
                    <c:v>PRICE_7</c:v>
                  </c:pt>
                  <c:pt idx="125">
                    <c:v>PRICE_8</c:v>
                  </c:pt>
                  <c:pt idx="126">
                    <c:v>PRICE_9</c:v>
                  </c:pt>
                  <c:pt idx="127">
                    <c:v>PRICE_10</c:v>
                  </c:pt>
                  <c:pt idx="128">
                    <c:v>PRICE_11</c:v>
                  </c:pt>
                  <c:pt idx="129">
                    <c:v>PRICE_12</c:v>
                  </c:pt>
                </c:lvl>
                <c:lvl>
                  <c:pt idx="0">
                    <c:v>1</c:v>
                  </c:pt>
                  <c:pt idx="13">
                    <c:v>2</c:v>
                  </c:pt>
                  <c:pt idx="26">
                    <c:v>3</c:v>
                  </c:pt>
                  <c:pt idx="39">
                    <c:v>4</c:v>
                  </c:pt>
                  <c:pt idx="52">
                    <c:v>5</c:v>
                  </c:pt>
                  <c:pt idx="65">
                    <c:v>6</c:v>
                  </c:pt>
                  <c:pt idx="78">
                    <c:v>7</c:v>
                  </c:pt>
                  <c:pt idx="91">
                    <c:v>8</c:v>
                  </c:pt>
                  <c:pt idx="104">
                    <c:v>9</c:v>
                  </c:pt>
                  <c:pt idx="117">
                    <c:v>10</c:v>
                  </c:pt>
                </c:lvl>
              </c:multiLvlStrCache>
            </c:multiLvlStrRef>
          </c:cat>
          <c:val>
            <c:numRef>
              <c:f>Sim_Report_1!$E$5:$E$144</c:f>
              <c:numCache>
                <c:formatCode>General</c:formatCode>
                <c:ptCount val="130"/>
                <c:pt idx="0">
                  <c:v>110</c:v>
                </c:pt>
                <c:pt idx="1">
                  <c:v>60</c:v>
                </c:pt>
                <c:pt idx="2">
                  <c:v>55</c:v>
                </c:pt>
                <c:pt idx="3">
                  <c:v>51</c:v>
                </c:pt>
                <c:pt idx="4">
                  <c:v>47</c:v>
                </c:pt>
                <c:pt idx="5">
                  <c:v>121</c:v>
                </c:pt>
                <c:pt idx="6">
                  <c:v>150</c:v>
                </c:pt>
                <c:pt idx="7">
                  <c:v>45</c:v>
                </c:pt>
                <c:pt idx="8">
                  <c:v>159</c:v>
                </c:pt>
                <c:pt idx="9">
                  <c:v>47</c:v>
                </c:pt>
                <c:pt idx="10">
                  <c:v>60</c:v>
                </c:pt>
                <c:pt idx="11">
                  <c:v>56</c:v>
                </c:pt>
                <c:pt idx="12">
                  <c:v>53</c:v>
                </c:pt>
                <c:pt idx="13">
                  <c:v>92</c:v>
                </c:pt>
                <c:pt idx="14">
                  <c:v>48</c:v>
                </c:pt>
                <c:pt idx="15">
                  <c:v>45</c:v>
                </c:pt>
                <c:pt idx="16">
                  <c:v>41</c:v>
                </c:pt>
                <c:pt idx="17">
                  <c:v>106</c:v>
                </c:pt>
                <c:pt idx="18">
                  <c:v>123</c:v>
                </c:pt>
                <c:pt idx="19">
                  <c:v>47</c:v>
                </c:pt>
                <c:pt idx="20">
                  <c:v>154</c:v>
                </c:pt>
                <c:pt idx="21">
                  <c:v>40</c:v>
                </c:pt>
                <c:pt idx="22">
                  <c:v>48</c:v>
                </c:pt>
                <c:pt idx="23">
                  <c:v>45</c:v>
                </c:pt>
                <c:pt idx="24">
                  <c:v>42</c:v>
                </c:pt>
                <c:pt idx="25">
                  <c:v>38</c:v>
                </c:pt>
                <c:pt idx="26">
                  <c:v>99</c:v>
                </c:pt>
                <c:pt idx="27">
                  <c:v>114</c:v>
                </c:pt>
                <c:pt idx="28">
                  <c:v>123</c:v>
                </c:pt>
                <c:pt idx="29">
                  <c:v>122</c:v>
                </c:pt>
                <c:pt idx="30">
                  <c:v>92</c:v>
                </c:pt>
                <c:pt idx="31">
                  <c:v>94</c:v>
                </c:pt>
                <c:pt idx="32">
                  <c:v>116</c:v>
                </c:pt>
                <c:pt idx="33">
                  <c:v>70</c:v>
                </c:pt>
                <c:pt idx="34">
                  <c:v>65</c:v>
                </c:pt>
                <c:pt idx="35">
                  <c:v>59</c:v>
                </c:pt>
                <c:pt idx="36">
                  <c:v>94</c:v>
                </c:pt>
                <c:pt idx="37">
                  <c:v>70</c:v>
                </c:pt>
                <c:pt idx="38">
                  <c:v>60</c:v>
                </c:pt>
                <c:pt idx="39">
                  <c:v>93</c:v>
                </c:pt>
                <c:pt idx="40">
                  <c:v>61</c:v>
                </c:pt>
                <c:pt idx="41">
                  <c:v>58</c:v>
                </c:pt>
                <c:pt idx="42">
                  <c:v>53</c:v>
                </c:pt>
                <c:pt idx="43">
                  <c:v>127</c:v>
                </c:pt>
                <c:pt idx="44">
                  <c:v>93</c:v>
                </c:pt>
                <c:pt idx="45">
                  <c:v>48</c:v>
                </c:pt>
                <c:pt idx="46">
                  <c:v>158</c:v>
                </c:pt>
                <c:pt idx="47">
                  <c:v>38</c:v>
                </c:pt>
                <c:pt idx="48">
                  <c:v>61</c:v>
                </c:pt>
                <c:pt idx="49">
                  <c:v>57</c:v>
                </c:pt>
                <c:pt idx="50">
                  <c:v>53</c:v>
                </c:pt>
                <c:pt idx="51">
                  <c:v>49</c:v>
                </c:pt>
                <c:pt idx="52">
                  <c:v>91</c:v>
                </c:pt>
                <c:pt idx="53">
                  <c:v>120</c:v>
                </c:pt>
                <c:pt idx="54">
                  <c:v>93</c:v>
                </c:pt>
                <c:pt idx="55">
                  <c:v>87</c:v>
                </c:pt>
                <c:pt idx="56">
                  <c:v>58</c:v>
                </c:pt>
                <c:pt idx="57">
                  <c:v>55</c:v>
                </c:pt>
                <c:pt idx="58">
                  <c:v>51</c:v>
                </c:pt>
                <c:pt idx="59">
                  <c:v>122</c:v>
                </c:pt>
                <c:pt idx="60">
                  <c:v>58</c:v>
                </c:pt>
                <c:pt idx="61">
                  <c:v>52</c:v>
                </c:pt>
                <c:pt idx="62">
                  <c:v>100</c:v>
                </c:pt>
                <c:pt idx="63">
                  <c:v>99</c:v>
                </c:pt>
                <c:pt idx="64">
                  <c:v>86</c:v>
                </c:pt>
                <c:pt idx="65">
                  <c:v>98</c:v>
                </c:pt>
                <c:pt idx="66">
                  <c:v>98</c:v>
                </c:pt>
                <c:pt idx="67">
                  <c:v>103</c:v>
                </c:pt>
                <c:pt idx="68">
                  <c:v>66</c:v>
                </c:pt>
                <c:pt idx="69">
                  <c:v>58</c:v>
                </c:pt>
                <c:pt idx="70">
                  <c:v>52</c:v>
                </c:pt>
                <c:pt idx="71">
                  <c:v>125</c:v>
                </c:pt>
                <c:pt idx="72">
                  <c:v>90</c:v>
                </c:pt>
                <c:pt idx="73">
                  <c:v>66</c:v>
                </c:pt>
                <c:pt idx="74">
                  <c:v>58</c:v>
                </c:pt>
                <c:pt idx="75">
                  <c:v>126</c:v>
                </c:pt>
                <c:pt idx="76">
                  <c:v>89</c:v>
                </c:pt>
                <c:pt idx="77">
                  <c:v>107</c:v>
                </c:pt>
                <c:pt idx="78">
                  <c:v>96</c:v>
                </c:pt>
                <c:pt idx="79">
                  <c:v>70</c:v>
                </c:pt>
                <c:pt idx="80">
                  <c:v>66</c:v>
                </c:pt>
                <c:pt idx="81">
                  <c:v>90</c:v>
                </c:pt>
                <c:pt idx="82">
                  <c:v>134</c:v>
                </c:pt>
                <c:pt idx="83">
                  <c:v>50</c:v>
                </c:pt>
                <c:pt idx="84">
                  <c:v>177</c:v>
                </c:pt>
                <c:pt idx="85">
                  <c:v>67</c:v>
                </c:pt>
                <c:pt idx="86">
                  <c:v>70</c:v>
                </c:pt>
                <c:pt idx="87">
                  <c:v>67</c:v>
                </c:pt>
                <c:pt idx="88">
                  <c:v>64</c:v>
                </c:pt>
                <c:pt idx="89">
                  <c:v>60</c:v>
                </c:pt>
                <c:pt idx="90">
                  <c:v>56</c:v>
                </c:pt>
                <c:pt idx="91">
                  <c:v>98</c:v>
                </c:pt>
                <c:pt idx="92">
                  <c:v>95</c:v>
                </c:pt>
                <c:pt idx="93">
                  <c:v>130</c:v>
                </c:pt>
                <c:pt idx="94">
                  <c:v>62</c:v>
                </c:pt>
                <c:pt idx="95">
                  <c:v>54</c:v>
                </c:pt>
                <c:pt idx="96">
                  <c:v>48</c:v>
                </c:pt>
                <c:pt idx="97">
                  <c:v>129</c:v>
                </c:pt>
                <c:pt idx="98">
                  <c:v>127</c:v>
                </c:pt>
                <c:pt idx="99">
                  <c:v>135</c:v>
                </c:pt>
                <c:pt idx="100">
                  <c:v>104</c:v>
                </c:pt>
                <c:pt idx="101">
                  <c:v>62</c:v>
                </c:pt>
                <c:pt idx="102">
                  <c:v>55</c:v>
                </c:pt>
                <c:pt idx="103">
                  <c:v>136</c:v>
                </c:pt>
                <c:pt idx="104">
                  <c:v>90</c:v>
                </c:pt>
                <c:pt idx="105">
                  <c:v>79</c:v>
                </c:pt>
                <c:pt idx="106">
                  <c:v>76</c:v>
                </c:pt>
                <c:pt idx="107">
                  <c:v>73</c:v>
                </c:pt>
                <c:pt idx="108">
                  <c:v>69</c:v>
                </c:pt>
                <c:pt idx="109">
                  <c:v>65</c:v>
                </c:pt>
                <c:pt idx="110">
                  <c:v>62</c:v>
                </c:pt>
                <c:pt idx="111">
                  <c:v>59</c:v>
                </c:pt>
                <c:pt idx="112">
                  <c:v>56</c:v>
                </c:pt>
                <c:pt idx="113">
                  <c:v>51</c:v>
                </c:pt>
                <c:pt idx="114">
                  <c:v>47</c:v>
                </c:pt>
                <c:pt idx="115">
                  <c:v>44</c:v>
                </c:pt>
                <c:pt idx="116">
                  <c:v>40</c:v>
                </c:pt>
                <c:pt idx="117">
                  <c:v>93</c:v>
                </c:pt>
                <c:pt idx="118">
                  <c:v>117</c:v>
                </c:pt>
                <c:pt idx="119">
                  <c:v>106</c:v>
                </c:pt>
                <c:pt idx="120">
                  <c:v>84</c:v>
                </c:pt>
                <c:pt idx="121">
                  <c:v>105</c:v>
                </c:pt>
                <c:pt idx="122">
                  <c:v>108</c:v>
                </c:pt>
                <c:pt idx="123">
                  <c:v>67</c:v>
                </c:pt>
                <c:pt idx="124">
                  <c:v>60</c:v>
                </c:pt>
                <c:pt idx="125">
                  <c:v>56</c:v>
                </c:pt>
                <c:pt idx="126">
                  <c:v>125</c:v>
                </c:pt>
                <c:pt idx="127">
                  <c:v>93</c:v>
                </c:pt>
                <c:pt idx="128">
                  <c:v>67</c:v>
                </c:pt>
                <c:pt idx="12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A-3C51-4D3B-90C4-9DAA0BD7FAD5}"/>
            </c:ext>
          </c:extLst>
        </c:ser>
        <c:ser>
          <c:idx val="3"/>
          <c:order val="3"/>
          <c:tx>
            <c:strRef>
              <c:f>Sim_Report_1!$F$3:$F$4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Sim_Report_1!$B$5:$B$144</c:f>
              <c:multiLvlStrCache>
                <c:ptCount val="130"/>
                <c:lvl>
                  <c:pt idx="0">
                    <c:v>PRICE_0</c:v>
                  </c:pt>
                  <c:pt idx="1">
                    <c:v>PRICE_1</c:v>
                  </c:pt>
                  <c:pt idx="2">
                    <c:v>PRICE_2</c:v>
                  </c:pt>
                  <c:pt idx="3">
                    <c:v>PRICE_3</c:v>
                  </c:pt>
                  <c:pt idx="4">
                    <c:v>PRICE_4</c:v>
                  </c:pt>
                  <c:pt idx="5">
                    <c:v>PRICE_5</c:v>
                  </c:pt>
                  <c:pt idx="6">
                    <c:v>PRICE_6</c:v>
                  </c:pt>
                  <c:pt idx="7">
                    <c:v>PRICE_7</c:v>
                  </c:pt>
                  <c:pt idx="8">
                    <c:v>PRICE_8</c:v>
                  </c:pt>
                  <c:pt idx="9">
                    <c:v>PRICE_9</c:v>
                  </c:pt>
                  <c:pt idx="10">
                    <c:v>PRICE_10</c:v>
                  </c:pt>
                  <c:pt idx="11">
                    <c:v>PRICE_11</c:v>
                  </c:pt>
                  <c:pt idx="12">
                    <c:v>PRICE_12</c:v>
                  </c:pt>
                  <c:pt idx="13">
                    <c:v>PRICE_0</c:v>
                  </c:pt>
                  <c:pt idx="14">
                    <c:v>PRICE_1</c:v>
                  </c:pt>
                  <c:pt idx="15">
                    <c:v>PRICE_2</c:v>
                  </c:pt>
                  <c:pt idx="16">
                    <c:v>PRICE_3</c:v>
                  </c:pt>
                  <c:pt idx="17">
                    <c:v>PRICE_4</c:v>
                  </c:pt>
                  <c:pt idx="18">
                    <c:v>PRICE_5</c:v>
                  </c:pt>
                  <c:pt idx="19">
                    <c:v>PRICE_6</c:v>
                  </c:pt>
                  <c:pt idx="20">
                    <c:v>PRICE_7</c:v>
                  </c:pt>
                  <c:pt idx="21">
                    <c:v>PRICE_8</c:v>
                  </c:pt>
                  <c:pt idx="22">
                    <c:v>PRICE_9</c:v>
                  </c:pt>
                  <c:pt idx="23">
                    <c:v>PRICE_10</c:v>
                  </c:pt>
                  <c:pt idx="24">
                    <c:v>PRICE_11</c:v>
                  </c:pt>
                  <c:pt idx="25">
                    <c:v>PRICE_12</c:v>
                  </c:pt>
                  <c:pt idx="26">
                    <c:v>PRICE_0</c:v>
                  </c:pt>
                  <c:pt idx="27">
                    <c:v>PRICE_1</c:v>
                  </c:pt>
                  <c:pt idx="28">
                    <c:v>PRICE_2</c:v>
                  </c:pt>
                  <c:pt idx="29">
                    <c:v>PRICE_3</c:v>
                  </c:pt>
                  <c:pt idx="30">
                    <c:v>PRICE_4</c:v>
                  </c:pt>
                  <c:pt idx="31">
                    <c:v>PRICE_5</c:v>
                  </c:pt>
                  <c:pt idx="32">
                    <c:v>PRICE_6</c:v>
                  </c:pt>
                  <c:pt idx="33">
                    <c:v>PRICE_7</c:v>
                  </c:pt>
                  <c:pt idx="34">
                    <c:v>PRICE_8</c:v>
                  </c:pt>
                  <c:pt idx="35">
                    <c:v>PRICE_9</c:v>
                  </c:pt>
                  <c:pt idx="36">
                    <c:v>PRICE_10</c:v>
                  </c:pt>
                  <c:pt idx="37">
                    <c:v>PRICE_11</c:v>
                  </c:pt>
                  <c:pt idx="38">
                    <c:v>PRICE_12</c:v>
                  </c:pt>
                  <c:pt idx="39">
                    <c:v>PRICE_0</c:v>
                  </c:pt>
                  <c:pt idx="40">
                    <c:v>PRICE_1</c:v>
                  </c:pt>
                  <c:pt idx="41">
                    <c:v>PRICE_2</c:v>
                  </c:pt>
                  <c:pt idx="42">
                    <c:v>PRICE_3</c:v>
                  </c:pt>
                  <c:pt idx="43">
                    <c:v>PRICE_4</c:v>
                  </c:pt>
                  <c:pt idx="44">
                    <c:v>PRICE_5</c:v>
                  </c:pt>
                  <c:pt idx="45">
                    <c:v>PRICE_6</c:v>
                  </c:pt>
                  <c:pt idx="46">
                    <c:v>PRICE_7</c:v>
                  </c:pt>
                  <c:pt idx="47">
                    <c:v>PRICE_8</c:v>
                  </c:pt>
                  <c:pt idx="48">
                    <c:v>PRICE_9</c:v>
                  </c:pt>
                  <c:pt idx="49">
                    <c:v>PRICE_10</c:v>
                  </c:pt>
                  <c:pt idx="50">
                    <c:v>PRICE_11</c:v>
                  </c:pt>
                  <c:pt idx="51">
                    <c:v>PRICE_12</c:v>
                  </c:pt>
                  <c:pt idx="52">
                    <c:v>PRICE_0</c:v>
                  </c:pt>
                  <c:pt idx="53">
                    <c:v>PRICE_1</c:v>
                  </c:pt>
                  <c:pt idx="54">
                    <c:v>PRICE_2</c:v>
                  </c:pt>
                  <c:pt idx="55">
                    <c:v>PRICE_3</c:v>
                  </c:pt>
                  <c:pt idx="56">
                    <c:v>PRICE_4</c:v>
                  </c:pt>
                  <c:pt idx="57">
                    <c:v>PRICE_5</c:v>
                  </c:pt>
                  <c:pt idx="58">
                    <c:v>PRICE_6</c:v>
                  </c:pt>
                  <c:pt idx="59">
                    <c:v>PRICE_7</c:v>
                  </c:pt>
                  <c:pt idx="60">
                    <c:v>PRICE_8</c:v>
                  </c:pt>
                  <c:pt idx="61">
                    <c:v>PRICE_9</c:v>
                  </c:pt>
                  <c:pt idx="62">
                    <c:v>PRICE_10</c:v>
                  </c:pt>
                  <c:pt idx="63">
                    <c:v>PRICE_11</c:v>
                  </c:pt>
                  <c:pt idx="64">
                    <c:v>PRICE_12</c:v>
                  </c:pt>
                  <c:pt idx="65">
                    <c:v>PRICE_0</c:v>
                  </c:pt>
                  <c:pt idx="66">
                    <c:v>PRICE_1</c:v>
                  </c:pt>
                  <c:pt idx="67">
                    <c:v>PRICE_2</c:v>
                  </c:pt>
                  <c:pt idx="68">
                    <c:v>PRICE_3</c:v>
                  </c:pt>
                  <c:pt idx="69">
                    <c:v>PRICE_4</c:v>
                  </c:pt>
                  <c:pt idx="70">
                    <c:v>PRICE_5</c:v>
                  </c:pt>
                  <c:pt idx="71">
                    <c:v>PRICE_6</c:v>
                  </c:pt>
                  <c:pt idx="72">
                    <c:v>PRICE_7</c:v>
                  </c:pt>
                  <c:pt idx="73">
                    <c:v>PRICE_8</c:v>
                  </c:pt>
                  <c:pt idx="74">
                    <c:v>PRICE_9</c:v>
                  </c:pt>
                  <c:pt idx="75">
                    <c:v>PRICE_10</c:v>
                  </c:pt>
                  <c:pt idx="76">
                    <c:v>PRICE_11</c:v>
                  </c:pt>
                  <c:pt idx="77">
                    <c:v>PRICE_12</c:v>
                  </c:pt>
                  <c:pt idx="78">
                    <c:v>PRICE_0</c:v>
                  </c:pt>
                  <c:pt idx="79">
                    <c:v>PRICE_1</c:v>
                  </c:pt>
                  <c:pt idx="80">
                    <c:v>PRICE_2</c:v>
                  </c:pt>
                  <c:pt idx="81">
                    <c:v>PRICE_3</c:v>
                  </c:pt>
                  <c:pt idx="82">
                    <c:v>PRICE_4</c:v>
                  </c:pt>
                  <c:pt idx="83">
                    <c:v>PRICE_5</c:v>
                  </c:pt>
                  <c:pt idx="84">
                    <c:v>PRICE_6</c:v>
                  </c:pt>
                  <c:pt idx="85">
                    <c:v>PRICE_7</c:v>
                  </c:pt>
                  <c:pt idx="86">
                    <c:v>PRICE_8</c:v>
                  </c:pt>
                  <c:pt idx="87">
                    <c:v>PRICE_9</c:v>
                  </c:pt>
                  <c:pt idx="88">
                    <c:v>PRICE_10</c:v>
                  </c:pt>
                  <c:pt idx="89">
                    <c:v>PRICE_11</c:v>
                  </c:pt>
                  <c:pt idx="90">
                    <c:v>PRICE_12</c:v>
                  </c:pt>
                  <c:pt idx="91">
                    <c:v>PRICE_0</c:v>
                  </c:pt>
                  <c:pt idx="92">
                    <c:v>PRICE_1</c:v>
                  </c:pt>
                  <c:pt idx="93">
                    <c:v>PRICE_2</c:v>
                  </c:pt>
                  <c:pt idx="94">
                    <c:v>PRICE_3</c:v>
                  </c:pt>
                  <c:pt idx="95">
                    <c:v>PRICE_4</c:v>
                  </c:pt>
                  <c:pt idx="96">
                    <c:v>PRICE_5</c:v>
                  </c:pt>
                  <c:pt idx="97">
                    <c:v>PRICE_6</c:v>
                  </c:pt>
                  <c:pt idx="98">
                    <c:v>PRICE_7</c:v>
                  </c:pt>
                  <c:pt idx="99">
                    <c:v>PRICE_8</c:v>
                  </c:pt>
                  <c:pt idx="100">
                    <c:v>PRICE_9</c:v>
                  </c:pt>
                  <c:pt idx="101">
                    <c:v>PRICE_10</c:v>
                  </c:pt>
                  <c:pt idx="102">
                    <c:v>PRICE_11</c:v>
                  </c:pt>
                  <c:pt idx="103">
                    <c:v>PRICE_12</c:v>
                  </c:pt>
                  <c:pt idx="104">
                    <c:v>PRICE_0</c:v>
                  </c:pt>
                  <c:pt idx="105">
                    <c:v>PRICE_1</c:v>
                  </c:pt>
                  <c:pt idx="106">
                    <c:v>PRICE_2</c:v>
                  </c:pt>
                  <c:pt idx="107">
                    <c:v>PRICE_3</c:v>
                  </c:pt>
                  <c:pt idx="108">
                    <c:v>PRICE_4</c:v>
                  </c:pt>
                  <c:pt idx="109">
                    <c:v>PRICE_5</c:v>
                  </c:pt>
                  <c:pt idx="110">
                    <c:v>PRICE_6</c:v>
                  </c:pt>
                  <c:pt idx="111">
                    <c:v>PRICE_7</c:v>
                  </c:pt>
                  <c:pt idx="112">
                    <c:v>PRICE_8</c:v>
                  </c:pt>
                  <c:pt idx="113">
                    <c:v>PRICE_9</c:v>
                  </c:pt>
                  <c:pt idx="114">
                    <c:v>PRICE_10</c:v>
                  </c:pt>
                  <c:pt idx="115">
                    <c:v>PRICE_11</c:v>
                  </c:pt>
                  <c:pt idx="116">
                    <c:v>PRICE_12</c:v>
                  </c:pt>
                  <c:pt idx="117">
                    <c:v>PRICE_0</c:v>
                  </c:pt>
                  <c:pt idx="118">
                    <c:v>PRICE_1</c:v>
                  </c:pt>
                  <c:pt idx="119">
                    <c:v>PRICE_2</c:v>
                  </c:pt>
                  <c:pt idx="120">
                    <c:v>PRICE_3</c:v>
                  </c:pt>
                  <c:pt idx="121">
                    <c:v>PRICE_4</c:v>
                  </c:pt>
                  <c:pt idx="122">
                    <c:v>PRICE_5</c:v>
                  </c:pt>
                  <c:pt idx="123">
                    <c:v>PRICE_6</c:v>
                  </c:pt>
                  <c:pt idx="124">
                    <c:v>PRICE_7</c:v>
                  </c:pt>
                  <c:pt idx="125">
                    <c:v>PRICE_8</c:v>
                  </c:pt>
                  <c:pt idx="126">
                    <c:v>PRICE_9</c:v>
                  </c:pt>
                  <c:pt idx="127">
                    <c:v>PRICE_10</c:v>
                  </c:pt>
                  <c:pt idx="128">
                    <c:v>PRICE_11</c:v>
                  </c:pt>
                  <c:pt idx="129">
                    <c:v>PRICE_12</c:v>
                  </c:pt>
                </c:lvl>
                <c:lvl>
                  <c:pt idx="0">
                    <c:v>1</c:v>
                  </c:pt>
                  <c:pt idx="13">
                    <c:v>2</c:v>
                  </c:pt>
                  <c:pt idx="26">
                    <c:v>3</c:v>
                  </c:pt>
                  <c:pt idx="39">
                    <c:v>4</c:v>
                  </c:pt>
                  <c:pt idx="52">
                    <c:v>5</c:v>
                  </c:pt>
                  <c:pt idx="65">
                    <c:v>6</c:v>
                  </c:pt>
                  <c:pt idx="78">
                    <c:v>7</c:v>
                  </c:pt>
                  <c:pt idx="91">
                    <c:v>8</c:v>
                  </c:pt>
                  <c:pt idx="104">
                    <c:v>9</c:v>
                  </c:pt>
                  <c:pt idx="117">
                    <c:v>10</c:v>
                  </c:pt>
                </c:lvl>
              </c:multiLvlStrCache>
            </c:multiLvlStrRef>
          </c:cat>
          <c:val>
            <c:numRef>
              <c:f>Sim_Report_1!$F$5:$F$144</c:f>
              <c:numCache>
                <c:formatCode>General</c:formatCode>
                <c:ptCount val="130"/>
                <c:pt idx="0">
                  <c:v>102</c:v>
                </c:pt>
                <c:pt idx="1">
                  <c:v>88</c:v>
                </c:pt>
                <c:pt idx="2">
                  <c:v>132</c:v>
                </c:pt>
                <c:pt idx="3">
                  <c:v>112</c:v>
                </c:pt>
                <c:pt idx="4">
                  <c:v>47</c:v>
                </c:pt>
                <c:pt idx="5">
                  <c:v>158</c:v>
                </c:pt>
                <c:pt idx="6">
                  <c:v>47</c:v>
                </c:pt>
                <c:pt idx="7">
                  <c:v>88</c:v>
                </c:pt>
                <c:pt idx="8">
                  <c:v>83</c:v>
                </c:pt>
                <c:pt idx="9">
                  <c:v>78</c:v>
                </c:pt>
                <c:pt idx="10">
                  <c:v>73</c:v>
                </c:pt>
                <c:pt idx="11">
                  <c:v>68</c:v>
                </c:pt>
                <c:pt idx="12">
                  <c:v>65</c:v>
                </c:pt>
                <c:pt idx="13">
                  <c:v>102</c:v>
                </c:pt>
                <c:pt idx="14">
                  <c:v>65</c:v>
                </c:pt>
                <c:pt idx="15">
                  <c:v>57</c:v>
                </c:pt>
                <c:pt idx="16">
                  <c:v>115</c:v>
                </c:pt>
                <c:pt idx="17">
                  <c:v>111</c:v>
                </c:pt>
                <c:pt idx="18">
                  <c:v>128</c:v>
                </c:pt>
                <c:pt idx="19">
                  <c:v>120</c:v>
                </c:pt>
                <c:pt idx="20">
                  <c:v>93</c:v>
                </c:pt>
                <c:pt idx="21">
                  <c:v>97</c:v>
                </c:pt>
                <c:pt idx="22">
                  <c:v>65</c:v>
                </c:pt>
                <c:pt idx="23">
                  <c:v>61</c:v>
                </c:pt>
                <c:pt idx="24">
                  <c:v>54</c:v>
                </c:pt>
                <c:pt idx="25">
                  <c:v>134</c:v>
                </c:pt>
                <c:pt idx="26">
                  <c:v>90</c:v>
                </c:pt>
                <c:pt idx="27">
                  <c:v>80</c:v>
                </c:pt>
                <c:pt idx="28">
                  <c:v>77</c:v>
                </c:pt>
                <c:pt idx="29">
                  <c:v>73</c:v>
                </c:pt>
                <c:pt idx="30">
                  <c:v>69</c:v>
                </c:pt>
                <c:pt idx="31">
                  <c:v>66</c:v>
                </c:pt>
                <c:pt idx="32">
                  <c:v>63</c:v>
                </c:pt>
                <c:pt idx="33">
                  <c:v>60</c:v>
                </c:pt>
                <c:pt idx="34">
                  <c:v>56</c:v>
                </c:pt>
                <c:pt idx="35">
                  <c:v>52</c:v>
                </c:pt>
                <c:pt idx="36">
                  <c:v>49</c:v>
                </c:pt>
                <c:pt idx="37">
                  <c:v>46</c:v>
                </c:pt>
                <c:pt idx="38">
                  <c:v>43</c:v>
                </c:pt>
                <c:pt idx="39">
                  <c:v>106</c:v>
                </c:pt>
                <c:pt idx="40">
                  <c:v>94</c:v>
                </c:pt>
                <c:pt idx="41">
                  <c:v>90</c:v>
                </c:pt>
                <c:pt idx="42">
                  <c:v>85</c:v>
                </c:pt>
                <c:pt idx="43">
                  <c:v>81</c:v>
                </c:pt>
                <c:pt idx="44">
                  <c:v>76</c:v>
                </c:pt>
                <c:pt idx="45">
                  <c:v>105</c:v>
                </c:pt>
                <c:pt idx="46">
                  <c:v>151</c:v>
                </c:pt>
                <c:pt idx="47">
                  <c:v>417</c:v>
                </c:pt>
                <c:pt idx="48">
                  <c:v>195</c:v>
                </c:pt>
                <c:pt idx="49">
                  <c:v>130</c:v>
                </c:pt>
                <c:pt idx="50">
                  <c:v>83</c:v>
                </c:pt>
                <c:pt idx="51">
                  <c:v>49</c:v>
                </c:pt>
                <c:pt idx="52">
                  <c:v>100</c:v>
                </c:pt>
                <c:pt idx="53">
                  <c:v>89</c:v>
                </c:pt>
                <c:pt idx="54">
                  <c:v>84</c:v>
                </c:pt>
                <c:pt idx="55">
                  <c:v>80</c:v>
                </c:pt>
                <c:pt idx="56">
                  <c:v>77</c:v>
                </c:pt>
                <c:pt idx="57">
                  <c:v>73</c:v>
                </c:pt>
                <c:pt idx="58">
                  <c:v>69</c:v>
                </c:pt>
                <c:pt idx="59">
                  <c:v>65</c:v>
                </c:pt>
                <c:pt idx="60">
                  <c:v>60</c:v>
                </c:pt>
                <c:pt idx="61">
                  <c:v>57</c:v>
                </c:pt>
                <c:pt idx="62">
                  <c:v>53</c:v>
                </c:pt>
                <c:pt idx="63">
                  <c:v>49</c:v>
                </c:pt>
                <c:pt idx="64">
                  <c:v>46</c:v>
                </c:pt>
                <c:pt idx="65">
                  <c:v>109</c:v>
                </c:pt>
                <c:pt idx="66">
                  <c:v>94</c:v>
                </c:pt>
                <c:pt idx="67">
                  <c:v>89</c:v>
                </c:pt>
                <c:pt idx="68">
                  <c:v>85</c:v>
                </c:pt>
                <c:pt idx="69">
                  <c:v>111</c:v>
                </c:pt>
                <c:pt idx="70">
                  <c:v>194</c:v>
                </c:pt>
                <c:pt idx="71">
                  <c:v>525</c:v>
                </c:pt>
                <c:pt idx="72">
                  <c:v>169</c:v>
                </c:pt>
                <c:pt idx="73">
                  <c:v>142</c:v>
                </c:pt>
                <c:pt idx="74">
                  <c:v>80</c:v>
                </c:pt>
                <c:pt idx="75">
                  <c:v>74</c:v>
                </c:pt>
                <c:pt idx="76">
                  <c:v>95</c:v>
                </c:pt>
                <c:pt idx="77">
                  <c:v>93</c:v>
                </c:pt>
                <c:pt idx="78">
                  <c:v>98</c:v>
                </c:pt>
                <c:pt idx="79">
                  <c:v>86</c:v>
                </c:pt>
                <c:pt idx="80">
                  <c:v>83</c:v>
                </c:pt>
                <c:pt idx="81">
                  <c:v>110</c:v>
                </c:pt>
                <c:pt idx="82">
                  <c:v>192</c:v>
                </c:pt>
                <c:pt idx="83">
                  <c:v>317</c:v>
                </c:pt>
                <c:pt idx="84">
                  <c:v>161</c:v>
                </c:pt>
                <c:pt idx="85">
                  <c:v>110</c:v>
                </c:pt>
                <c:pt idx="86">
                  <c:v>56</c:v>
                </c:pt>
                <c:pt idx="87">
                  <c:v>42</c:v>
                </c:pt>
                <c:pt idx="88">
                  <c:v>68</c:v>
                </c:pt>
                <c:pt idx="89">
                  <c:v>62</c:v>
                </c:pt>
                <c:pt idx="90">
                  <c:v>70</c:v>
                </c:pt>
                <c:pt idx="91">
                  <c:v>91</c:v>
                </c:pt>
                <c:pt idx="92">
                  <c:v>80</c:v>
                </c:pt>
                <c:pt idx="93">
                  <c:v>77</c:v>
                </c:pt>
                <c:pt idx="94">
                  <c:v>74</c:v>
                </c:pt>
                <c:pt idx="95">
                  <c:v>70</c:v>
                </c:pt>
                <c:pt idx="96">
                  <c:v>66</c:v>
                </c:pt>
                <c:pt idx="97">
                  <c:v>63</c:v>
                </c:pt>
                <c:pt idx="98">
                  <c:v>60</c:v>
                </c:pt>
                <c:pt idx="99">
                  <c:v>55</c:v>
                </c:pt>
                <c:pt idx="100">
                  <c:v>51</c:v>
                </c:pt>
                <c:pt idx="101">
                  <c:v>46</c:v>
                </c:pt>
                <c:pt idx="102">
                  <c:v>43</c:v>
                </c:pt>
                <c:pt idx="103">
                  <c:v>40</c:v>
                </c:pt>
                <c:pt idx="104">
                  <c:v>106</c:v>
                </c:pt>
                <c:pt idx="105">
                  <c:v>108</c:v>
                </c:pt>
                <c:pt idx="106">
                  <c:v>102</c:v>
                </c:pt>
                <c:pt idx="107">
                  <c:v>128</c:v>
                </c:pt>
                <c:pt idx="108">
                  <c:v>67</c:v>
                </c:pt>
                <c:pt idx="109">
                  <c:v>56</c:v>
                </c:pt>
                <c:pt idx="110">
                  <c:v>50</c:v>
                </c:pt>
                <c:pt idx="111">
                  <c:v>132</c:v>
                </c:pt>
                <c:pt idx="112">
                  <c:v>109</c:v>
                </c:pt>
                <c:pt idx="113">
                  <c:v>119</c:v>
                </c:pt>
                <c:pt idx="114">
                  <c:v>118</c:v>
                </c:pt>
                <c:pt idx="115">
                  <c:v>67</c:v>
                </c:pt>
                <c:pt idx="116">
                  <c:v>60</c:v>
                </c:pt>
                <c:pt idx="117">
                  <c:v>98</c:v>
                </c:pt>
                <c:pt idx="118">
                  <c:v>84</c:v>
                </c:pt>
                <c:pt idx="119">
                  <c:v>80</c:v>
                </c:pt>
                <c:pt idx="120">
                  <c:v>76</c:v>
                </c:pt>
                <c:pt idx="121">
                  <c:v>71</c:v>
                </c:pt>
                <c:pt idx="122">
                  <c:v>68</c:v>
                </c:pt>
                <c:pt idx="123">
                  <c:v>64</c:v>
                </c:pt>
                <c:pt idx="124">
                  <c:v>60</c:v>
                </c:pt>
                <c:pt idx="125">
                  <c:v>55</c:v>
                </c:pt>
                <c:pt idx="126">
                  <c:v>52</c:v>
                </c:pt>
                <c:pt idx="127">
                  <c:v>47</c:v>
                </c:pt>
                <c:pt idx="128">
                  <c:v>43</c:v>
                </c:pt>
                <c:pt idx="12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B-3C51-4D3B-90C4-9DAA0BD7FAD5}"/>
            </c:ext>
          </c:extLst>
        </c:ser>
        <c:ser>
          <c:idx val="4"/>
          <c:order val="4"/>
          <c:tx>
            <c:strRef>
              <c:f>Sim_Report_1!$G$3:$G$4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Sim_Report_1!$B$5:$B$144</c:f>
              <c:multiLvlStrCache>
                <c:ptCount val="130"/>
                <c:lvl>
                  <c:pt idx="0">
                    <c:v>PRICE_0</c:v>
                  </c:pt>
                  <c:pt idx="1">
                    <c:v>PRICE_1</c:v>
                  </c:pt>
                  <c:pt idx="2">
                    <c:v>PRICE_2</c:v>
                  </c:pt>
                  <c:pt idx="3">
                    <c:v>PRICE_3</c:v>
                  </c:pt>
                  <c:pt idx="4">
                    <c:v>PRICE_4</c:v>
                  </c:pt>
                  <c:pt idx="5">
                    <c:v>PRICE_5</c:v>
                  </c:pt>
                  <c:pt idx="6">
                    <c:v>PRICE_6</c:v>
                  </c:pt>
                  <c:pt idx="7">
                    <c:v>PRICE_7</c:v>
                  </c:pt>
                  <c:pt idx="8">
                    <c:v>PRICE_8</c:v>
                  </c:pt>
                  <c:pt idx="9">
                    <c:v>PRICE_9</c:v>
                  </c:pt>
                  <c:pt idx="10">
                    <c:v>PRICE_10</c:v>
                  </c:pt>
                  <c:pt idx="11">
                    <c:v>PRICE_11</c:v>
                  </c:pt>
                  <c:pt idx="12">
                    <c:v>PRICE_12</c:v>
                  </c:pt>
                  <c:pt idx="13">
                    <c:v>PRICE_0</c:v>
                  </c:pt>
                  <c:pt idx="14">
                    <c:v>PRICE_1</c:v>
                  </c:pt>
                  <c:pt idx="15">
                    <c:v>PRICE_2</c:v>
                  </c:pt>
                  <c:pt idx="16">
                    <c:v>PRICE_3</c:v>
                  </c:pt>
                  <c:pt idx="17">
                    <c:v>PRICE_4</c:v>
                  </c:pt>
                  <c:pt idx="18">
                    <c:v>PRICE_5</c:v>
                  </c:pt>
                  <c:pt idx="19">
                    <c:v>PRICE_6</c:v>
                  </c:pt>
                  <c:pt idx="20">
                    <c:v>PRICE_7</c:v>
                  </c:pt>
                  <c:pt idx="21">
                    <c:v>PRICE_8</c:v>
                  </c:pt>
                  <c:pt idx="22">
                    <c:v>PRICE_9</c:v>
                  </c:pt>
                  <c:pt idx="23">
                    <c:v>PRICE_10</c:v>
                  </c:pt>
                  <c:pt idx="24">
                    <c:v>PRICE_11</c:v>
                  </c:pt>
                  <c:pt idx="25">
                    <c:v>PRICE_12</c:v>
                  </c:pt>
                  <c:pt idx="26">
                    <c:v>PRICE_0</c:v>
                  </c:pt>
                  <c:pt idx="27">
                    <c:v>PRICE_1</c:v>
                  </c:pt>
                  <c:pt idx="28">
                    <c:v>PRICE_2</c:v>
                  </c:pt>
                  <c:pt idx="29">
                    <c:v>PRICE_3</c:v>
                  </c:pt>
                  <c:pt idx="30">
                    <c:v>PRICE_4</c:v>
                  </c:pt>
                  <c:pt idx="31">
                    <c:v>PRICE_5</c:v>
                  </c:pt>
                  <c:pt idx="32">
                    <c:v>PRICE_6</c:v>
                  </c:pt>
                  <c:pt idx="33">
                    <c:v>PRICE_7</c:v>
                  </c:pt>
                  <c:pt idx="34">
                    <c:v>PRICE_8</c:v>
                  </c:pt>
                  <c:pt idx="35">
                    <c:v>PRICE_9</c:v>
                  </c:pt>
                  <c:pt idx="36">
                    <c:v>PRICE_10</c:v>
                  </c:pt>
                  <c:pt idx="37">
                    <c:v>PRICE_11</c:v>
                  </c:pt>
                  <c:pt idx="38">
                    <c:v>PRICE_12</c:v>
                  </c:pt>
                  <c:pt idx="39">
                    <c:v>PRICE_0</c:v>
                  </c:pt>
                  <c:pt idx="40">
                    <c:v>PRICE_1</c:v>
                  </c:pt>
                  <c:pt idx="41">
                    <c:v>PRICE_2</c:v>
                  </c:pt>
                  <c:pt idx="42">
                    <c:v>PRICE_3</c:v>
                  </c:pt>
                  <c:pt idx="43">
                    <c:v>PRICE_4</c:v>
                  </c:pt>
                  <c:pt idx="44">
                    <c:v>PRICE_5</c:v>
                  </c:pt>
                  <c:pt idx="45">
                    <c:v>PRICE_6</c:v>
                  </c:pt>
                  <c:pt idx="46">
                    <c:v>PRICE_7</c:v>
                  </c:pt>
                  <c:pt idx="47">
                    <c:v>PRICE_8</c:v>
                  </c:pt>
                  <c:pt idx="48">
                    <c:v>PRICE_9</c:v>
                  </c:pt>
                  <c:pt idx="49">
                    <c:v>PRICE_10</c:v>
                  </c:pt>
                  <c:pt idx="50">
                    <c:v>PRICE_11</c:v>
                  </c:pt>
                  <c:pt idx="51">
                    <c:v>PRICE_12</c:v>
                  </c:pt>
                  <c:pt idx="52">
                    <c:v>PRICE_0</c:v>
                  </c:pt>
                  <c:pt idx="53">
                    <c:v>PRICE_1</c:v>
                  </c:pt>
                  <c:pt idx="54">
                    <c:v>PRICE_2</c:v>
                  </c:pt>
                  <c:pt idx="55">
                    <c:v>PRICE_3</c:v>
                  </c:pt>
                  <c:pt idx="56">
                    <c:v>PRICE_4</c:v>
                  </c:pt>
                  <c:pt idx="57">
                    <c:v>PRICE_5</c:v>
                  </c:pt>
                  <c:pt idx="58">
                    <c:v>PRICE_6</c:v>
                  </c:pt>
                  <c:pt idx="59">
                    <c:v>PRICE_7</c:v>
                  </c:pt>
                  <c:pt idx="60">
                    <c:v>PRICE_8</c:v>
                  </c:pt>
                  <c:pt idx="61">
                    <c:v>PRICE_9</c:v>
                  </c:pt>
                  <c:pt idx="62">
                    <c:v>PRICE_10</c:v>
                  </c:pt>
                  <c:pt idx="63">
                    <c:v>PRICE_11</c:v>
                  </c:pt>
                  <c:pt idx="64">
                    <c:v>PRICE_12</c:v>
                  </c:pt>
                  <c:pt idx="65">
                    <c:v>PRICE_0</c:v>
                  </c:pt>
                  <c:pt idx="66">
                    <c:v>PRICE_1</c:v>
                  </c:pt>
                  <c:pt idx="67">
                    <c:v>PRICE_2</c:v>
                  </c:pt>
                  <c:pt idx="68">
                    <c:v>PRICE_3</c:v>
                  </c:pt>
                  <c:pt idx="69">
                    <c:v>PRICE_4</c:v>
                  </c:pt>
                  <c:pt idx="70">
                    <c:v>PRICE_5</c:v>
                  </c:pt>
                  <c:pt idx="71">
                    <c:v>PRICE_6</c:v>
                  </c:pt>
                  <c:pt idx="72">
                    <c:v>PRICE_7</c:v>
                  </c:pt>
                  <c:pt idx="73">
                    <c:v>PRICE_8</c:v>
                  </c:pt>
                  <c:pt idx="74">
                    <c:v>PRICE_9</c:v>
                  </c:pt>
                  <c:pt idx="75">
                    <c:v>PRICE_10</c:v>
                  </c:pt>
                  <c:pt idx="76">
                    <c:v>PRICE_11</c:v>
                  </c:pt>
                  <c:pt idx="77">
                    <c:v>PRICE_12</c:v>
                  </c:pt>
                  <c:pt idx="78">
                    <c:v>PRICE_0</c:v>
                  </c:pt>
                  <c:pt idx="79">
                    <c:v>PRICE_1</c:v>
                  </c:pt>
                  <c:pt idx="80">
                    <c:v>PRICE_2</c:v>
                  </c:pt>
                  <c:pt idx="81">
                    <c:v>PRICE_3</c:v>
                  </c:pt>
                  <c:pt idx="82">
                    <c:v>PRICE_4</c:v>
                  </c:pt>
                  <c:pt idx="83">
                    <c:v>PRICE_5</c:v>
                  </c:pt>
                  <c:pt idx="84">
                    <c:v>PRICE_6</c:v>
                  </c:pt>
                  <c:pt idx="85">
                    <c:v>PRICE_7</c:v>
                  </c:pt>
                  <c:pt idx="86">
                    <c:v>PRICE_8</c:v>
                  </c:pt>
                  <c:pt idx="87">
                    <c:v>PRICE_9</c:v>
                  </c:pt>
                  <c:pt idx="88">
                    <c:v>PRICE_10</c:v>
                  </c:pt>
                  <c:pt idx="89">
                    <c:v>PRICE_11</c:v>
                  </c:pt>
                  <c:pt idx="90">
                    <c:v>PRICE_12</c:v>
                  </c:pt>
                  <c:pt idx="91">
                    <c:v>PRICE_0</c:v>
                  </c:pt>
                  <c:pt idx="92">
                    <c:v>PRICE_1</c:v>
                  </c:pt>
                  <c:pt idx="93">
                    <c:v>PRICE_2</c:v>
                  </c:pt>
                  <c:pt idx="94">
                    <c:v>PRICE_3</c:v>
                  </c:pt>
                  <c:pt idx="95">
                    <c:v>PRICE_4</c:v>
                  </c:pt>
                  <c:pt idx="96">
                    <c:v>PRICE_5</c:v>
                  </c:pt>
                  <c:pt idx="97">
                    <c:v>PRICE_6</c:v>
                  </c:pt>
                  <c:pt idx="98">
                    <c:v>PRICE_7</c:v>
                  </c:pt>
                  <c:pt idx="99">
                    <c:v>PRICE_8</c:v>
                  </c:pt>
                  <c:pt idx="100">
                    <c:v>PRICE_9</c:v>
                  </c:pt>
                  <c:pt idx="101">
                    <c:v>PRICE_10</c:v>
                  </c:pt>
                  <c:pt idx="102">
                    <c:v>PRICE_11</c:v>
                  </c:pt>
                  <c:pt idx="103">
                    <c:v>PRICE_12</c:v>
                  </c:pt>
                  <c:pt idx="104">
                    <c:v>PRICE_0</c:v>
                  </c:pt>
                  <c:pt idx="105">
                    <c:v>PRICE_1</c:v>
                  </c:pt>
                  <c:pt idx="106">
                    <c:v>PRICE_2</c:v>
                  </c:pt>
                  <c:pt idx="107">
                    <c:v>PRICE_3</c:v>
                  </c:pt>
                  <c:pt idx="108">
                    <c:v>PRICE_4</c:v>
                  </c:pt>
                  <c:pt idx="109">
                    <c:v>PRICE_5</c:v>
                  </c:pt>
                  <c:pt idx="110">
                    <c:v>PRICE_6</c:v>
                  </c:pt>
                  <c:pt idx="111">
                    <c:v>PRICE_7</c:v>
                  </c:pt>
                  <c:pt idx="112">
                    <c:v>PRICE_8</c:v>
                  </c:pt>
                  <c:pt idx="113">
                    <c:v>PRICE_9</c:v>
                  </c:pt>
                  <c:pt idx="114">
                    <c:v>PRICE_10</c:v>
                  </c:pt>
                  <c:pt idx="115">
                    <c:v>PRICE_11</c:v>
                  </c:pt>
                  <c:pt idx="116">
                    <c:v>PRICE_12</c:v>
                  </c:pt>
                  <c:pt idx="117">
                    <c:v>PRICE_0</c:v>
                  </c:pt>
                  <c:pt idx="118">
                    <c:v>PRICE_1</c:v>
                  </c:pt>
                  <c:pt idx="119">
                    <c:v>PRICE_2</c:v>
                  </c:pt>
                  <c:pt idx="120">
                    <c:v>PRICE_3</c:v>
                  </c:pt>
                  <c:pt idx="121">
                    <c:v>PRICE_4</c:v>
                  </c:pt>
                  <c:pt idx="122">
                    <c:v>PRICE_5</c:v>
                  </c:pt>
                  <c:pt idx="123">
                    <c:v>PRICE_6</c:v>
                  </c:pt>
                  <c:pt idx="124">
                    <c:v>PRICE_7</c:v>
                  </c:pt>
                  <c:pt idx="125">
                    <c:v>PRICE_8</c:v>
                  </c:pt>
                  <c:pt idx="126">
                    <c:v>PRICE_9</c:v>
                  </c:pt>
                  <c:pt idx="127">
                    <c:v>PRICE_10</c:v>
                  </c:pt>
                  <c:pt idx="128">
                    <c:v>PRICE_11</c:v>
                  </c:pt>
                  <c:pt idx="129">
                    <c:v>PRICE_12</c:v>
                  </c:pt>
                </c:lvl>
                <c:lvl>
                  <c:pt idx="0">
                    <c:v>1</c:v>
                  </c:pt>
                  <c:pt idx="13">
                    <c:v>2</c:v>
                  </c:pt>
                  <c:pt idx="26">
                    <c:v>3</c:v>
                  </c:pt>
                  <c:pt idx="39">
                    <c:v>4</c:v>
                  </c:pt>
                  <c:pt idx="52">
                    <c:v>5</c:v>
                  </c:pt>
                  <c:pt idx="65">
                    <c:v>6</c:v>
                  </c:pt>
                  <c:pt idx="78">
                    <c:v>7</c:v>
                  </c:pt>
                  <c:pt idx="91">
                    <c:v>8</c:v>
                  </c:pt>
                  <c:pt idx="104">
                    <c:v>9</c:v>
                  </c:pt>
                  <c:pt idx="117">
                    <c:v>10</c:v>
                  </c:pt>
                </c:lvl>
              </c:multiLvlStrCache>
            </c:multiLvlStrRef>
          </c:cat>
          <c:val>
            <c:numRef>
              <c:f>Sim_Report_1!$G$5:$G$144</c:f>
              <c:numCache>
                <c:formatCode>General</c:formatCode>
                <c:ptCount val="130"/>
                <c:pt idx="0">
                  <c:v>105</c:v>
                </c:pt>
                <c:pt idx="1">
                  <c:v>56</c:v>
                </c:pt>
                <c:pt idx="2">
                  <c:v>52</c:v>
                </c:pt>
                <c:pt idx="3">
                  <c:v>101</c:v>
                </c:pt>
                <c:pt idx="4">
                  <c:v>121</c:v>
                </c:pt>
                <c:pt idx="5">
                  <c:v>45</c:v>
                </c:pt>
                <c:pt idx="6">
                  <c:v>153</c:v>
                </c:pt>
                <c:pt idx="7">
                  <c:v>43</c:v>
                </c:pt>
                <c:pt idx="8">
                  <c:v>56</c:v>
                </c:pt>
                <c:pt idx="9">
                  <c:v>53</c:v>
                </c:pt>
                <c:pt idx="10">
                  <c:v>48</c:v>
                </c:pt>
                <c:pt idx="11">
                  <c:v>43</c:v>
                </c:pt>
                <c:pt idx="12">
                  <c:v>38</c:v>
                </c:pt>
                <c:pt idx="13">
                  <c:v>94</c:v>
                </c:pt>
                <c:pt idx="14">
                  <c:v>38</c:v>
                </c:pt>
                <c:pt idx="15">
                  <c:v>35</c:v>
                </c:pt>
                <c:pt idx="16">
                  <c:v>123</c:v>
                </c:pt>
                <c:pt idx="17">
                  <c:v>91</c:v>
                </c:pt>
                <c:pt idx="18">
                  <c:v>54</c:v>
                </c:pt>
                <c:pt idx="19">
                  <c:v>180</c:v>
                </c:pt>
                <c:pt idx="20">
                  <c:v>40</c:v>
                </c:pt>
                <c:pt idx="21">
                  <c:v>38</c:v>
                </c:pt>
                <c:pt idx="22">
                  <c:v>35</c:v>
                </c:pt>
                <c:pt idx="23">
                  <c:v>31</c:v>
                </c:pt>
                <c:pt idx="24">
                  <c:v>28</c:v>
                </c:pt>
                <c:pt idx="25">
                  <c:v>24</c:v>
                </c:pt>
                <c:pt idx="26">
                  <c:v>93</c:v>
                </c:pt>
                <c:pt idx="27">
                  <c:v>113</c:v>
                </c:pt>
                <c:pt idx="28">
                  <c:v>66</c:v>
                </c:pt>
                <c:pt idx="29">
                  <c:v>58</c:v>
                </c:pt>
                <c:pt idx="30">
                  <c:v>54</c:v>
                </c:pt>
                <c:pt idx="31">
                  <c:v>89</c:v>
                </c:pt>
                <c:pt idx="32">
                  <c:v>125</c:v>
                </c:pt>
                <c:pt idx="33">
                  <c:v>111</c:v>
                </c:pt>
                <c:pt idx="34">
                  <c:v>66</c:v>
                </c:pt>
                <c:pt idx="35">
                  <c:v>58</c:v>
                </c:pt>
                <c:pt idx="36">
                  <c:v>86</c:v>
                </c:pt>
                <c:pt idx="37">
                  <c:v>119</c:v>
                </c:pt>
                <c:pt idx="38">
                  <c:v>104</c:v>
                </c:pt>
                <c:pt idx="39">
                  <c:v>96</c:v>
                </c:pt>
                <c:pt idx="40">
                  <c:v>82</c:v>
                </c:pt>
                <c:pt idx="41">
                  <c:v>78</c:v>
                </c:pt>
                <c:pt idx="42">
                  <c:v>73</c:v>
                </c:pt>
                <c:pt idx="43">
                  <c:v>69</c:v>
                </c:pt>
                <c:pt idx="44">
                  <c:v>65</c:v>
                </c:pt>
                <c:pt idx="45">
                  <c:v>61</c:v>
                </c:pt>
                <c:pt idx="46">
                  <c:v>58</c:v>
                </c:pt>
                <c:pt idx="47">
                  <c:v>54</c:v>
                </c:pt>
                <c:pt idx="48">
                  <c:v>49</c:v>
                </c:pt>
                <c:pt idx="49">
                  <c:v>46</c:v>
                </c:pt>
                <c:pt idx="50">
                  <c:v>42</c:v>
                </c:pt>
                <c:pt idx="51">
                  <c:v>38</c:v>
                </c:pt>
                <c:pt idx="52">
                  <c:v>90</c:v>
                </c:pt>
                <c:pt idx="53">
                  <c:v>69</c:v>
                </c:pt>
                <c:pt idx="54">
                  <c:v>64</c:v>
                </c:pt>
                <c:pt idx="55">
                  <c:v>56</c:v>
                </c:pt>
                <c:pt idx="56">
                  <c:v>84</c:v>
                </c:pt>
                <c:pt idx="57">
                  <c:v>115</c:v>
                </c:pt>
                <c:pt idx="58">
                  <c:v>85</c:v>
                </c:pt>
                <c:pt idx="59">
                  <c:v>91</c:v>
                </c:pt>
                <c:pt idx="60">
                  <c:v>116</c:v>
                </c:pt>
                <c:pt idx="61">
                  <c:v>69</c:v>
                </c:pt>
                <c:pt idx="62">
                  <c:v>63</c:v>
                </c:pt>
                <c:pt idx="63">
                  <c:v>116</c:v>
                </c:pt>
                <c:pt idx="64">
                  <c:v>94</c:v>
                </c:pt>
                <c:pt idx="65">
                  <c:v>107</c:v>
                </c:pt>
                <c:pt idx="66">
                  <c:v>96</c:v>
                </c:pt>
                <c:pt idx="67">
                  <c:v>91</c:v>
                </c:pt>
                <c:pt idx="68">
                  <c:v>87</c:v>
                </c:pt>
                <c:pt idx="69">
                  <c:v>83</c:v>
                </c:pt>
                <c:pt idx="70">
                  <c:v>134</c:v>
                </c:pt>
                <c:pt idx="71">
                  <c:v>193</c:v>
                </c:pt>
                <c:pt idx="72">
                  <c:v>483</c:v>
                </c:pt>
                <c:pt idx="73">
                  <c:v>162</c:v>
                </c:pt>
                <c:pt idx="74">
                  <c:v>146</c:v>
                </c:pt>
                <c:pt idx="75">
                  <c:v>87</c:v>
                </c:pt>
                <c:pt idx="76">
                  <c:v>90</c:v>
                </c:pt>
                <c:pt idx="77">
                  <c:v>60</c:v>
                </c:pt>
                <c:pt idx="78">
                  <c:v>109</c:v>
                </c:pt>
                <c:pt idx="79">
                  <c:v>95</c:v>
                </c:pt>
                <c:pt idx="80">
                  <c:v>91</c:v>
                </c:pt>
                <c:pt idx="81">
                  <c:v>86</c:v>
                </c:pt>
                <c:pt idx="82">
                  <c:v>81</c:v>
                </c:pt>
                <c:pt idx="83">
                  <c:v>77</c:v>
                </c:pt>
                <c:pt idx="84">
                  <c:v>143</c:v>
                </c:pt>
                <c:pt idx="85">
                  <c:v>203</c:v>
                </c:pt>
                <c:pt idx="86">
                  <c:v>265</c:v>
                </c:pt>
                <c:pt idx="87">
                  <c:v>204</c:v>
                </c:pt>
                <c:pt idx="88">
                  <c:v>106</c:v>
                </c:pt>
                <c:pt idx="89">
                  <c:v>63</c:v>
                </c:pt>
                <c:pt idx="90">
                  <c:v>85</c:v>
                </c:pt>
                <c:pt idx="91">
                  <c:v>110</c:v>
                </c:pt>
                <c:pt idx="92">
                  <c:v>98</c:v>
                </c:pt>
                <c:pt idx="93">
                  <c:v>93</c:v>
                </c:pt>
                <c:pt idx="94">
                  <c:v>149</c:v>
                </c:pt>
                <c:pt idx="95">
                  <c:v>134</c:v>
                </c:pt>
                <c:pt idx="96">
                  <c:v>81</c:v>
                </c:pt>
                <c:pt idx="97">
                  <c:v>213</c:v>
                </c:pt>
                <c:pt idx="98">
                  <c:v>77</c:v>
                </c:pt>
                <c:pt idx="99">
                  <c:v>98</c:v>
                </c:pt>
                <c:pt idx="100">
                  <c:v>92</c:v>
                </c:pt>
                <c:pt idx="101">
                  <c:v>87</c:v>
                </c:pt>
                <c:pt idx="102">
                  <c:v>83</c:v>
                </c:pt>
                <c:pt idx="103">
                  <c:v>78</c:v>
                </c:pt>
                <c:pt idx="104">
                  <c:v>94</c:v>
                </c:pt>
                <c:pt idx="105">
                  <c:v>47</c:v>
                </c:pt>
                <c:pt idx="106">
                  <c:v>87</c:v>
                </c:pt>
                <c:pt idx="107">
                  <c:v>85</c:v>
                </c:pt>
                <c:pt idx="108">
                  <c:v>61</c:v>
                </c:pt>
                <c:pt idx="109">
                  <c:v>162</c:v>
                </c:pt>
                <c:pt idx="110">
                  <c:v>41</c:v>
                </c:pt>
                <c:pt idx="111">
                  <c:v>47</c:v>
                </c:pt>
                <c:pt idx="112">
                  <c:v>43</c:v>
                </c:pt>
                <c:pt idx="113">
                  <c:v>39</c:v>
                </c:pt>
                <c:pt idx="114">
                  <c:v>35</c:v>
                </c:pt>
                <c:pt idx="115">
                  <c:v>32</c:v>
                </c:pt>
                <c:pt idx="116">
                  <c:v>29</c:v>
                </c:pt>
                <c:pt idx="117">
                  <c:v>100</c:v>
                </c:pt>
                <c:pt idx="118">
                  <c:v>73</c:v>
                </c:pt>
                <c:pt idx="119">
                  <c:v>66</c:v>
                </c:pt>
                <c:pt idx="120">
                  <c:v>107</c:v>
                </c:pt>
                <c:pt idx="121">
                  <c:v>92</c:v>
                </c:pt>
                <c:pt idx="122">
                  <c:v>131</c:v>
                </c:pt>
                <c:pt idx="123">
                  <c:v>114</c:v>
                </c:pt>
                <c:pt idx="124">
                  <c:v>108</c:v>
                </c:pt>
                <c:pt idx="125">
                  <c:v>129</c:v>
                </c:pt>
                <c:pt idx="126">
                  <c:v>73</c:v>
                </c:pt>
                <c:pt idx="127">
                  <c:v>63</c:v>
                </c:pt>
                <c:pt idx="128">
                  <c:v>55</c:v>
                </c:pt>
                <c:pt idx="129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C-3C51-4D3B-90C4-9DAA0BD7F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469648"/>
        <c:axId val="1037470304"/>
      </c:lineChart>
      <c:catAx>
        <c:axId val="103746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470304"/>
        <c:crosses val="autoZero"/>
        <c:auto val="1"/>
        <c:lblAlgn val="ctr"/>
        <c:lblOffset val="100"/>
        <c:noMultiLvlLbl val="0"/>
      </c:catAx>
      <c:valAx>
        <c:axId val="103747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46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[AC_TURNIPS_ENGINE.xlsx]Sim_Report_2!PivotTable1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Sim_Report_2!$C$3:$C$5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Sim_Report_2!$B$6:$B$17</c:f>
              <c:strCache>
                <c:ptCount val="12"/>
                <c:pt idx="0">
                  <c:v>PRICE_1</c:v>
                </c:pt>
                <c:pt idx="1">
                  <c:v>PRICE_2</c:v>
                </c:pt>
                <c:pt idx="2">
                  <c:v>PRICE_3</c:v>
                </c:pt>
                <c:pt idx="3">
                  <c:v>PRICE_4</c:v>
                </c:pt>
                <c:pt idx="4">
                  <c:v>PRICE_5</c:v>
                </c:pt>
                <c:pt idx="5">
                  <c:v>PRICE_6</c:v>
                </c:pt>
                <c:pt idx="6">
                  <c:v>PRICE_7</c:v>
                </c:pt>
                <c:pt idx="7">
                  <c:v>PRICE_8</c:v>
                </c:pt>
                <c:pt idx="8">
                  <c:v>PRICE_9</c:v>
                </c:pt>
                <c:pt idx="9">
                  <c:v>PRICE_10</c:v>
                </c:pt>
                <c:pt idx="10">
                  <c:v>PRICE_11</c:v>
                </c:pt>
                <c:pt idx="11">
                  <c:v>PRICE_12</c:v>
                </c:pt>
              </c:strCache>
            </c:strRef>
          </c:cat>
          <c:val>
            <c:numRef>
              <c:f>Sim_Report_2!$C$6:$C$17</c:f>
              <c:numCache>
                <c:formatCode>0.00%</c:formatCode>
                <c:ptCount val="12"/>
                <c:pt idx="0">
                  <c:v>3.5910771069173453E-2</c:v>
                </c:pt>
                <c:pt idx="1">
                  <c:v>-3.9782513841304212E-2</c:v>
                </c:pt>
                <c:pt idx="2">
                  <c:v>-4.2947966959350686E-2</c:v>
                </c:pt>
                <c:pt idx="3">
                  <c:v>-0.11639048735563146</c:v>
                </c:pt>
                <c:pt idx="4">
                  <c:v>-6.4292755427154775E-3</c:v>
                </c:pt>
                <c:pt idx="5">
                  <c:v>2.3094190238429242E-2</c:v>
                </c:pt>
                <c:pt idx="6">
                  <c:v>-5.1558835034896479E-2</c:v>
                </c:pt>
                <c:pt idx="7">
                  <c:v>-9.9277030286588908E-2</c:v>
                </c:pt>
                <c:pt idx="8">
                  <c:v>-0.11613264239452066</c:v>
                </c:pt>
                <c:pt idx="9">
                  <c:v>-8.7854327262349999E-2</c:v>
                </c:pt>
                <c:pt idx="10">
                  <c:v>-0.18951528409149215</c:v>
                </c:pt>
                <c:pt idx="11">
                  <c:v>-0.10914080311457941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C-45FA-8429-8381A2527254}"/>
            </c:ext>
          </c:extLst>
        </c:ser>
        <c:ser>
          <c:idx val="1"/>
          <c:order val="1"/>
          <c:tx>
            <c:strRef>
              <c:f>Sim_Report_2!$D$3:$D$5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Sim_Report_2!$B$6:$B$17</c:f>
              <c:strCache>
                <c:ptCount val="12"/>
                <c:pt idx="0">
                  <c:v>PRICE_1</c:v>
                </c:pt>
                <c:pt idx="1">
                  <c:v>PRICE_2</c:v>
                </c:pt>
                <c:pt idx="2">
                  <c:v>PRICE_3</c:v>
                </c:pt>
                <c:pt idx="3">
                  <c:v>PRICE_4</c:v>
                </c:pt>
                <c:pt idx="4">
                  <c:v>PRICE_5</c:v>
                </c:pt>
                <c:pt idx="5">
                  <c:v>PRICE_6</c:v>
                </c:pt>
                <c:pt idx="6">
                  <c:v>PRICE_7</c:v>
                </c:pt>
                <c:pt idx="7">
                  <c:v>PRICE_8</c:v>
                </c:pt>
                <c:pt idx="8">
                  <c:v>PRICE_9</c:v>
                </c:pt>
                <c:pt idx="9">
                  <c:v>PRICE_10</c:v>
                </c:pt>
                <c:pt idx="10">
                  <c:v>PRICE_11</c:v>
                </c:pt>
                <c:pt idx="11">
                  <c:v>PRICE_12</c:v>
                </c:pt>
              </c:strCache>
            </c:strRef>
          </c:cat>
          <c:val>
            <c:numRef>
              <c:f>Sim_Report_2!$D$6:$D$17</c:f>
              <c:numCache>
                <c:formatCode>0.00%</c:formatCode>
                <c:ptCount val="12"/>
                <c:pt idx="0">
                  <c:v>-0.12098537357674551</c:v>
                </c:pt>
                <c:pt idx="1">
                  <c:v>-0.1616815234787351</c:v>
                </c:pt>
                <c:pt idx="2">
                  <c:v>-7.6581524250156074E-2</c:v>
                </c:pt>
                <c:pt idx="3">
                  <c:v>0.18247161813847967</c:v>
                </c:pt>
                <c:pt idx="4">
                  <c:v>0.79579050171367072</c:v>
                </c:pt>
                <c:pt idx="5">
                  <c:v>0.76123604230929331</c:v>
                </c:pt>
                <c:pt idx="6">
                  <c:v>0.65094593522653921</c:v>
                </c:pt>
                <c:pt idx="7">
                  <c:v>0.59688993109950905</c:v>
                </c:pt>
                <c:pt idx="8">
                  <c:v>0.47065357719247319</c:v>
                </c:pt>
                <c:pt idx="9">
                  <c:v>1.9992026132996183E-2</c:v>
                </c:pt>
                <c:pt idx="10">
                  <c:v>-0.24064883600742762</c:v>
                </c:pt>
                <c:pt idx="11">
                  <c:v>-0.31867450526800178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F952-4E7D-B027-5E896DA08372}"/>
            </c:ext>
          </c:extLst>
        </c:ser>
        <c:ser>
          <c:idx val="2"/>
          <c:order val="2"/>
          <c:tx>
            <c:strRef>
              <c:f>Sim_Report_2!$E$3:$E$5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Sim_Report_2!$B$6:$B$17</c:f>
              <c:strCache>
                <c:ptCount val="12"/>
                <c:pt idx="0">
                  <c:v>PRICE_1</c:v>
                </c:pt>
                <c:pt idx="1">
                  <c:v>PRICE_2</c:v>
                </c:pt>
                <c:pt idx="2">
                  <c:v>PRICE_3</c:v>
                </c:pt>
                <c:pt idx="3">
                  <c:v>PRICE_4</c:v>
                </c:pt>
                <c:pt idx="4">
                  <c:v>PRICE_5</c:v>
                </c:pt>
                <c:pt idx="5">
                  <c:v>PRICE_6</c:v>
                </c:pt>
                <c:pt idx="6">
                  <c:v>PRICE_7</c:v>
                </c:pt>
                <c:pt idx="7">
                  <c:v>PRICE_8</c:v>
                </c:pt>
                <c:pt idx="8">
                  <c:v>PRICE_9</c:v>
                </c:pt>
                <c:pt idx="9">
                  <c:v>PRICE_10</c:v>
                </c:pt>
                <c:pt idx="10">
                  <c:v>PRICE_11</c:v>
                </c:pt>
                <c:pt idx="11">
                  <c:v>PRICE_12</c:v>
                </c:pt>
              </c:strCache>
            </c:strRef>
          </c:cat>
          <c:val>
            <c:numRef>
              <c:f>Sim_Report_2!$E$6:$E$17</c:f>
              <c:numCache>
                <c:formatCode>0.00%</c:formatCode>
                <c:ptCount val="12"/>
                <c:pt idx="0">
                  <c:v>-0.12227857760833921</c:v>
                </c:pt>
                <c:pt idx="1">
                  <c:v>-0.16274444091882956</c:v>
                </c:pt>
                <c:pt idx="2">
                  <c:v>-0.20209786321548168</c:v>
                </c:pt>
                <c:pt idx="3">
                  <c:v>-0.24417485140777356</c:v>
                </c:pt>
                <c:pt idx="4">
                  <c:v>-0.28232430654063712</c:v>
                </c:pt>
                <c:pt idx="5">
                  <c:v>-0.32030254608875125</c:v>
                </c:pt>
                <c:pt idx="6">
                  <c:v>-0.35442528906747167</c:v>
                </c:pt>
                <c:pt idx="7">
                  <c:v>-0.39898701474450099</c:v>
                </c:pt>
                <c:pt idx="8">
                  <c:v>-0.44004449669978357</c:v>
                </c:pt>
                <c:pt idx="9">
                  <c:v>-0.48213230475478752</c:v>
                </c:pt>
                <c:pt idx="10">
                  <c:v>-0.52142633377658598</c:v>
                </c:pt>
                <c:pt idx="11">
                  <c:v>-0.56081897241767065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F952-4E7D-B027-5E896DA08372}"/>
            </c:ext>
          </c:extLst>
        </c:ser>
        <c:ser>
          <c:idx val="3"/>
          <c:order val="3"/>
          <c:tx>
            <c:strRef>
              <c:f>Sim_Report_2!$F$3:$F$5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Sim_Report_2!$B$6:$B$17</c:f>
              <c:strCache>
                <c:ptCount val="12"/>
                <c:pt idx="0">
                  <c:v>PRICE_1</c:v>
                </c:pt>
                <c:pt idx="1">
                  <c:v>PRICE_2</c:v>
                </c:pt>
                <c:pt idx="2">
                  <c:v>PRICE_3</c:v>
                </c:pt>
                <c:pt idx="3">
                  <c:v>PRICE_4</c:v>
                </c:pt>
                <c:pt idx="4">
                  <c:v>PRICE_5</c:v>
                </c:pt>
                <c:pt idx="5">
                  <c:v>PRICE_6</c:v>
                </c:pt>
                <c:pt idx="6">
                  <c:v>PRICE_7</c:v>
                </c:pt>
                <c:pt idx="7">
                  <c:v>PRICE_8</c:v>
                </c:pt>
                <c:pt idx="8">
                  <c:v>PRICE_9</c:v>
                </c:pt>
                <c:pt idx="9">
                  <c:v>PRICE_10</c:v>
                </c:pt>
                <c:pt idx="10">
                  <c:v>PRICE_11</c:v>
                </c:pt>
                <c:pt idx="11">
                  <c:v>PRICE_12</c:v>
                </c:pt>
              </c:strCache>
            </c:strRef>
          </c:cat>
          <c:val>
            <c:numRef>
              <c:f>Sim_Report_2!$F$6:$F$17</c:f>
              <c:numCache>
                <c:formatCode>0.00%</c:formatCode>
                <c:ptCount val="12"/>
                <c:pt idx="0">
                  <c:v>-0.32162784609332179</c:v>
                </c:pt>
                <c:pt idx="1">
                  <c:v>-0.2439246570170723</c:v>
                </c:pt>
                <c:pt idx="2">
                  <c:v>-0.19354703477891844</c:v>
                </c:pt>
                <c:pt idx="3">
                  <c:v>-8.7742912179157528E-2</c:v>
                </c:pt>
                <c:pt idx="4">
                  <c:v>-2.3660267621504121E-2</c:v>
                </c:pt>
                <c:pt idx="5">
                  <c:v>8.7441199900057491E-3</c:v>
                </c:pt>
                <c:pt idx="6">
                  <c:v>-0.15776950848048824</c:v>
                </c:pt>
                <c:pt idx="7">
                  <c:v>-0.28824397736749746</c:v>
                </c:pt>
                <c:pt idx="8">
                  <c:v>-0.35103847310100539</c:v>
                </c:pt>
                <c:pt idx="9">
                  <c:v>-0.36696216546951349</c:v>
                </c:pt>
                <c:pt idx="10">
                  <c:v>-0.47723431283777401</c:v>
                </c:pt>
                <c:pt idx="11">
                  <c:v>-0.50923264086016318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F952-4E7D-B027-5E896DA08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469648"/>
        <c:axId val="1037470304"/>
      </c:lineChart>
      <c:catAx>
        <c:axId val="103746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470304"/>
        <c:crosses val="autoZero"/>
        <c:auto val="1"/>
        <c:lblAlgn val="ctr"/>
        <c:lblOffset val="100"/>
        <c:noMultiLvlLbl val="0"/>
      </c:catAx>
      <c:valAx>
        <c:axId val="103747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46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[AC_TURNIPS_ENGINE.xlsx]Sim_Report_3!PivotTable1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Sim_Report_3!$C$3:$C$4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Sim_Report_3!$B$5:$B$14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Sim_Report_3!$C$5:$C$14</c:f>
              <c:numCache>
                <c:formatCode>General</c:formatCode>
                <c:ptCount val="10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64-4A4E-88FE-80E6FDA0F812}"/>
            </c:ext>
          </c:extLst>
        </c:ser>
        <c:ser>
          <c:idx val="1"/>
          <c:order val="1"/>
          <c:tx>
            <c:strRef>
              <c:f>Sim_Report_3!$D$3:$D$4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Sim_Report_3!$B$5:$B$14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Sim_Report_3!$D$5:$D$14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64-4A4E-88FE-80E6FDA0F812}"/>
            </c:ext>
          </c:extLst>
        </c:ser>
        <c:ser>
          <c:idx val="2"/>
          <c:order val="2"/>
          <c:tx>
            <c:strRef>
              <c:f>Sim_Report_3!$E$3:$E$4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Sim_Report_3!$B$5:$B$14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Sim_Report_3!$E$5:$E$14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64-4A4E-88FE-80E6FDA0F812}"/>
            </c:ext>
          </c:extLst>
        </c:ser>
        <c:ser>
          <c:idx val="3"/>
          <c:order val="3"/>
          <c:tx>
            <c:strRef>
              <c:f>Sim_Report_3!$F$3:$F$4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Sim_Report_3!$B$5:$B$14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Sim_Report_3!$F$5:$F$14</c:f>
              <c:numCache>
                <c:formatCode>General</c:formatCode>
                <c:ptCount val="10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64-4A4E-88FE-80E6FDA0F812}"/>
            </c:ext>
          </c:extLst>
        </c:ser>
        <c:ser>
          <c:idx val="4"/>
          <c:order val="4"/>
          <c:tx>
            <c:strRef>
              <c:f>Sim_Report_3!$G$3:$G$4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Sim_Report_3!$B$5:$B$14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Sim_Report_3!$G$5:$G$14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64-4A4E-88FE-80E6FDA0F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469648"/>
        <c:axId val="1037470304"/>
      </c:lineChart>
      <c:catAx>
        <c:axId val="103746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470304"/>
        <c:crosses val="autoZero"/>
        <c:auto val="1"/>
        <c:lblAlgn val="ctr"/>
        <c:lblOffset val="100"/>
        <c:noMultiLvlLbl val="0"/>
      </c:catAx>
      <c:valAx>
        <c:axId val="103747030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4696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[AC_TURNIPS_ENGINE.xlsx]Feature_Test_1a!PivotTable1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Feature_Test_1a!$C$3:$C$5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Feature_Test_1a!$B$6:$B$17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Feature_Test_1a!$C$6:$C$17</c:f>
              <c:numCache>
                <c:formatCode>0.00%</c:formatCode>
                <c:ptCount val="12"/>
                <c:pt idx="0">
                  <c:v>0.33062576641926261</c:v>
                </c:pt>
                <c:pt idx="1">
                  <c:v>0.29006867685286192</c:v>
                </c:pt>
                <c:pt idx="2">
                  <c:v>0.21202906165424285</c:v>
                </c:pt>
                <c:pt idx="3">
                  <c:v>0.13319230525308606</c:v>
                </c:pt>
                <c:pt idx="4">
                  <c:v>6.7873583475173901E-2</c:v>
                </c:pt>
                <c:pt idx="5">
                  <c:v>1.3500054007712405E-2</c:v>
                </c:pt>
                <c:pt idx="6">
                  <c:v>-4.5028641609960424E-2</c:v>
                </c:pt>
                <c:pt idx="7">
                  <c:v>-0.30659347224165007</c:v>
                </c:pt>
                <c:pt idx="9">
                  <c:v>-0.36870606433815445</c:v>
                </c:pt>
                <c:pt idx="10">
                  <c:v>-0.39578551412136281</c:v>
                </c:pt>
                <c:pt idx="11">
                  <c:v>-0.43966757587524152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6F-DBF0-407C-9D37-C38E6689561E}"/>
            </c:ext>
          </c:extLst>
        </c:ser>
        <c:ser>
          <c:idx val="1"/>
          <c:order val="1"/>
          <c:tx>
            <c:strRef>
              <c:f>Feature_Test_1a!$D$3:$D$5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Feature_Test_1a!$B$6:$B$17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Feature_Test_1a!$D$6:$D$17</c:f>
              <c:numCache>
                <c:formatCode>0.00%</c:formatCode>
                <c:ptCount val="12"/>
                <c:pt idx="0">
                  <c:v>2.5020513618237725</c:v>
                </c:pt>
                <c:pt idx="1">
                  <c:v>0.85369875277474527</c:v>
                </c:pt>
                <c:pt idx="2">
                  <c:v>0.65175635347476502</c:v>
                </c:pt>
                <c:pt idx="3">
                  <c:v>0.18530332467802707</c:v>
                </c:pt>
                <c:pt idx="4">
                  <c:v>5.8128260657333133E-2</c:v>
                </c:pt>
                <c:pt idx="5">
                  <c:v>-0.11996600558490049</c:v>
                </c:pt>
                <c:pt idx="6">
                  <c:v>-0.15224696988453998</c:v>
                </c:pt>
                <c:pt idx="7">
                  <c:v>-0.19450961819128681</c:v>
                </c:pt>
                <c:pt idx="8">
                  <c:v>-0.22221581152846545</c:v>
                </c:pt>
                <c:pt idx="9">
                  <c:v>-0.28783755613938833</c:v>
                </c:pt>
                <c:pt idx="10">
                  <c:v>-0.3221031431703254</c:v>
                </c:pt>
                <c:pt idx="11">
                  <c:v>-0.43289935978440308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EF-DBF0-407C-9D37-C38E6689561E}"/>
            </c:ext>
          </c:extLst>
        </c:ser>
        <c:ser>
          <c:idx val="2"/>
          <c:order val="2"/>
          <c:tx>
            <c:strRef>
              <c:f>Feature_Test_1a!$E$3:$E$5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Feature_Test_1a!$B$6:$B$17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Feature_Test_1a!$E$6:$E$17</c:f>
              <c:numCache>
                <c:formatCode>0.00%</c:formatCode>
                <c:ptCount val="12"/>
                <c:pt idx="0">
                  <c:v>-0.12227857760833921</c:v>
                </c:pt>
                <c:pt idx="1">
                  <c:v>-0.16274444091882956</c:v>
                </c:pt>
                <c:pt idx="2">
                  <c:v>-0.20209786321548168</c:v>
                </c:pt>
                <c:pt idx="3">
                  <c:v>-0.24417485140777356</c:v>
                </c:pt>
                <c:pt idx="4">
                  <c:v>-0.28232430654063712</c:v>
                </c:pt>
                <c:pt idx="5">
                  <c:v>-0.32030254608875125</c:v>
                </c:pt>
                <c:pt idx="6">
                  <c:v>-0.35442528906747167</c:v>
                </c:pt>
                <c:pt idx="7">
                  <c:v>-0.39898701474450099</c:v>
                </c:pt>
                <c:pt idx="8">
                  <c:v>-0.44004449669978357</c:v>
                </c:pt>
                <c:pt idx="9">
                  <c:v>-0.48213230475478752</c:v>
                </c:pt>
                <c:pt idx="10">
                  <c:v>-0.52142633377658598</c:v>
                </c:pt>
                <c:pt idx="11">
                  <c:v>-0.56081897241767065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F0-DBF0-407C-9D37-C38E6689561E}"/>
            </c:ext>
          </c:extLst>
        </c:ser>
        <c:ser>
          <c:idx val="3"/>
          <c:order val="3"/>
          <c:tx>
            <c:strRef>
              <c:f>Feature_Test_1a!$F$3:$F$5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Feature_Test_1a!$B$6:$B$17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Feature_Test_1a!$F$6:$F$17</c:f>
              <c:numCache>
                <c:formatCode>0.00%</c:formatCode>
                <c:ptCount val="12"/>
                <c:pt idx="0">
                  <c:v>0.69977902700711081</c:v>
                </c:pt>
                <c:pt idx="1">
                  <c:v>0.24687394718342756</c:v>
                </c:pt>
                <c:pt idx="2">
                  <c:v>6.1799013154922429E-2</c:v>
                </c:pt>
                <c:pt idx="3">
                  <c:v>-0.31951000018681053</c:v>
                </c:pt>
                <c:pt idx="4">
                  <c:v>-0.48955536928806265</c:v>
                </c:pt>
                <c:pt idx="5">
                  <c:v>-0.38456210918510908</c:v>
                </c:pt>
                <c:pt idx="6">
                  <c:v>-0.43541992982036104</c:v>
                </c:pt>
                <c:pt idx="7">
                  <c:v>-0.44407637667771577</c:v>
                </c:pt>
                <c:pt idx="8">
                  <c:v>-0.45585572546606457</c:v>
                </c:pt>
                <c:pt idx="9">
                  <c:v>-0.50919012164325328</c:v>
                </c:pt>
                <c:pt idx="10">
                  <c:v>-0.53127857730132633</c:v>
                </c:pt>
                <c:pt idx="11">
                  <c:v>-0.58581393689856209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F1-DBF0-407C-9D37-C38E6689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469648"/>
        <c:axId val="1037470304"/>
      </c:lineChart>
      <c:catAx>
        <c:axId val="103746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470304"/>
        <c:crosses val="autoZero"/>
        <c:auto val="1"/>
        <c:lblAlgn val="ctr"/>
        <c:lblOffset val="100"/>
        <c:noMultiLvlLbl val="0"/>
      </c:catAx>
      <c:valAx>
        <c:axId val="103747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46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895350</xdr:colOff>
      <xdr:row>35</xdr:row>
      <xdr:rowOff>171450</xdr:rowOff>
    </xdr:from>
    <xdr:to>
      <xdr:col>14</xdr:col>
      <xdr:colOff>238125</xdr:colOff>
      <xdr:row>50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34636</xdr:colOff>
      <xdr:row>19</xdr:row>
      <xdr:rowOff>69273</xdr:rowOff>
    </xdr:from>
    <xdr:to>
      <xdr:col>12</xdr:col>
      <xdr:colOff>363680</xdr:colOff>
      <xdr:row>46</xdr:row>
      <xdr:rowOff>99579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242455</xdr:colOff>
      <xdr:row>19</xdr:row>
      <xdr:rowOff>17318</xdr:rowOff>
    </xdr:from>
    <xdr:to>
      <xdr:col>18</xdr:col>
      <xdr:colOff>771525</xdr:colOff>
      <xdr:row>52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242455</xdr:colOff>
      <xdr:row>19</xdr:row>
      <xdr:rowOff>17318</xdr:rowOff>
    </xdr:from>
    <xdr:to>
      <xdr:col>18</xdr:col>
      <xdr:colOff>771525</xdr:colOff>
      <xdr:row>52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186297</xdr:colOff>
      <xdr:row>1</xdr:row>
      <xdr:rowOff>77039</xdr:rowOff>
    </xdr:from>
    <xdr:to>
      <xdr:col>17</xdr:col>
      <xdr:colOff>272021</xdr:colOff>
      <xdr:row>35</xdr:row>
      <xdr:rowOff>29415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44</xdr:row>
      <xdr:rowOff>152399</xdr:rowOff>
    </xdr:from>
    <xdr:to>
      <xdr:col>17</xdr:col>
      <xdr:colOff>276225</xdr:colOff>
      <xdr:row>63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40</xdr:row>
      <xdr:rowOff>152399</xdr:rowOff>
    </xdr:from>
    <xdr:to>
      <xdr:col>17</xdr:col>
      <xdr:colOff>276225</xdr:colOff>
      <xdr:row>59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37</xdr:row>
      <xdr:rowOff>152399</xdr:rowOff>
    </xdr:from>
    <xdr:to>
      <xdr:col>17</xdr:col>
      <xdr:colOff>276225</xdr:colOff>
      <xdr:row>56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41</xdr:row>
      <xdr:rowOff>152399</xdr:rowOff>
    </xdr:from>
    <xdr:to>
      <xdr:col>17</xdr:col>
      <xdr:colOff>276225</xdr:colOff>
      <xdr:row>60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2</xdr:row>
      <xdr:rowOff>19049</xdr:rowOff>
    </xdr:from>
    <xdr:to>
      <xdr:col>39</xdr:col>
      <xdr:colOff>217714</xdr:colOff>
      <xdr:row>51</xdr:row>
      <xdr:rowOff>40820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428624</xdr:colOff>
      <xdr:row>19</xdr:row>
      <xdr:rowOff>95248</xdr:rowOff>
    </xdr:from>
    <xdr:to>
      <xdr:col>10</xdr:col>
      <xdr:colOff>690562</xdr:colOff>
      <xdr:row>57</xdr:row>
      <xdr:rowOff>119062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33617</xdr:colOff>
      <xdr:row>2</xdr:row>
      <xdr:rowOff>112059</xdr:rowOff>
    </xdr:from>
    <xdr:to>
      <xdr:col>43</xdr:col>
      <xdr:colOff>310705</xdr:colOff>
      <xdr:row>37</xdr:row>
      <xdr:rowOff>82516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34636</xdr:colOff>
      <xdr:row>19</xdr:row>
      <xdr:rowOff>69273</xdr:rowOff>
    </xdr:from>
    <xdr:to>
      <xdr:col>12</xdr:col>
      <xdr:colOff>363680</xdr:colOff>
      <xdr:row>46</xdr:row>
      <xdr:rowOff>99579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rtfolio%20-%20Research/Risk%20Monitoring/Risk%20System/Monthly%20Reports/MIRC%20REPORTS/MIRC%20Risk%20Report%20-%20(z)%20Risk%20Comittee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Package Enhancements"/>
      <sheetName val="Data Validation"/>
    </sheetNames>
    <sheetDataSet>
      <sheetData sheetId="0"/>
      <sheetData sheetId="1"/>
      <sheetData sheetId="2">
        <row r="3">
          <cell r="B3" t="str">
            <v>R&amp;R</v>
          </cell>
          <cell r="C3" t="str">
            <v>High</v>
          </cell>
        </row>
        <row r="4">
          <cell r="B4" t="str">
            <v>MIRC</v>
          </cell>
          <cell r="C4" t="str">
            <v>Medium</v>
          </cell>
        </row>
        <row r="5">
          <cell r="B5" t="str">
            <v>Robin</v>
          </cell>
          <cell r="C5" t="str">
            <v>Low</v>
          </cell>
        </row>
        <row r="6">
          <cell r="B6" t="str">
            <v>Payton</v>
          </cell>
          <cell r="C6" t="str">
            <v>Complete</v>
          </cell>
        </row>
        <row r="7">
          <cell r="B7" t="str">
            <v>Ye</v>
          </cell>
        </row>
        <row r="8">
          <cell r="B8" t="str">
            <v>Ayako</v>
          </cell>
        </row>
        <row r="9">
          <cell r="B9" t="str">
            <v>Ivan</v>
          </cell>
        </row>
        <row r="10">
          <cell r="B10" t="str">
            <v>Doug</v>
          </cell>
        </row>
        <row r="11">
          <cell r="B11" t="str">
            <v>Robin, Ye</v>
          </cell>
        </row>
        <row r="12">
          <cell r="B12" t="str">
            <v>Robin, Payton</v>
          </cell>
        </row>
        <row r="13">
          <cell r="B13" t="str">
            <v>Robin, Ivan</v>
          </cell>
        </row>
        <row r="14">
          <cell r="B14" t="str">
            <v>Robin, Doug</v>
          </cell>
        </row>
        <row r="15">
          <cell r="B15" t="str">
            <v>Doug, Ivan</v>
          </cell>
        </row>
        <row r="16">
          <cell r="B16" t="str">
            <v>Doug, Payton</v>
          </cell>
        </row>
        <row r="17">
          <cell r="B17" t="str">
            <v>Doug, Ye</v>
          </cell>
        </row>
        <row r="18">
          <cell r="B18" t="str">
            <v>Ivan, Payton</v>
          </cell>
        </row>
        <row r="19">
          <cell r="B19" t="str">
            <v>Ivan, Ye</v>
          </cell>
        </row>
        <row r="20">
          <cell r="B20" t="str">
            <v>Payton, Ye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in Warner" refreshedDate="43934.898129166664" createdVersion="6" refreshedVersion="6" minRefreshableVersion="3" recordCount="650">
  <cacheSource type="worksheet">
    <worksheetSource name="Sim_Output"/>
  </cacheSource>
  <cacheFields count="13">
    <cacheField name="SIM_ID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WEEK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OBS" numFmtId="0">
      <sharedItems containsSemiMixedTypes="0" containsString="0" containsNumber="1" containsInteger="1" minValue="0" maxValue="12"/>
    </cacheField>
    <cacheField name="REGIME" numFmtId="0">
      <sharedItems containsSemiMixedTypes="0" containsString="0" containsNumber="1" containsInteger="1" minValue="0" maxValue="3" count="4">
        <n v="3"/>
        <n v="0"/>
        <n v="2"/>
        <n v="1"/>
      </sharedItems>
    </cacheField>
    <cacheField name="SIM_WK_REG_ID" numFmtId="0">
      <sharedItems count="50">
        <s v="1 - 1 - 3"/>
        <s v="1 - 2 - 0"/>
        <s v="1 - 3 - 0"/>
        <s v="1 - 4 - 3"/>
        <s v="1 - 5 - 3"/>
        <s v="1 - 6 - 2"/>
        <s v="1 - 7 - 1"/>
        <s v="1 - 8 - 0"/>
        <s v="1 - 9 - 0"/>
        <s v="1 - 10 - 2"/>
        <s v="2 - 1 - 3"/>
        <s v="2 - 2 - 1"/>
        <s v="2 - 3 - 0"/>
        <s v="2 - 4 - 3"/>
        <s v="2 - 5 - 1"/>
        <s v="2 - 6 - 0"/>
        <s v="2 - 7 - 3"/>
        <s v="2 - 8 - 0"/>
        <s v="2 - 9 - 1"/>
        <s v="2 - 10 - 0"/>
        <s v="3 - 1 - 3"/>
        <s v="3 - 2 - 3"/>
        <s v="3 - 3 - 0"/>
        <s v="3 - 4 - 3"/>
        <s v="3 - 5 - 0"/>
        <s v="3 - 6 - 0"/>
        <s v="3 - 7 - 3"/>
        <s v="3 - 8 - 0"/>
        <s v="3 - 9 - 2"/>
        <s v="3 - 10 - 0"/>
        <s v="4 - 1 - 3"/>
        <s v="4 - 2 - 0"/>
        <s v="4 - 3 - 2"/>
        <s v="4 - 4 - 1"/>
        <s v="4 - 5 - 2"/>
        <s v="4 - 6 - 1"/>
        <s v="4 - 7 - 1"/>
        <s v="4 - 8 - 2"/>
        <s v="4 - 9 - 0"/>
        <s v="4 - 10 - 2"/>
        <s v="5 - 1 - 3"/>
        <s v="5 - 2 - 3"/>
        <s v="5 - 3 - 0"/>
        <s v="5 - 4 - 2"/>
        <s v="5 - 5 - 0"/>
        <s v="5 - 6 - 1"/>
        <s v="5 - 7 - 1"/>
        <s v="5 - 8 - 3"/>
        <s v="5 - 9 - 3"/>
        <s v="5 - 10 - 0"/>
      </sharedItems>
    </cacheField>
    <cacheField name="OUTPUT" numFmtId="0">
      <sharedItems count="13">
        <s v="PRICE_0"/>
        <s v="PRICE_1"/>
        <s v="PRICE_2"/>
        <s v="PRICE_3"/>
        <s v="PRICE_4"/>
        <s v="PRICE_5"/>
        <s v="PRICE_6"/>
        <s v="PRICE_7"/>
        <s v="PRICE_8"/>
        <s v="PRICE_9"/>
        <s v="PRICE_10"/>
        <s v="PRICE_11"/>
        <s v="PRICE_12"/>
      </sharedItems>
    </cacheField>
    <cacheField name="VALUE" numFmtId="0">
      <sharedItems containsSemiMixedTypes="0" containsString="0" containsNumber="1" containsInteger="1" minValue="22" maxValue="525"/>
    </cacheField>
    <cacheField name="PREV_REGIME" numFmtId="0">
      <sharedItems containsSemiMixedTypes="0" containsString="0" containsNumber="1" containsInteger="1" minValue="0" maxValue="3"/>
    </cacheField>
    <cacheField name="WTD_RET" numFmtId="10">
      <sharedItems containsSemiMixedTypes="0" containsString="0" containsNumber="1" minValue="-0.79816513761467889" maxValue="3.8165137614678901"/>
    </cacheField>
    <cacheField name="RANK_RET" numFmtId="3">
      <sharedItems containsSemiMixedTypes="0" containsString="0" containsNumber="1" containsInteger="1" minValue="0" maxValue="12" count="13">
        <n v="0"/>
        <n v="4"/>
        <n v="7"/>
        <n v="8"/>
        <n v="9"/>
        <n v="10"/>
        <n v="2"/>
        <n v="3"/>
        <n v="12"/>
        <n v="1"/>
        <n v="11"/>
        <n v="6"/>
        <n v="5"/>
      </sharedItems>
    </cacheField>
    <cacheField name="WTD_RET_ZSCORE" numFmtId="4">
      <sharedItems containsMixedTypes="1" containsNumber="1" minValue="-1.6389162613226769" maxValue="3.0285821200029157" count="548">
        <s v=""/>
        <n v="-0.18838042924107792"/>
        <n v="-0.32333954272722309"/>
        <n v="-0.42455887784183205"/>
        <n v="-0.55951799132797719"/>
        <n v="-0.66073732644258609"/>
        <n v="0.95877203539115685"/>
        <n v="0.62137425167579408"/>
        <n v="-0.863175996671804"/>
        <n v="2.6795007323395095"/>
        <n v="-0.7619566615571951"/>
        <n v="-0.28959976435568685"/>
        <n v="0.91976985521818677"/>
        <n v="0.53556219417767803"/>
        <n v="1.5135453313716998"/>
        <n v="0.60541813254867949"/>
        <n v="1.129337670331191"/>
        <n v="0.39585031743567511"/>
        <n v="-0.82662860405685123"/>
        <n v="-1.0711243883553563"/>
        <n v="0.15135453313717007"/>
        <n v="-1.106052357540857"/>
        <n v="-1.4204040802103639"/>
        <n v="1.2999097351071487"/>
        <n v="-0.86391516556810488"/>
        <n v="-1.0576905298076793"/>
        <n v="-1.2191700000073256"/>
        <n v="-8.8813708609805239E-2"/>
        <n v="1.3645015231870066"/>
        <n v="0.36332880794920297"/>
        <n v="-1.0253946357677504"/>
        <n v="0.23414523178948657"/>
        <n v="0.49251238410891934"/>
        <n v="1.2680458594080479"/>
        <n v="1.6294389293393419"/>
        <n v="-0.31067123555497173"/>
        <n v="1.9527906234883938"/>
        <n v="-0.36773329922833375"/>
        <n v="-0.32969192344609255"/>
        <n v="-0.42479536290169606"/>
        <n v="-0.51989880235729957"/>
        <n v="-0.59598155392178243"/>
        <n v="-0.69108499337738616"/>
        <n v="-0.76716774494186901"/>
        <n v="-0.84325049650635187"/>
        <n v="-0.32790310586851801"/>
        <n v="-0.44501135796441749"/>
        <n v="-0.51527630922195711"/>
        <n v="-0.63238456131785625"/>
        <n v="-0.72607116299457597"/>
        <n v="-0.84317941509047545"/>
        <n v="0.60896291089867649"/>
        <n v="0.86660106550965521"/>
        <n v="4.684330083835983E-2"/>
        <n v="2.7169114486248644"/>
        <n v="-0.42158970754523772"/>
        <n v="1.6036216309926745"/>
        <n v="1.258756764112529"/>
        <n v="0.98286487060841354"/>
        <n v="0.63800000372826815"/>
        <n v="0.3621081102241519"/>
        <n v="8.6216216720036348E-2"/>
        <n v="-0.12070270340805088"/>
        <n v="-0.46556757028819629"/>
        <n v="-0.6724864904162835"/>
        <n v="-0.94837838392039908"/>
        <n v="-1.2242702774245153"/>
        <n v="-1.5001621709286317"/>
        <n v="-0.42605588078459883"/>
        <n v="-0.47667638147187807"/>
        <n v="-0.52729688215915715"/>
        <n v="-0.56526225767461635"/>
        <n v="-0.6285378835337152"/>
        <n v="-0.69181350939281405"/>
        <n v="-9.7022626317285005E-2"/>
        <n v="0.52307850710188364"/>
        <n v="2.8010010380294417"/>
        <n v="0.82680151122555823"/>
        <n v="-0.23622900320730239"/>
        <n v="-0.50198663181551761"/>
        <n v="1.3005121775247106"/>
        <n v="1.1379481553341213"/>
        <n v="0.84533291539106159"/>
        <n v="-0.84533291539106159"/>
        <n v="-1.1379481553341213"/>
        <n v="0.26010243550494194"/>
        <n v="0.32512804438117754"/>
        <n v="0.16256402219058894"/>
        <n v="1.2029737642103568"/>
        <n v="-1.072922546457886"/>
        <n v="-1.3330249819628281"/>
        <n v="7.7935780802610308E-2"/>
        <n v="0.9318408574225161"/>
        <n v="-8.4712805220228574E-2"/>
        <n v="3.7273634296900698E-2"/>
        <n v="1.745083787536712"/>
        <n v="0.24058436682544962"/>
        <n v="-0.69464500280587582"/>
        <n v="-0.97928002834584393"/>
        <n v="-1.2232529073801028"/>
        <n v="1.6230973480195827"/>
        <n v="1.4828289983395653"/>
        <n v="1.1706544723733407"/>
        <n v="0.93652357789867269"/>
        <n v="0.70239268342400385"/>
        <n v="0.46826178894933573"/>
        <n v="0.15608726298311218"/>
        <n v="-7.8043631491556714E-2"/>
        <n v="-0.3121745259662248"/>
        <n v="-0.62434905193244916"/>
        <n v="-0.93652357789867269"/>
        <n v="-1.3267417353564535"/>
        <n v="-1.6389162613226769"/>
        <n v="-0.40867703274801664"/>
        <n v="-0.55291598548261078"/>
        <n v="-0.62503546184990788"/>
        <n v="-0.72119476367297053"/>
        <n v="1.2019912727882838"/>
        <n v="1.6587479564478316"/>
        <n v="-0.50483633457107935"/>
        <n v="2.0193453382843165"/>
        <n v="-0.52887616002684512"/>
        <n v="-0.600995636394142"/>
        <n v="-0.41070236104148228"/>
        <n v="-0.45355825958494128"/>
        <n v="-0.20499404803287893"/>
        <n v="0.6006968445841504"/>
        <n v="2.8720594673874786"/>
        <n v="0.57498330545807508"/>
        <n v="-0.67640893201092822"/>
        <n v="-0.41927354075017409"/>
        <n v="-0.61641067405008565"/>
        <n v="-0.64212421317616097"/>
        <n v="0.93687799436012131"/>
        <n v="0.3159239748423664"/>
        <n v="0.61006008935077705"/>
        <n v="1.3290594803713351"/>
        <n v="0.70810546085358017"/>
        <n v="-0.89330227369220883"/>
        <n v="-1.1220748071987501"/>
        <n v="-1.318165550204357"/>
        <n v="1.0022415753619909"/>
        <n v="-1.2201201787015536"/>
        <n v="0.54469650834890759"/>
        <n v="-0.16901089806232572"/>
        <n v="-0.29192791483492597"/>
        <n v="-0.38411567741437641"/>
        <n v="0.87578374450477803"/>
        <n v="0.62994971095957686"/>
        <n v="-0.75286672773217778"/>
        <n v="2.6580804877074842"/>
        <n v="-1.1830762864362792"/>
        <n v="-0.41484493160752656"/>
        <n v="-0.50703269418697661"/>
        <n v="-0.41416788142039379"/>
        <n v="-0.4802145867631808"/>
        <n v="0.22978749567177997"/>
        <n v="1.0883946651280116"/>
        <n v="2.1451419506126048"/>
        <n v="1.2700231048206763"/>
        <n v="4.8159055979115718E-2"/>
        <n v="-0.52974961577027102"/>
        <n v="-0.8764948188199031"/>
        <n v="-0.77742476080572254"/>
        <n v="-0.99207655316978072"/>
        <n v="-0.71137805546293553"/>
        <n v="-0.88486342577144494"/>
        <n v="-1.2056598339061078"/>
        <n v="0.91159645978266668"/>
        <n v="0.84743717815573416"/>
        <n v="0.49456112920760537"/>
        <n v="1.0399150230365319"/>
        <n v="0.87951681896920075"/>
        <n v="0.17376472107294252"/>
        <n v="1.1040743046634645"/>
        <n v="-1.1415005522791752"/>
        <n v="-1.333978397159973"/>
        <n v="-0.39098398864838829"/>
        <n v="0.91475499230943713"/>
        <n v="-0.28032814280450491"/>
        <n v="2.5745926799676901"/>
        <n v="-1.4754112779184444E-2"/>
        <n v="-0.45737749615471845"/>
        <n v="-0.56803334199860211"/>
        <n v="-0.67868918784248577"/>
        <n v="-0.76721386451759244"/>
        <n v="-0.8557385411926991"/>
        <n v="0.54058990271958862"/>
        <n v="1.3514747567989718"/>
        <n v="0.37165555811971746"/>
        <n v="0.16893434459987167"/>
        <n v="1.0136060675992289"/>
        <n v="-0.81088485407938304"/>
        <n v="-1.148753543279126"/>
        <n v="-1.3514747567989718"/>
        <n v="1.3852616257189465"/>
        <n v="-1.0811798054391775"/>
        <n v="-0.33819845733284953"/>
        <n v="-0.42187642615747217"/>
        <n v="-0.50555439498209453"/>
        <n v="-0.58923236380671717"/>
        <n v="-0.69382982483749545"/>
        <n v="-0.77750779366211775"/>
        <n v="-0.14992302747744884"/>
        <n v="1.2307634581288236"/>
        <n v="2.4440940060858507"/>
        <n v="0.85421259841802177"/>
        <n v="-0.19176201188976016"/>
        <n v="-0.86118576248674039"/>
        <n v="-0.89023131675661493"/>
        <n v="-1.0411179806136686"/>
        <n v="-1.2221819772421325"/>
        <n v="0.10562066469993758"/>
        <n v="1.1316499789279006"/>
        <n v="-1.1316499789279006"/>
        <n v="0.58845798904250812"/>
        <n v="0.43757132518545455"/>
        <n v="1.3730686410991859"/>
        <n v="1.3428913083277754"/>
        <n v="0.19615266301416931"/>
        <n v="-0.3638563151928299"/>
        <n v="-0.48250511362527426"/>
        <n v="-0.57742415237122979"/>
        <n v="-0.67234319111718543"/>
        <n v="1.0836590256829925"/>
        <n v="1.7718220565911698"/>
        <n v="-0.71980271049016287"/>
        <n v="1.9853898937695702"/>
        <n v="-0.45877535393878549"/>
        <n v="-0.52996463299825203"/>
        <n v="-0.42450226739526481"/>
        <n v="-0.50053252424217798"/>
        <n v="-0.60190620003806206"/>
        <n v="1.0454160316450549"/>
        <n v="1.4762541537775624"/>
        <n v="-0.44984568634423572"/>
        <n v="2.2619001411956647"/>
        <n v="-0.62724961898703324"/>
        <n v="-0.57656278108909087"/>
        <n v="-0.67793645688497495"/>
        <n v="0.97678725373845932"/>
        <n v="1.3418150163812048"/>
        <n v="1.3012563760875662"/>
        <n v="8.449716727841336E-2"/>
        <n v="0.1656144478656903"/>
        <n v="1.0579045343257358"/>
        <n v="-0.8077929191816321"/>
        <n v="-1.0105861206498243"/>
        <n v="-1.2539379624116551"/>
        <n v="-1.2133793221180165"/>
        <n v="-0.28458555286678455"/>
        <n v="-0.36720716498939937"/>
        <n v="-0.50490985186042403"/>
        <n v="1.5330899138307421"/>
        <n v="0.59671164310777403"/>
        <n v="-0.64261253873144897"/>
        <n v="2.3868465724310961"/>
        <n v="-0.91801791247349829"/>
        <n v="-0.39474770236360429"/>
        <n v="-0.61507200135724394"/>
        <n v="1.4590148212190153"/>
        <n v="0.42912200624088664"/>
        <n v="0.20025693624574742"/>
        <n v="-0.90592423539742772"/>
        <n v="-1.0203567703949976"/>
        <n v="-1.1729334837250904"/>
        <n v="1.5353031778840613"/>
        <n v="-1.1347893053925673"/>
        <n v="0.69613125456855007"/>
        <n v="0.65798707623602626"/>
        <n v="0.16211275791322391"/>
        <n v="0.43921757777428683"/>
        <n v="0.63018174202397659"/>
        <n v="-0.78295307342372877"/>
        <n v="-1.0884957362232326"/>
        <n v="-1.3176527333228603"/>
        <n v="1.4704240647226123"/>
        <n v="0.13367491497478304"/>
        <n v="1.5086168975725509"/>
        <n v="9.5482082124845019E-2"/>
        <n v="0.78295307342372877"/>
        <n v="-0.29289481831187636"/>
        <n v="-0.40021505708264016"/>
        <n v="0.24370637554194299"/>
        <n v="1.4242290020203452"/>
        <n v="-0.82949601216569546"/>
        <n v="2.5779215688060568"/>
        <n v="-0.37338499738994929"/>
        <n v="-0.45387517646802217"/>
        <n v="-0.56119541523878591"/>
        <n v="-0.66851565400954971"/>
        <n v="6.9014324217451101E-3"/>
        <n v="0.97310197146607247"/>
        <n v="-0.90408764724862056"/>
        <n v="-1.124933484744467"/>
        <n v="-1.2905678628663517"/>
        <n v="0.94549624177909197"/>
        <n v="0.89028478240513031"/>
        <n v="1.1111306199009767"/>
        <n v="0.25535299960457247"/>
        <n v="-1.0973277550574863"/>
        <n v="1.1387363495879574"/>
        <n v="1.4710741109906325"/>
        <n v="1.2377760140934397"/>
        <n v="1.004477917196247"/>
        <n v="0.69341378799999021"/>
        <n v="0.38234965880373267"/>
        <n v="0.14905156190653995"/>
        <n v="-8.424653499065278E-2"/>
        <n v="-0.31754463188784554"/>
        <n v="-0.706374793383167"/>
        <n v="-1.0174389225794238"/>
        <n v="-1.2507370194766165"/>
        <n v="-1.561801148672874"/>
        <n v="1.2018765820771053"/>
        <n v="0.7537192124890324"/>
        <n v="-0.14259552668711434"/>
        <n v="0.7129776334355713"/>
        <n v="0.8352023705959547"/>
        <n v="-0.83520237059595448"/>
        <n v="-1.1203934239701829"/>
        <n v="-1.2833597401840275"/>
        <n v="1.5278092145047946"/>
        <n v="0.2240786847940365"/>
        <n v="-1.0389102658632607"/>
        <n v="4.2840128003378247E-2"/>
        <n v="1.3734041036377085"/>
        <n v="0.76860229653119494"/>
        <n v="-1.1970035765649754"/>
        <n v="2.1596464528761765"/>
        <n v="-0.10836032377325033"/>
        <n v="-0.25956077554987894"/>
        <n v="-0.41076122732650716"/>
        <n v="-0.56196167910313577"/>
        <n v="-0.65268195016911279"/>
        <n v="-0.89129292002381921"/>
        <n v="-1.1586807960309646"/>
        <n v="0.77988130502084174"/>
        <n v="0.64618736701726864"/>
        <n v="1.2143866035324535"/>
        <n v="0.946998727525308"/>
        <n v="4.4564646001190984E-2"/>
        <n v="0.17825858400476377"/>
        <n v="-1.024986858027392"/>
        <n v="-1.2589512495336443"/>
        <n v="1.414927510537813"/>
        <n v="1.5360294751113803"/>
        <n v="1.2913522135892137"/>
        <n v="0.96511586489299162"/>
        <n v="0.63887951619676953"/>
        <n v="0.39420225467460202"/>
        <n v="0.14952499315243528"/>
        <n v="-9.5152268369731466E-2"/>
        <n v="-0.42138861706595349"/>
        <n v="-0.7476249657621763"/>
        <n v="-0.99230222728434303"/>
        <n v="-1.2369794888065098"/>
        <n v="-1.4816567503286757"/>
        <n v="-0.36219671220668659"/>
        <n v="-0.40281690422986638"/>
        <n v="-0.45359214425884115"/>
        <n v="-0.49421233628202094"/>
        <n v="-0.54498757631099581"/>
        <n v="-0.25049118414294214"/>
        <n v="0.21664102412362557"/>
        <n v="2.9178837936650823"/>
        <n v="0.66346313637860321"/>
        <n v="3.3850160019315598E-3"/>
        <n v="-0.47390224027043104"/>
        <n v="-0.81917387246745932"/>
        <n v="1.5689659870464601"/>
        <n v="1.2150638847051529"/>
        <n v="0.93194220283210794"/>
        <n v="0.71960094142732367"/>
        <n v="0.43647925955427791"/>
        <n v="0.15335757768123218"/>
        <n v="-0.12976410419181275"/>
        <n v="-0.48366620653311992"/>
        <n v="-0.69600746793790425"/>
        <n v="-0.97912914981094912"/>
        <n v="-1.2622508316839949"/>
        <n v="-1.4745920930887793"/>
        <n v="-0.41477394169307902"/>
        <n v="-0.454720067698833"/>
        <n v="-0.48667696850343622"/>
        <n v="-0.27895711327351558"/>
        <n v="0.3841485784220009"/>
        <n v="3.0285821200029157"/>
        <n v="0.18441794839323095"/>
        <n v="-3.1291132037840702E-2"/>
        <n v="-0.5266230945091902"/>
        <n v="-0.57455844571609505"/>
        <n v="-0.40678471649192827"/>
        <n v="-0.42276316689422988"/>
        <n v="-0.34813658532601188"/>
        <n v="-0.38669940708520079"/>
        <n v="-3.9634011252499893E-2"/>
        <n v="1.014416450165333"/>
        <n v="2.6212006901315412"/>
        <n v="0.61593395865371325"/>
        <n v="-0.73376480291790191"/>
        <n v="-0.91372463779411717"/>
        <n v="-0.57951351588114586"/>
        <n v="-0.65663915939952389"/>
        <n v="-0.55380496804168655"/>
        <n v="1.4455188593154327"/>
        <n v="1.2240776723564728"/>
        <n v="1.0026364853975129"/>
        <n v="0.70738156945223318"/>
        <n v="0.41212665350695288"/>
        <n v="0.19068546654799298"/>
        <n v="-3.075572041096692E-2"/>
        <n v="-0.39982436534256699"/>
        <n v="-0.69507928128784657"/>
        <n v="-1.0641479262194466"/>
        <n v="-1.2855891131784065"/>
        <n v="-1.5070303001373664"/>
        <n v="0.49095837365212058"/>
        <n v="0.29457502419127241"/>
        <n v="1.1455695385216145"/>
        <n v="-0.85099451433034223"/>
        <n v="-1.2110306550085639"/>
        <n v="-1.4074140044694121"/>
        <n v="1.2764917714955133"/>
        <n v="0.52368893189559573"/>
        <n v="0.85099451433034268"/>
        <n v="0.81826395608686753"/>
        <n v="-1.0801084220346651"/>
        <n v="1.5116494698902441"/>
        <n v="1.2429117863542012"/>
        <n v="0.97417410281815753"/>
        <n v="0.63825199839810365"/>
        <n v="0.43669873574607093"/>
        <n v="0.1679610522100273"/>
        <n v="-0.10077663132601564"/>
        <n v="-0.43669873574607021"/>
        <n v="-0.6382519983981022"/>
        <n v="-0.97417410281815686"/>
        <n v="-1.2429117863542005"/>
        <n v="-1.5788338907742543"/>
        <n v="-0.30950629991876982"/>
        <n v="-0.41794646339395924"/>
        <n v="0.91044553917711202"/>
        <n v="1.452646356553059"/>
        <n v="-0.60771674947554077"/>
        <n v="2.320167664354575"/>
        <n v="-0.66193683121313573"/>
        <n v="-0.39083642252516199"/>
        <n v="-0.52638662686914894"/>
        <n v="-0.79748703555712241"/>
        <n v="-0.45492128879966887"/>
        <n v="-0.51766905277203701"/>
        <n v="1.3229320237507611"/>
        <n v="0.65362254137883458"/>
        <n v="-0.12026654761370549"/>
        <n v="2.5151395392257556"/>
        <n v="-0.41308944615142357"/>
        <n v="-0.60133273806852794"/>
        <n v="-0.66408050204089597"/>
        <n v="-0.7477441873373869"/>
        <n v="0.96916953326891542"/>
        <n v="-0.81132433241078572"/>
        <n v="-1.1143871180583946"/>
        <n v="-1.2659185108821989"/>
        <n v="5.9981176326089375E-2"/>
        <n v="1.4237637117403281"/>
        <n v="0.8934038368570133"/>
        <n v="-5.3667368291764182E-2"/>
        <n v="1.1964666225046219"/>
        <n v="0.62822389941535528"/>
        <n v="1.5684616115239851"/>
        <n v="1.2885874206200774"/>
        <n v="0.9387446819901919"/>
        <n v="0.65887049108628404"/>
        <n v="0.37899630018237623"/>
        <n v="9.9122109278467652E-2"/>
        <n v="-0.11078353389946341"/>
        <n v="-0.39065772480337124"/>
        <n v="-0.74050046343325659"/>
        <n v="-0.95040610661118696"/>
        <n v="-1.2302802975150955"/>
        <n v="-1.5101544884190041"/>
        <n v="-0.74229863374101868"/>
        <n v="-0.97187553077432354"/>
        <n v="-1.3391985660276113"/>
        <n v="-5.3567942641104441E-2"/>
        <n v="1.3698088189653848"/>
        <n v="-7.6525632344436479E-3"/>
        <n v="0.26783971320552208"/>
        <n v="1.4157241983720465"/>
        <n v="-1.0177909101809848"/>
        <n v="0.40558585142550535"/>
        <n v="-0.40924700118252294"/>
        <n v="-0.45309489416636473"/>
        <n v="-0.48817320855343804"/>
        <n v="-0.52325152294051147"/>
        <n v="-7.6003014505325747E-2"/>
        <n v="0.44140212270400703"/>
        <n v="2.9845799157668282"/>
        <n v="0.16954518620418804"/>
        <n v="2.9231928655894447E-2"/>
        <n v="-0.46186447276313308"/>
        <n v="-0.72495183066618363"/>
        <n v="-0.46327710240665126"/>
        <n v="-0.52521944478971327"/>
        <n v="-0.60264737276854075"/>
        <n v="-0.68007530074736833"/>
        <n v="-0.74201764313043039"/>
        <n v="0.2800310061900928"/>
        <n v="1.2091661419360233"/>
        <n v="2.1692724488734845"/>
        <n v="1.224651727531789"/>
        <n v="-0.29293566085323064"/>
        <n v="-0.95881584147114751"/>
        <n v="-0.61813295836430637"/>
        <n v="-0.22225519999472343"/>
        <n v="-0.34688428410391409"/>
        <n v="1.0489614579190216"/>
        <n v="0.67507420559144982"/>
        <n v="-0.64599408596597185"/>
        <n v="2.6442137345166628"/>
        <n v="-0.74569735325332431"/>
        <n v="-0.37181010092575234"/>
        <n v="-0.49643918503494294"/>
        <n v="-0.59614245232229557"/>
        <n v="-0.72077153643148606"/>
        <n v="-0.31920395002822888"/>
        <n v="0.7448092167325342"/>
        <n v="0.69160855839449631"/>
        <n v="5.3200658338038241E-2"/>
        <n v="2.7398339044089655"/>
        <n v="-0.47880592504234332"/>
        <n v="-0.42560526670430537"/>
        <n v="-0.53200658338038154"/>
        <n v="-0.63840790005645776"/>
        <n v="-0.71820888756351497"/>
        <n v="-0.79800987507057219"/>
        <n v="-0.76999239630537286"/>
        <n v="-1.0329166291901342"/>
        <n v="0.50706816342061145"/>
        <n v="-5.6340907046734535E-2"/>
        <n v="1.4085226761683647"/>
        <n v="0.76999239630537231"/>
        <n v="0.54462876811843453"/>
        <n v="1.3334014667727185"/>
        <n v="-1.1455984432836035"/>
        <n v="-1.4460832808661879"/>
        <n v="0.65731058221190386"/>
      </sharedItems>
    </cacheField>
    <cacheField name="WTD_RET_MINMAXSCALE" numFmtId="4">
      <sharedItems containsMixedTypes="1" containsNumber="1" minValue="0" maxValue="1"/>
    </cacheField>
    <cacheField name="D_RET" numFmtId="10">
      <sharedItems containsSemiMixedTypes="0" containsString="0" containsNumber="1" minValue="-0.77777777777777779" maxValue="2.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0">
  <r>
    <x v="0"/>
    <x v="0"/>
    <n v="0"/>
    <x v="0"/>
    <x v="0"/>
    <x v="0"/>
    <n v="97"/>
    <n v="3"/>
    <n v="0"/>
    <x v="0"/>
    <x v="0"/>
    <s v=""/>
    <n v="0"/>
  </r>
  <r>
    <x v="0"/>
    <x v="0"/>
    <n v="1"/>
    <x v="0"/>
    <x v="0"/>
    <x v="1"/>
    <n v="77"/>
    <n v="3"/>
    <n v="-0.20618556701030932"/>
    <x v="1"/>
    <x v="1"/>
    <n v="0.19047619047619038"/>
    <n v="-0.20618556701030932"/>
  </r>
  <r>
    <x v="0"/>
    <x v="0"/>
    <n v="2"/>
    <x v="0"/>
    <x v="0"/>
    <x v="2"/>
    <n v="73"/>
    <n v="3"/>
    <n v="-0.24742268041237114"/>
    <x v="2"/>
    <x v="2"/>
    <n v="0.15238095238095234"/>
    <n v="-5.1948051948051965E-2"/>
  </r>
  <r>
    <x v="0"/>
    <x v="0"/>
    <n v="3"/>
    <x v="0"/>
    <x v="0"/>
    <x v="3"/>
    <n v="70"/>
    <n v="3"/>
    <n v="-0.27835051546391754"/>
    <x v="3"/>
    <x v="3"/>
    <n v="0.12380952380952376"/>
    <n v="-4.1095890410958957E-2"/>
  </r>
  <r>
    <x v="0"/>
    <x v="0"/>
    <n v="4"/>
    <x v="0"/>
    <x v="0"/>
    <x v="4"/>
    <n v="66"/>
    <n v="3"/>
    <n v="-0.31958762886597936"/>
    <x v="4"/>
    <x v="4"/>
    <n v="8.5714285714285701E-2"/>
    <n v="-5.7142857142857162E-2"/>
  </r>
  <r>
    <x v="0"/>
    <x v="0"/>
    <n v="5"/>
    <x v="0"/>
    <x v="0"/>
    <x v="5"/>
    <n v="63"/>
    <n v="3"/>
    <n v="-0.35051546391752575"/>
    <x v="5"/>
    <x v="5"/>
    <n v="5.7142857142857134E-2"/>
    <n v="-4.5454545454545414E-2"/>
  </r>
  <r>
    <x v="0"/>
    <x v="0"/>
    <n v="6"/>
    <x v="0"/>
    <x v="0"/>
    <x v="6"/>
    <n v="111"/>
    <n v="3"/>
    <n v="0.14432989690721643"/>
    <x v="6"/>
    <x v="6"/>
    <n v="0.51428571428571412"/>
    <n v="0.76190476190476186"/>
  </r>
  <r>
    <x v="0"/>
    <x v="0"/>
    <n v="7"/>
    <x v="0"/>
    <x v="0"/>
    <x v="7"/>
    <n v="101"/>
    <n v="3"/>
    <n v="4.1237113402061931E-2"/>
    <x v="7"/>
    <x v="7"/>
    <n v="0.41904761904761906"/>
    <n v="-9.0090090090090058E-2"/>
  </r>
  <r>
    <x v="0"/>
    <x v="0"/>
    <n v="8"/>
    <x v="0"/>
    <x v="0"/>
    <x v="8"/>
    <n v="57"/>
    <n v="3"/>
    <n v="-0.41237113402061853"/>
    <x v="8"/>
    <x v="8"/>
    <n v="0"/>
    <n v="-0.4356435643564357"/>
  </r>
  <r>
    <x v="0"/>
    <x v="0"/>
    <n v="9"/>
    <x v="0"/>
    <x v="0"/>
    <x v="9"/>
    <n v="162"/>
    <n v="3"/>
    <n v="0.67010309278350522"/>
    <x v="9"/>
    <x v="9"/>
    <n v="1"/>
    <n v="1.8421052631578947"/>
  </r>
  <r>
    <x v="0"/>
    <x v="0"/>
    <n v="10"/>
    <x v="0"/>
    <x v="0"/>
    <x v="10"/>
    <n v="60"/>
    <n v="3"/>
    <n v="-0.38144329896907214"/>
    <x v="10"/>
    <x v="10"/>
    <n v="2.8571428571428567E-2"/>
    <n v="-0.62962962962962965"/>
  </r>
  <r>
    <x v="0"/>
    <x v="0"/>
    <n v="11"/>
    <x v="0"/>
    <x v="0"/>
    <x v="11"/>
    <n v="77"/>
    <n v="3"/>
    <n v="-0.20618556701030932"/>
    <x v="1"/>
    <x v="1"/>
    <n v="0.19047619047619038"/>
    <n v="0.28333333333333344"/>
  </r>
  <r>
    <x v="0"/>
    <x v="0"/>
    <n v="12"/>
    <x v="0"/>
    <x v="0"/>
    <x v="12"/>
    <n v="74"/>
    <n v="3"/>
    <n v="-0.23711340206185572"/>
    <x v="11"/>
    <x v="11"/>
    <n v="0.16190476190476183"/>
    <n v="-3.8961038961038974E-2"/>
  </r>
  <r>
    <x v="0"/>
    <x v="1"/>
    <n v="0"/>
    <x v="1"/>
    <x v="1"/>
    <x v="0"/>
    <n v="93"/>
    <n v="3"/>
    <n v="0"/>
    <x v="0"/>
    <x v="0"/>
    <s v=""/>
    <n v="0"/>
  </r>
  <r>
    <x v="0"/>
    <x v="1"/>
    <n v="1"/>
    <x v="1"/>
    <x v="1"/>
    <x v="1"/>
    <n v="113"/>
    <n v="3"/>
    <n v="0.21505376344086025"/>
    <x v="7"/>
    <x v="12"/>
    <n v="0.79761904761904756"/>
    <n v="0.21505376344086025"/>
  </r>
  <r>
    <x v="0"/>
    <x v="1"/>
    <n v="2"/>
    <x v="1"/>
    <x v="1"/>
    <x v="2"/>
    <n v="102"/>
    <n v="3"/>
    <n v="9.6774193548387011E-2"/>
    <x v="12"/>
    <x v="13"/>
    <n v="0.66666666666666652"/>
    <n v="-9.7345132743362872E-2"/>
  </r>
  <r>
    <x v="0"/>
    <x v="1"/>
    <n v="3"/>
    <x v="1"/>
    <x v="1"/>
    <x v="3"/>
    <n v="130"/>
    <n v="3"/>
    <n v="0.39784946236559149"/>
    <x v="9"/>
    <x v="14"/>
    <n v="1"/>
    <n v="0.27450980392156854"/>
  </r>
  <r>
    <x v="0"/>
    <x v="1"/>
    <n v="4"/>
    <x v="1"/>
    <x v="1"/>
    <x v="4"/>
    <n v="104"/>
    <n v="3"/>
    <n v="0.11827956989247301"/>
    <x v="1"/>
    <x v="15"/>
    <n v="0.69047619047619024"/>
    <n v="-0.19999999999999996"/>
  </r>
  <r>
    <x v="0"/>
    <x v="1"/>
    <n v="5"/>
    <x v="1"/>
    <x v="1"/>
    <x v="5"/>
    <n v="119"/>
    <n v="3"/>
    <n v="0.27956989247311825"/>
    <x v="6"/>
    <x v="16"/>
    <n v="0.86904761904761896"/>
    <n v="0.14423076923076916"/>
  </r>
  <r>
    <x v="0"/>
    <x v="1"/>
    <n v="6"/>
    <x v="1"/>
    <x v="1"/>
    <x v="6"/>
    <n v="98"/>
    <n v="3"/>
    <n v="5.3763440860215006E-2"/>
    <x v="11"/>
    <x v="17"/>
    <n v="0.61904761904761896"/>
    <n v="-0.17647058823529416"/>
  </r>
  <r>
    <x v="0"/>
    <x v="1"/>
    <n v="7"/>
    <x v="1"/>
    <x v="1"/>
    <x v="7"/>
    <n v="63"/>
    <n v="3"/>
    <n v="-0.32258064516129037"/>
    <x v="3"/>
    <x v="18"/>
    <n v="0.2023809523809523"/>
    <n v="-0.3571428571428571"/>
  </r>
  <r>
    <x v="0"/>
    <x v="1"/>
    <n v="8"/>
    <x v="1"/>
    <x v="1"/>
    <x v="8"/>
    <n v="56"/>
    <n v="3"/>
    <n v="-0.39784946236559138"/>
    <x v="5"/>
    <x v="19"/>
    <n v="0.11904761904761905"/>
    <n v="-0.11111111111111116"/>
  </r>
  <r>
    <x v="0"/>
    <x v="1"/>
    <n v="9"/>
    <x v="1"/>
    <x v="1"/>
    <x v="9"/>
    <n v="91"/>
    <n v="3"/>
    <n v="-2.1505376344086002E-2"/>
    <x v="2"/>
    <x v="20"/>
    <n v="0.5357142857142857"/>
    <n v="0.625"/>
  </r>
  <r>
    <x v="0"/>
    <x v="1"/>
    <n v="10"/>
    <x v="1"/>
    <x v="1"/>
    <x v="10"/>
    <n v="63"/>
    <n v="3"/>
    <n v="-0.32258064516129037"/>
    <x v="3"/>
    <x v="18"/>
    <n v="0.2023809523809523"/>
    <n v="-0.30769230769230771"/>
  </r>
  <r>
    <x v="0"/>
    <x v="1"/>
    <n v="11"/>
    <x v="1"/>
    <x v="1"/>
    <x v="11"/>
    <n v="55"/>
    <n v="3"/>
    <n v="-0.40860215053763438"/>
    <x v="10"/>
    <x v="21"/>
    <n v="0.10714285714285716"/>
    <n v="-0.12698412698412698"/>
  </r>
  <r>
    <x v="0"/>
    <x v="1"/>
    <n v="12"/>
    <x v="1"/>
    <x v="1"/>
    <x v="12"/>
    <n v="46"/>
    <n v="3"/>
    <n v="-0.5053763440860215"/>
    <x v="8"/>
    <x v="22"/>
    <n v="0"/>
    <n v="-0.16363636363636369"/>
  </r>
  <r>
    <x v="0"/>
    <x v="2"/>
    <n v="0"/>
    <x v="1"/>
    <x v="2"/>
    <x v="0"/>
    <n v="108"/>
    <n v="0"/>
    <n v="0"/>
    <x v="0"/>
    <x v="0"/>
    <s v=""/>
    <n v="0"/>
  </r>
  <r>
    <x v="0"/>
    <x v="2"/>
    <n v="1"/>
    <x v="1"/>
    <x v="2"/>
    <x v="1"/>
    <n v="147"/>
    <n v="0"/>
    <n v="0.36111111111111116"/>
    <x v="7"/>
    <x v="23"/>
    <n v="0.9750000000000002"/>
    <n v="0.36111111111111116"/>
  </r>
  <r>
    <x v="0"/>
    <x v="2"/>
    <n v="2"/>
    <x v="1"/>
    <x v="2"/>
    <x v="2"/>
    <n v="80"/>
    <n v="0"/>
    <n v="-0.2592592592592593"/>
    <x v="3"/>
    <x v="24"/>
    <n v="0.13750000000000001"/>
    <n v="-0.45578231292517002"/>
  </r>
  <r>
    <x v="0"/>
    <x v="2"/>
    <n v="3"/>
    <x v="1"/>
    <x v="2"/>
    <x v="3"/>
    <n v="74"/>
    <n v="0"/>
    <n v="-0.31481481481481477"/>
    <x v="10"/>
    <x v="25"/>
    <n v="6.2500000000000125E-2"/>
    <n v="-7.4999999999999956E-2"/>
  </r>
  <r>
    <x v="0"/>
    <x v="2"/>
    <n v="4"/>
    <x v="1"/>
    <x v="2"/>
    <x v="4"/>
    <n v="69"/>
    <n v="0"/>
    <n v="-0.36111111111111116"/>
    <x v="8"/>
    <x v="26"/>
    <n v="0"/>
    <n v="-6.7567567567567544E-2"/>
  </r>
  <r>
    <x v="0"/>
    <x v="2"/>
    <n v="5"/>
    <x v="1"/>
    <x v="2"/>
    <x v="5"/>
    <n v="104"/>
    <n v="0"/>
    <n v="-3.703703703703709E-2"/>
    <x v="2"/>
    <x v="27"/>
    <n v="0.4375"/>
    <n v="0.50724637681159424"/>
  </r>
  <r>
    <x v="0"/>
    <x v="2"/>
    <n v="6"/>
    <x v="1"/>
    <x v="2"/>
    <x v="6"/>
    <n v="149"/>
    <n v="0"/>
    <n v="0.37962962962962954"/>
    <x v="9"/>
    <x v="28"/>
    <n v="1"/>
    <n v="0.43269230769230771"/>
  </r>
  <r>
    <x v="0"/>
    <x v="2"/>
    <n v="7"/>
    <x v="1"/>
    <x v="2"/>
    <x v="7"/>
    <n v="118"/>
    <n v="0"/>
    <n v="9.259259259259256E-2"/>
    <x v="12"/>
    <x v="29"/>
    <n v="0.61250000000000004"/>
    <n v="-0.20805369127516782"/>
  </r>
  <r>
    <x v="0"/>
    <x v="2"/>
    <n v="8"/>
    <x v="1"/>
    <x v="2"/>
    <x v="8"/>
    <n v="149"/>
    <n v="0"/>
    <n v="0.37962962962962954"/>
    <x v="9"/>
    <x v="28"/>
    <n v="1"/>
    <n v="0.26271186440677963"/>
  </r>
  <r>
    <x v="0"/>
    <x v="2"/>
    <n v="9"/>
    <x v="1"/>
    <x v="2"/>
    <x v="9"/>
    <n v="80"/>
    <n v="0"/>
    <n v="-0.2592592592592593"/>
    <x v="3"/>
    <x v="24"/>
    <n v="0.13750000000000001"/>
    <n v="-0.46308724832214765"/>
  </r>
  <r>
    <x v="0"/>
    <x v="2"/>
    <n v="10"/>
    <x v="1"/>
    <x v="2"/>
    <x v="10"/>
    <n v="75"/>
    <n v="0"/>
    <n v="-0.30555555555555558"/>
    <x v="5"/>
    <x v="30"/>
    <n v="7.5000000000000039E-2"/>
    <n v="-6.25E-2"/>
  </r>
  <r>
    <x v="0"/>
    <x v="2"/>
    <n v="11"/>
    <x v="1"/>
    <x v="2"/>
    <x v="11"/>
    <n v="114"/>
    <n v="0"/>
    <n v="5.555555555555558E-2"/>
    <x v="11"/>
    <x v="31"/>
    <n v="0.56250000000000011"/>
    <n v="0.52"/>
  </r>
  <r>
    <x v="0"/>
    <x v="2"/>
    <n v="12"/>
    <x v="1"/>
    <x v="2"/>
    <x v="12"/>
    <n v="122"/>
    <n v="0"/>
    <n v="0.12962962962962954"/>
    <x v="1"/>
    <x v="32"/>
    <n v="0.66249999999999998"/>
    <n v="7.0175438596491224E-2"/>
  </r>
  <r>
    <x v="0"/>
    <x v="3"/>
    <n v="0"/>
    <x v="0"/>
    <x v="3"/>
    <x v="0"/>
    <n v="109"/>
    <n v="0"/>
    <n v="0"/>
    <x v="0"/>
    <x v="0"/>
    <s v=""/>
    <n v="0"/>
  </r>
  <r>
    <x v="0"/>
    <x v="3"/>
    <n v="1"/>
    <x v="0"/>
    <x v="3"/>
    <x v="1"/>
    <n v="133"/>
    <n v="0"/>
    <n v="0.22018348623853212"/>
    <x v="7"/>
    <x v="33"/>
    <n v="0.75510204081632637"/>
    <n v="0.22018348623853212"/>
  </r>
  <r>
    <x v="0"/>
    <x v="3"/>
    <n v="2"/>
    <x v="0"/>
    <x v="3"/>
    <x v="2"/>
    <n v="152"/>
    <n v="0"/>
    <n v="0.39449541284403677"/>
    <x v="6"/>
    <x v="34"/>
    <n v="0.88435374149659851"/>
    <n v="0.14285714285714279"/>
  </r>
  <r>
    <x v="0"/>
    <x v="3"/>
    <n v="3"/>
    <x v="0"/>
    <x v="3"/>
    <x v="3"/>
    <n v="50"/>
    <n v="0"/>
    <n v="-0.54128440366972475"/>
    <x v="1"/>
    <x v="35"/>
    <n v="0.19047619047619047"/>
    <n v="-0.67105263157894735"/>
  </r>
  <r>
    <x v="0"/>
    <x v="3"/>
    <n v="4"/>
    <x v="0"/>
    <x v="3"/>
    <x v="4"/>
    <n v="169"/>
    <n v="0"/>
    <n v="0.55045871559633031"/>
    <x v="9"/>
    <x v="36"/>
    <n v="1"/>
    <n v="2.38"/>
  </r>
  <r>
    <x v="0"/>
    <x v="3"/>
    <n v="5"/>
    <x v="0"/>
    <x v="3"/>
    <x v="5"/>
    <n v="47"/>
    <n v="0"/>
    <n v="-0.5688073394495412"/>
    <x v="11"/>
    <x v="37"/>
    <n v="0.17006802721088438"/>
    <n v="-0.72189349112426038"/>
  </r>
  <r>
    <x v="0"/>
    <x v="3"/>
    <n v="6"/>
    <x v="0"/>
    <x v="3"/>
    <x v="6"/>
    <n v="49"/>
    <n v="0"/>
    <n v="-0.55045871559633031"/>
    <x v="12"/>
    <x v="38"/>
    <n v="0.18367346938775506"/>
    <n v="4.2553191489361764E-2"/>
  </r>
  <r>
    <x v="0"/>
    <x v="3"/>
    <n v="7"/>
    <x v="0"/>
    <x v="3"/>
    <x v="7"/>
    <n v="44"/>
    <n v="0"/>
    <n v="-0.59633027522935778"/>
    <x v="2"/>
    <x v="39"/>
    <n v="0.14965986394557823"/>
    <n v="-0.10204081632653061"/>
  </r>
  <r>
    <x v="0"/>
    <x v="3"/>
    <n v="8"/>
    <x v="0"/>
    <x v="3"/>
    <x v="8"/>
    <n v="39"/>
    <n v="0"/>
    <n v="-0.64220183486238525"/>
    <x v="3"/>
    <x v="40"/>
    <n v="0.11564625850340139"/>
    <n v="-0.11363636363636365"/>
  </r>
  <r>
    <x v="0"/>
    <x v="3"/>
    <n v="9"/>
    <x v="0"/>
    <x v="3"/>
    <x v="9"/>
    <n v="35"/>
    <n v="0"/>
    <n v="-0.67889908256880727"/>
    <x v="4"/>
    <x v="41"/>
    <n v="8.8435374149659907E-2"/>
    <n v="-0.10256410256410253"/>
  </r>
  <r>
    <x v="0"/>
    <x v="3"/>
    <n v="10"/>
    <x v="0"/>
    <x v="3"/>
    <x v="10"/>
    <n v="30"/>
    <n v="0"/>
    <n v="-0.72477064220183485"/>
    <x v="5"/>
    <x v="42"/>
    <n v="5.4421768707482991E-2"/>
    <n v="-0.1428571428571429"/>
  </r>
  <r>
    <x v="0"/>
    <x v="3"/>
    <n v="11"/>
    <x v="0"/>
    <x v="3"/>
    <x v="11"/>
    <n v="26"/>
    <n v="0"/>
    <n v="-0.76146788990825687"/>
    <x v="10"/>
    <x v="43"/>
    <n v="2.7210884353741496E-2"/>
    <n v="-0.1333333333333333"/>
  </r>
  <r>
    <x v="0"/>
    <x v="3"/>
    <n v="12"/>
    <x v="0"/>
    <x v="3"/>
    <x v="12"/>
    <n v="22"/>
    <n v="0"/>
    <n v="-0.79816513761467889"/>
    <x v="8"/>
    <x v="44"/>
    <n v="0"/>
    <n v="-0.15384615384615385"/>
  </r>
  <r>
    <x v="0"/>
    <x v="4"/>
    <n v="0"/>
    <x v="0"/>
    <x v="4"/>
    <x v="0"/>
    <n v="102"/>
    <n v="3"/>
    <n v="0"/>
    <x v="0"/>
    <x v="0"/>
    <s v=""/>
    <n v="0"/>
  </r>
  <r>
    <x v="0"/>
    <x v="4"/>
    <n v="1"/>
    <x v="0"/>
    <x v="4"/>
    <x v="1"/>
    <n v="56"/>
    <n v="3"/>
    <n v="-0.4509803921568627"/>
    <x v="12"/>
    <x v="45"/>
    <n v="0.14473684210526325"/>
    <n v="-0.4509803921568627"/>
  </r>
  <r>
    <x v="0"/>
    <x v="4"/>
    <n v="2"/>
    <x v="0"/>
    <x v="4"/>
    <x v="2"/>
    <n v="51"/>
    <n v="3"/>
    <n v="-0.5"/>
    <x v="3"/>
    <x v="46"/>
    <n v="0.11184210526315794"/>
    <n v="-8.9285714285714302E-2"/>
  </r>
  <r>
    <x v="0"/>
    <x v="4"/>
    <n v="3"/>
    <x v="0"/>
    <x v="4"/>
    <x v="3"/>
    <n v="48"/>
    <n v="3"/>
    <n v="-0.52941176470588236"/>
    <x v="4"/>
    <x v="47"/>
    <n v="9.2105263157894773E-2"/>
    <n v="-5.8823529411764719E-2"/>
  </r>
  <r>
    <x v="0"/>
    <x v="4"/>
    <n v="4"/>
    <x v="0"/>
    <x v="4"/>
    <x v="4"/>
    <n v="43"/>
    <n v="3"/>
    <n v="-0.57843137254901955"/>
    <x v="5"/>
    <x v="48"/>
    <n v="5.9210526315789561E-2"/>
    <n v="-0.10416666666666663"/>
  </r>
  <r>
    <x v="0"/>
    <x v="4"/>
    <n v="5"/>
    <x v="0"/>
    <x v="4"/>
    <x v="5"/>
    <n v="39"/>
    <n v="3"/>
    <n v="-0.61764705882352944"/>
    <x v="10"/>
    <x v="49"/>
    <n v="3.2894736842105296E-2"/>
    <n v="-9.3023255813953543E-2"/>
  </r>
  <r>
    <x v="0"/>
    <x v="4"/>
    <n v="6"/>
    <x v="0"/>
    <x v="4"/>
    <x v="6"/>
    <n v="34"/>
    <n v="3"/>
    <n v="-0.66666666666666674"/>
    <x v="8"/>
    <x v="50"/>
    <n v="0"/>
    <n v="-0.12820512820512819"/>
  </r>
  <r>
    <x v="0"/>
    <x v="4"/>
    <n v="7"/>
    <x v="0"/>
    <x v="4"/>
    <x v="7"/>
    <n v="96"/>
    <n v="3"/>
    <n v="-5.8823529411764719E-2"/>
    <x v="7"/>
    <x v="51"/>
    <n v="0.40789473684210531"/>
    <n v="1.8235294117647061"/>
  </r>
  <r>
    <x v="0"/>
    <x v="4"/>
    <n v="8"/>
    <x v="0"/>
    <x v="4"/>
    <x v="8"/>
    <n v="107"/>
    <n v="3"/>
    <n v="4.9019607843137303E-2"/>
    <x v="6"/>
    <x v="52"/>
    <n v="0.48026315789473689"/>
    <n v="0.11458333333333326"/>
  </r>
  <r>
    <x v="0"/>
    <x v="4"/>
    <n v="9"/>
    <x v="0"/>
    <x v="4"/>
    <x v="9"/>
    <n v="72"/>
    <n v="3"/>
    <n v="-0.29411764705882348"/>
    <x v="1"/>
    <x v="53"/>
    <n v="0.25000000000000006"/>
    <n v="-0.32710280373831779"/>
  </r>
  <r>
    <x v="0"/>
    <x v="4"/>
    <n v="10"/>
    <x v="0"/>
    <x v="4"/>
    <x v="10"/>
    <n v="186"/>
    <n v="3"/>
    <n v="0.82352941176470584"/>
    <x v="9"/>
    <x v="54"/>
    <n v="1"/>
    <n v="1.5833333333333335"/>
  </r>
  <r>
    <x v="0"/>
    <x v="4"/>
    <n v="11"/>
    <x v="0"/>
    <x v="4"/>
    <x v="11"/>
    <n v="52"/>
    <n v="3"/>
    <n v="-0.49019607843137258"/>
    <x v="2"/>
    <x v="55"/>
    <n v="0.11842105263157897"/>
    <n v="-0.72043010752688175"/>
  </r>
  <r>
    <x v="0"/>
    <x v="4"/>
    <n v="12"/>
    <x v="0"/>
    <x v="4"/>
    <x v="12"/>
    <n v="56"/>
    <n v="3"/>
    <n v="-0.4509803921568627"/>
    <x v="12"/>
    <x v="45"/>
    <n v="0.14473684210526325"/>
    <n v="7.6923076923076872E-2"/>
  </r>
  <r>
    <x v="0"/>
    <x v="5"/>
    <n v="0"/>
    <x v="2"/>
    <x v="5"/>
    <x v="0"/>
    <n v="101"/>
    <n v="3"/>
    <n v="0"/>
    <x v="0"/>
    <x v="0"/>
    <s v=""/>
    <n v="0"/>
  </r>
  <r>
    <x v="0"/>
    <x v="5"/>
    <n v="1"/>
    <x v="2"/>
    <x v="5"/>
    <x v="1"/>
    <n v="91"/>
    <n v="3"/>
    <n v="-9.9009900990098987E-2"/>
    <x v="9"/>
    <x v="56"/>
    <n v="1"/>
    <n v="-9.9009900990098987E-2"/>
  </r>
  <r>
    <x v="0"/>
    <x v="5"/>
    <n v="2"/>
    <x v="2"/>
    <x v="5"/>
    <x v="2"/>
    <n v="86"/>
    <n v="3"/>
    <n v="-0.14851485148514854"/>
    <x v="6"/>
    <x v="57"/>
    <n v="0.88888888888888884"/>
    <n v="-5.4945054945054972E-2"/>
  </r>
  <r>
    <x v="0"/>
    <x v="5"/>
    <n v="3"/>
    <x v="2"/>
    <x v="5"/>
    <x v="3"/>
    <n v="82"/>
    <n v="3"/>
    <n v="-0.18811881188118806"/>
    <x v="7"/>
    <x v="58"/>
    <n v="0.8"/>
    <n v="-4.6511627906976716E-2"/>
  </r>
  <r>
    <x v="0"/>
    <x v="5"/>
    <n v="4"/>
    <x v="2"/>
    <x v="5"/>
    <x v="4"/>
    <n v="77"/>
    <n v="3"/>
    <n v="-0.23762376237623761"/>
    <x v="1"/>
    <x v="59"/>
    <n v="0.68888888888888888"/>
    <n v="-6.0975609756097615E-2"/>
  </r>
  <r>
    <x v="0"/>
    <x v="5"/>
    <n v="5"/>
    <x v="2"/>
    <x v="5"/>
    <x v="5"/>
    <n v="73"/>
    <n v="3"/>
    <n v="-0.27722772277227725"/>
    <x v="12"/>
    <x v="60"/>
    <n v="0.6"/>
    <n v="-5.1948051948051965E-2"/>
  </r>
  <r>
    <x v="0"/>
    <x v="5"/>
    <n v="6"/>
    <x v="2"/>
    <x v="5"/>
    <x v="6"/>
    <n v="69"/>
    <n v="3"/>
    <n v="-0.31683168316831678"/>
    <x v="11"/>
    <x v="61"/>
    <n v="0.51111111111111129"/>
    <n v="-5.4794520547945202E-2"/>
  </r>
  <r>
    <x v="0"/>
    <x v="5"/>
    <n v="7"/>
    <x v="2"/>
    <x v="5"/>
    <x v="7"/>
    <n v="66"/>
    <n v="3"/>
    <n v="-0.34653465346534651"/>
    <x v="2"/>
    <x v="62"/>
    <n v="0.44444444444444453"/>
    <n v="-4.3478260869565188E-2"/>
  </r>
  <r>
    <x v="0"/>
    <x v="5"/>
    <n v="8"/>
    <x v="2"/>
    <x v="5"/>
    <x v="8"/>
    <n v="61"/>
    <n v="3"/>
    <n v="-0.39603960396039606"/>
    <x v="3"/>
    <x v="63"/>
    <n v="0.33333333333333331"/>
    <n v="-7.5757575757575801E-2"/>
  </r>
  <r>
    <x v="0"/>
    <x v="5"/>
    <n v="9"/>
    <x v="2"/>
    <x v="5"/>
    <x v="9"/>
    <n v="58"/>
    <n v="3"/>
    <n v="-0.42574257425742579"/>
    <x v="4"/>
    <x v="64"/>
    <n v="0.26666666666666661"/>
    <n v="-4.9180327868852514E-2"/>
  </r>
  <r>
    <x v="0"/>
    <x v="5"/>
    <n v="10"/>
    <x v="2"/>
    <x v="5"/>
    <x v="10"/>
    <n v="54"/>
    <n v="3"/>
    <n v="-0.46534653465346532"/>
    <x v="5"/>
    <x v="65"/>
    <n v="0.17777777777777792"/>
    <n v="-6.8965517241379337E-2"/>
  </r>
  <r>
    <x v="0"/>
    <x v="5"/>
    <n v="11"/>
    <x v="2"/>
    <x v="5"/>
    <x v="11"/>
    <n v="50"/>
    <n v="3"/>
    <n v="-0.50495049504950495"/>
    <x v="10"/>
    <x v="66"/>
    <n v="8.8888888888888962E-2"/>
    <n v="-7.407407407407407E-2"/>
  </r>
  <r>
    <x v="0"/>
    <x v="5"/>
    <n v="12"/>
    <x v="2"/>
    <x v="5"/>
    <x v="12"/>
    <n v="46"/>
    <n v="3"/>
    <n v="-0.54455445544554459"/>
    <x v="8"/>
    <x v="67"/>
    <n v="0"/>
    <n v="-7.999999999999996E-2"/>
  </r>
  <r>
    <x v="0"/>
    <x v="6"/>
    <n v="0"/>
    <x v="3"/>
    <x v="6"/>
    <x v="0"/>
    <n v="103"/>
    <n v="2"/>
    <n v="0"/>
    <x v="0"/>
    <x v="0"/>
    <s v=""/>
    <n v="0"/>
  </r>
  <r>
    <x v="0"/>
    <x v="6"/>
    <n v="1"/>
    <x v="3"/>
    <x v="6"/>
    <x v="1"/>
    <n v="91"/>
    <n v="2"/>
    <n v="-0.11650485436893199"/>
    <x v="11"/>
    <x v="68"/>
    <n v="7.6086956521739149E-2"/>
    <n v="-0.11650485436893199"/>
  </r>
  <r>
    <x v="0"/>
    <x v="6"/>
    <n v="2"/>
    <x v="3"/>
    <x v="6"/>
    <x v="2"/>
    <n v="87"/>
    <n v="2"/>
    <n v="-0.15533980582524276"/>
    <x v="2"/>
    <x v="69"/>
    <n v="6.1594202898550707E-2"/>
    <n v="-4.3956043956043911E-2"/>
  </r>
  <r>
    <x v="0"/>
    <x v="6"/>
    <n v="3"/>
    <x v="3"/>
    <x v="6"/>
    <x v="3"/>
    <n v="83"/>
    <n v="2"/>
    <n v="-0.19417475728155342"/>
    <x v="4"/>
    <x v="70"/>
    <n v="4.7101449275362306E-2"/>
    <n v="-4.5977011494252928E-2"/>
  </r>
  <r>
    <x v="0"/>
    <x v="6"/>
    <n v="4"/>
    <x v="3"/>
    <x v="6"/>
    <x v="4"/>
    <n v="80"/>
    <n v="2"/>
    <n v="-0.22330097087378642"/>
    <x v="5"/>
    <x v="71"/>
    <n v="3.6231884057971002E-2"/>
    <n v="-3.6144578313253017E-2"/>
  </r>
  <r>
    <x v="0"/>
    <x v="6"/>
    <n v="5"/>
    <x v="3"/>
    <x v="6"/>
    <x v="5"/>
    <n v="75"/>
    <n v="2"/>
    <n v="-0.27184466019417475"/>
    <x v="10"/>
    <x v="72"/>
    <n v="1.8115942028985501E-2"/>
    <n v="-6.25E-2"/>
  </r>
  <r>
    <x v="0"/>
    <x v="6"/>
    <n v="6"/>
    <x v="3"/>
    <x v="6"/>
    <x v="6"/>
    <n v="70"/>
    <n v="2"/>
    <n v="-0.32038834951456308"/>
    <x v="8"/>
    <x v="73"/>
    <n v="0"/>
    <n v="-6.6666666666666652E-2"/>
  </r>
  <r>
    <x v="0"/>
    <x v="6"/>
    <n v="7"/>
    <x v="3"/>
    <x v="6"/>
    <x v="7"/>
    <n v="117"/>
    <n v="2"/>
    <n v="0.13592233009708732"/>
    <x v="1"/>
    <x v="74"/>
    <n v="0.17028985507246375"/>
    <n v="0.67142857142857149"/>
  </r>
  <r>
    <x v="0"/>
    <x v="6"/>
    <n v="8"/>
    <x v="3"/>
    <x v="6"/>
    <x v="8"/>
    <n v="166"/>
    <n v="2"/>
    <n v="0.61165048543689315"/>
    <x v="7"/>
    <x v="75"/>
    <n v="0.34782608695652173"/>
    <n v="0.41880341880341887"/>
  </r>
  <r>
    <x v="0"/>
    <x v="6"/>
    <n v="9"/>
    <x v="3"/>
    <x v="6"/>
    <x v="9"/>
    <n v="346"/>
    <n v="2"/>
    <n v="2.3592233009708736"/>
    <x v="9"/>
    <x v="76"/>
    <n v="1"/>
    <n v="1.0843373493975905"/>
  </r>
  <r>
    <x v="0"/>
    <x v="6"/>
    <n v="10"/>
    <x v="3"/>
    <x v="6"/>
    <x v="10"/>
    <n v="190"/>
    <n v="2"/>
    <n v="0.84466019417475735"/>
    <x v="6"/>
    <x v="77"/>
    <n v="0.43478260869565222"/>
    <n v="-0.45086705202312138"/>
  </r>
  <r>
    <x v="0"/>
    <x v="6"/>
    <n v="11"/>
    <x v="3"/>
    <x v="6"/>
    <x v="11"/>
    <n v="106"/>
    <n v="2"/>
    <n v="2.9126213592232997E-2"/>
    <x v="12"/>
    <x v="78"/>
    <n v="0.13043478260869565"/>
    <n v="-0.44210526315789478"/>
  </r>
  <r>
    <x v="0"/>
    <x v="6"/>
    <n v="12"/>
    <x v="3"/>
    <x v="6"/>
    <x v="12"/>
    <n v="85"/>
    <n v="2"/>
    <n v="-0.17475728155339809"/>
    <x v="3"/>
    <x v="79"/>
    <n v="5.4347826086956506E-2"/>
    <n v="-0.19811320754716977"/>
  </r>
  <r>
    <x v="0"/>
    <x v="7"/>
    <n v="0"/>
    <x v="1"/>
    <x v="7"/>
    <x v="0"/>
    <n v="98"/>
    <n v="1"/>
    <n v="0"/>
    <x v="0"/>
    <x v="0"/>
    <s v=""/>
    <n v="0"/>
  </r>
  <r>
    <x v="0"/>
    <x v="7"/>
    <n v="1"/>
    <x v="1"/>
    <x v="7"/>
    <x v="1"/>
    <n v="137"/>
    <n v="1"/>
    <n v="0.3979591836734695"/>
    <x v="9"/>
    <x v="80"/>
    <n v="1"/>
    <n v="0.3979591836734695"/>
  </r>
  <r>
    <x v="0"/>
    <x v="7"/>
    <n v="2"/>
    <x v="1"/>
    <x v="7"/>
    <x v="2"/>
    <n v="132"/>
    <n v="1"/>
    <n v="0.34693877551020402"/>
    <x v="7"/>
    <x v="81"/>
    <n v="0.93827160493827144"/>
    <n v="-3.6496350364963459E-2"/>
  </r>
  <r>
    <x v="0"/>
    <x v="7"/>
    <n v="3"/>
    <x v="1"/>
    <x v="7"/>
    <x v="3"/>
    <n v="123"/>
    <n v="1"/>
    <n v="0.25510204081632648"/>
    <x v="1"/>
    <x v="82"/>
    <n v="0.82716049382716028"/>
    <n v="-6.8181818181818232E-2"/>
  </r>
  <r>
    <x v="0"/>
    <x v="7"/>
    <n v="4"/>
    <x v="1"/>
    <x v="7"/>
    <x v="4"/>
    <n v="71"/>
    <n v="1"/>
    <n v="-0.27551020408163263"/>
    <x v="3"/>
    <x v="83"/>
    <n v="0.18518518518518523"/>
    <n v="-0.42276422764227639"/>
  </r>
  <r>
    <x v="0"/>
    <x v="7"/>
    <n v="5"/>
    <x v="1"/>
    <x v="7"/>
    <x v="5"/>
    <n v="62"/>
    <n v="1"/>
    <n v="-0.36734693877551017"/>
    <x v="10"/>
    <x v="84"/>
    <n v="7.4074074074074139E-2"/>
    <n v="-0.12676056338028174"/>
  </r>
  <r>
    <x v="0"/>
    <x v="7"/>
    <n v="6"/>
    <x v="1"/>
    <x v="7"/>
    <x v="6"/>
    <n v="105"/>
    <n v="1"/>
    <n v="7.1428571428571397E-2"/>
    <x v="11"/>
    <x v="85"/>
    <n v="0.60493827160493818"/>
    <n v="0.69354838709677424"/>
  </r>
  <r>
    <x v="0"/>
    <x v="7"/>
    <n v="7"/>
    <x v="1"/>
    <x v="7"/>
    <x v="7"/>
    <n v="107"/>
    <n v="1"/>
    <n v="9.1836734693877542E-2"/>
    <x v="12"/>
    <x v="86"/>
    <n v="0.62962962962962954"/>
    <n v="1.904761904761898E-2"/>
  </r>
  <r>
    <x v="0"/>
    <x v="7"/>
    <n v="8"/>
    <x v="1"/>
    <x v="7"/>
    <x v="8"/>
    <n v="102"/>
    <n v="1"/>
    <n v="4.081632653061229E-2"/>
    <x v="2"/>
    <x v="87"/>
    <n v="0.5679012345679012"/>
    <n v="-4.6728971962616828E-2"/>
  </r>
  <r>
    <x v="0"/>
    <x v="7"/>
    <n v="9"/>
    <x v="1"/>
    <x v="7"/>
    <x v="9"/>
    <n v="134"/>
    <n v="1"/>
    <n v="0.36734693877551017"/>
    <x v="6"/>
    <x v="88"/>
    <n v="0.9629629629629628"/>
    <n v="0.31372549019607843"/>
  </r>
  <r>
    <x v="0"/>
    <x v="7"/>
    <n v="10"/>
    <x v="1"/>
    <x v="7"/>
    <x v="10"/>
    <n v="71"/>
    <n v="1"/>
    <n v="-0.27551020408163263"/>
    <x v="3"/>
    <x v="83"/>
    <n v="0.18518518518518523"/>
    <n v="-0.47014925373134331"/>
  </r>
  <r>
    <x v="0"/>
    <x v="7"/>
    <n v="11"/>
    <x v="1"/>
    <x v="7"/>
    <x v="11"/>
    <n v="64"/>
    <n v="1"/>
    <n v="-0.34693877551020413"/>
    <x v="5"/>
    <x v="89"/>
    <n v="9.8765432098765385E-2"/>
    <n v="-9.8591549295774628E-2"/>
  </r>
  <r>
    <x v="0"/>
    <x v="7"/>
    <n v="12"/>
    <x v="1"/>
    <x v="7"/>
    <x v="12"/>
    <n v="56"/>
    <n v="1"/>
    <n v="-0.4285714285714286"/>
    <x v="8"/>
    <x v="90"/>
    <n v="0"/>
    <n v="-0.125"/>
  </r>
  <r>
    <x v="0"/>
    <x v="8"/>
    <n v="0"/>
    <x v="1"/>
    <x v="8"/>
    <x v="0"/>
    <n v="99"/>
    <n v="0"/>
    <n v="0"/>
    <x v="0"/>
    <x v="0"/>
    <s v=""/>
    <n v="0"/>
  </r>
  <r>
    <x v="0"/>
    <x v="8"/>
    <n v="1"/>
    <x v="1"/>
    <x v="8"/>
    <x v="1"/>
    <n v="95"/>
    <n v="0"/>
    <n v="-4.0404040404040442E-2"/>
    <x v="12"/>
    <x v="91"/>
    <n v="0.43835616438356162"/>
    <n v="-4.0404040404040442E-2"/>
  </r>
  <r>
    <x v="0"/>
    <x v="8"/>
    <n v="2"/>
    <x v="1"/>
    <x v="8"/>
    <x v="2"/>
    <n v="116"/>
    <n v="0"/>
    <n v="0.17171717171717171"/>
    <x v="7"/>
    <x v="92"/>
    <n v="0.72602739726027399"/>
    <n v="0.22105263157894739"/>
  </r>
  <r>
    <x v="0"/>
    <x v="8"/>
    <n v="3"/>
    <x v="1"/>
    <x v="8"/>
    <x v="3"/>
    <n v="91"/>
    <n v="0"/>
    <n v="-8.0808080808080773E-2"/>
    <x v="2"/>
    <x v="93"/>
    <n v="0.38356164383561653"/>
    <n v="-0.21551724137931039"/>
  </r>
  <r>
    <x v="0"/>
    <x v="8"/>
    <n v="4"/>
    <x v="1"/>
    <x v="8"/>
    <x v="4"/>
    <n v="94"/>
    <n v="0"/>
    <n v="-5.0505050505050497E-2"/>
    <x v="11"/>
    <x v="94"/>
    <n v="0.42465753424657537"/>
    <n v="3.2967032967033072E-2"/>
  </r>
  <r>
    <x v="0"/>
    <x v="8"/>
    <n v="5"/>
    <x v="1"/>
    <x v="8"/>
    <x v="5"/>
    <n v="136"/>
    <n v="0"/>
    <n v="0.3737373737373737"/>
    <x v="9"/>
    <x v="95"/>
    <n v="1"/>
    <n v="0.44680851063829796"/>
  </r>
  <r>
    <x v="0"/>
    <x v="8"/>
    <n v="6"/>
    <x v="1"/>
    <x v="8"/>
    <x v="6"/>
    <n v="99"/>
    <n v="0"/>
    <n v="0"/>
    <x v="1"/>
    <x v="96"/>
    <n v="0.49315068493150688"/>
    <n v="-0.2720588235294118"/>
  </r>
  <r>
    <x v="0"/>
    <x v="8"/>
    <n v="7"/>
    <x v="1"/>
    <x v="8"/>
    <x v="7"/>
    <n v="76"/>
    <n v="0"/>
    <n v="-0.23232323232323238"/>
    <x v="3"/>
    <x v="97"/>
    <n v="0.17808219178082185"/>
    <n v="-0.23232323232323238"/>
  </r>
  <r>
    <x v="0"/>
    <x v="8"/>
    <n v="8"/>
    <x v="1"/>
    <x v="8"/>
    <x v="8"/>
    <n v="69"/>
    <n v="0"/>
    <n v="-0.30303030303030298"/>
    <x v="5"/>
    <x v="98"/>
    <n v="8.2191780821917887E-2"/>
    <n v="-9.210526315789469E-2"/>
  </r>
  <r>
    <x v="0"/>
    <x v="8"/>
    <n v="9"/>
    <x v="1"/>
    <x v="8"/>
    <x v="9"/>
    <n v="63"/>
    <n v="0"/>
    <n v="-0.36363636363636365"/>
    <x v="8"/>
    <x v="99"/>
    <n v="0"/>
    <n v="-8.6956521739130488E-2"/>
  </r>
  <r>
    <x v="0"/>
    <x v="8"/>
    <n v="10"/>
    <x v="1"/>
    <x v="8"/>
    <x v="10"/>
    <n v="133"/>
    <n v="0"/>
    <n v="0.34343434343434343"/>
    <x v="6"/>
    <x v="100"/>
    <n v="0.95890410958904115"/>
    <n v="1.1111111111111112"/>
  </r>
  <r>
    <x v="0"/>
    <x v="8"/>
    <n v="11"/>
    <x v="1"/>
    <x v="8"/>
    <x v="11"/>
    <n v="76"/>
    <n v="0"/>
    <n v="-0.23232323232323238"/>
    <x v="3"/>
    <x v="97"/>
    <n v="0.17808219178082185"/>
    <n v="-0.4285714285714286"/>
  </r>
  <r>
    <x v="0"/>
    <x v="8"/>
    <n v="12"/>
    <x v="1"/>
    <x v="8"/>
    <x v="12"/>
    <n v="69"/>
    <n v="0"/>
    <n v="-0.30303030303030298"/>
    <x v="5"/>
    <x v="98"/>
    <n v="8.2191780821917887E-2"/>
    <n v="-9.210526315789469E-2"/>
  </r>
  <r>
    <x v="0"/>
    <x v="9"/>
    <n v="0"/>
    <x v="2"/>
    <x v="9"/>
    <x v="0"/>
    <n v="95"/>
    <n v="0"/>
    <n v="0"/>
    <x v="0"/>
    <x v="0"/>
    <s v=""/>
    <n v="0"/>
  </r>
  <r>
    <x v="0"/>
    <x v="9"/>
    <n v="1"/>
    <x v="2"/>
    <x v="9"/>
    <x v="1"/>
    <n v="83"/>
    <n v="0"/>
    <n v="-0.12631578947368416"/>
    <x v="9"/>
    <x v="101"/>
    <n v="1"/>
    <n v="-0.12631578947368416"/>
  </r>
  <r>
    <x v="0"/>
    <x v="9"/>
    <n v="2"/>
    <x v="2"/>
    <x v="9"/>
    <x v="2"/>
    <n v="79"/>
    <n v="0"/>
    <n v="-0.16842105263157892"/>
    <x v="6"/>
    <x v="102"/>
    <n v="0.89999999999999991"/>
    <n v="-4.8192771084337394E-2"/>
  </r>
  <r>
    <x v="0"/>
    <x v="9"/>
    <n v="3"/>
    <x v="2"/>
    <x v="9"/>
    <x v="3"/>
    <n v="76"/>
    <n v="0"/>
    <n v="-0.19999999999999996"/>
    <x v="7"/>
    <x v="103"/>
    <n v="0.82499999999999996"/>
    <n v="-3.7974683544303778E-2"/>
  </r>
  <r>
    <x v="0"/>
    <x v="9"/>
    <n v="4"/>
    <x v="2"/>
    <x v="9"/>
    <x v="4"/>
    <n v="73"/>
    <n v="0"/>
    <n v="-0.23157894736842111"/>
    <x v="1"/>
    <x v="104"/>
    <n v="0.74999999999999978"/>
    <n v="-3.9473684210526327E-2"/>
  </r>
  <r>
    <x v="0"/>
    <x v="9"/>
    <n v="5"/>
    <x v="2"/>
    <x v="9"/>
    <x v="5"/>
    <n v="70"/>
    <n v="0"/>
    <n v="-0.26315789473684215"/>
    <x v="12"/>
    <x v="105"/>
    <n v="0.67499999999999971"/>
    <n v="-4.1095890410958957E-2"/>
  </r>
  <r>
    <x v="0"/>
    <x v="9"/>
    <n v="6"/>
    <x v="2"/>
    <x v="9"/>
    <x v="6"/>
    <n v="66"/>
    <n v="0"/>
    <n v="-0.30526315789473679"/>
    <x v="11"/>
    <x v="106"/>
    <n v="0.57499999999999996"/>
    <n v="-5.7142857142857162E-2"/>
  </r>
  <r>
    <x v="0"/>
    <x v="9"/>
    <n v="7"/>
    <x v="2"/>
    <x v="9"/>
    <x v="7"/>
    <n v="63"/>
    <n v="0"/>
    <n v="-0.33684210526315794"/>
    <x v="2"/>
    <x v="107"/>
    <n v="0.49999999999999972"/>
    <n v="-4.5454545454545414E-2"/>
  </r>
  <r>
    <x v="0"/>
    <x v="9"/>
    <n v="8"/>
    <x v="2"/>
    <x v="9"/>
    <x v="8"/>
    <n v="60"/>
    <n v="0"/>
    <n v="-0.36842105263157898"/>
    <x v="3"/>
    <x v="108"/>
    <n v="0.42499999999999977"/>
    <n v="-4.7619047619047672E-2"/>
  </r>
  <r>
    <x v="0"/>
    <x v="9"/>
    <n v="9"/>
    <x v="2"/>
    <x v="9"/>
    <x v="9"/>
    <n v="56"/>
    <n v="0"/>
    <n v="-0.41052631578947374"/>
    <x v="4"/>
    <x v="109"/>
    <n v="0.32499999999999973"/>
    <n v="-6.6666666666666652E-2"/>
  </r>
  <r>
    <x v="0"/>
    <x v="9"/>
    <n v="10"/>
    <x v="2"/>
    <x v="9"/>
    <x v="10"/>
    <n v="52"/>
    <n v="0"/>
    <n v="-0.45263157894736838"/>
    <x v="5"/>
    <x v="110"/>
    <n v="0.22499999999999992"/>
    <n v="-7.1428571428571397E-2"/>
  </r>
  <r>
    <x v="0"/>
    <x v="9"/>
    <n v="11"/>
    <x v="2"/>
    <x v="9"/>
    <x v="11"/>
    <n v="47"/>
    <n v="0"/>
    <n v="-0.50526315789473686"/>
    <x v="10"/>
    <x v="111"/>
    <n v="9.9999999999999784E-2"/>
    <n v="-9.6153846153846145E-2"/>
  </r>
  <r>
    <x v="0"/>
    <x v="9"/>
    <n v="12"/>
    <x v="2"/>
    <x v="9"/>
    <x v="12"/>
    <n v="43"/>
    <n v="0"/>
    <n v="-0.5473684210526315"/>
    <x v="8"/>
    <x v="112"/>
    <n v="0"/>
    <n v="-8.5106382978723416E-2"/>
  </r>
  <r>
    <x v="1"/>
    <x v="0"/>
    <n v="0"/>
    <x v="0"/>
    <x v="10"/>
    <x v="0"/>
    <n v="105"/>
    <n v="3"/>
    <n v="0"/>
    <x v="0"/>
    <x v="0"/>
    <s v=""/>
    <n v="0"/>
  </r>
  <r>
    <x v="1"/>
    <x v="0"/>
    <n v="1"/>
    <x v="0"/>
    <x v="10"/>
    <x v="1"/>
    <n v="59"/>
    <n v="3"/>
    <n v="-0.43809523809523809"/>
    <x v="1"/>
    <x v="113"/>
    <n v="0.11403508771929825"/>
    <n v="-0.43809523809523809"/>
  </r>
  <r>
    <x v="1"/>
    <x v="0"/>
    <n v="2"/>
    <x v="0"/>
    <x v="10"/>
    <x v="2"/>
    <n v="53"/>
    <n v="3"/>
    <n v="-0.49523809523809526"/>
    <x v="4"/>
    <x v="114"/>
    <n v="6.1403508771929814E-2"/>
    <n v="-0.10169491525423724"/>
  </r>
  <r>
    <x v="1"/>
    <x v="0"/>
    <n v="3"/>
    <x v="0"/>
    <x v="10"/>
    <x v="3"/>
    <n v="50"/>
    <n v="3"/>
    <n v="-0.52380952380952384"/>
    <x v="10"/>
    <x v="115"/>
    <n v="3.5087719298245591E-2"/>
    <n v="-5.6603773584905648E-2"/>
  </r>
  <r>
    <x v="1"/>
    <x v="0"/>
    <n v="4"/>
    <x v="0"/>
    <x v="10"/>
    <x v="4"/>
    <n v="46"/>
    <n v="3"/>
    <n v="-0.56190476190476191"/>
    <x v="8"/>
    <x v="116"/>
    <n v="0"/>
    <n v="-7.999999999999996E-2"/>
  </r>
  <r>
    <x v="1"/>
    <x v="0"/>
    <n v="5"/>
    <x v="0"/>
    <x v="10"/>
    <x v="5"/>
    <n v="126"/>
    <n v="3"/>
    <n v="0.19999999999999996"/>
    <x v="7"/>
    <x v="117"/>
    <n v="0.70175438596491224"/>
    <n v="1.7391304347826089"/>
  </r>
  <r>
    <x v="1"/>
    <x v="0"/>
    <n v="6"/>
    <x v="0"/>
    <x v="10"/>
    <x v="6"/>
    <n v="145"/>
    <n v="3"/>
    <n v="0.38095238095238093"/>
    <x v="6"/>
    <x v="118"/>
    <n v="0.86842105263157898"/>
    <n v="0.1507936507936507"/>
  </r>
  <r>
    <x v="1"/>
    <x v="0"/>
    <n v="7"/>
    <x v="0"/>
    <x v="10"/>
    <x v="7"/>
    <n v="55"/>
    <n v="3"/>
    <n v="-0.47619047619047616"/>
    <x v="11"/>
    <x v="119"/>
    <n v="7.8947368421052669E-2"/>
    <n v="-0.62068965517241381"/>
  </r>
  <r>
    <x v="1"/>
    <x v="0"/>
    <n v="8"/>
    <x v="0"/>
    <x v="10"/>
    <x v="8"/>
    <n v="160"/>
    <n v="3"/>
    <n v="0.52380952380952372"/>
    <x v="9"/>
    <x v="120"/>
    <n v="1"/>
    <n v="1.9090909090909092"/>
  </r>
  <r>
    <x v="1"/>
    <x v="0"/>
    <n v="9"/>
    <x v="0"/>
    <x v="10"/>
    <x v="9"/>
    <n v="54"/>
    <n v="3"/>
    <n v="-0.48571428571428577"/>
    <x v="2"/>
    <x v="121"/>
    <n v="7.0175438596491183E-2"/>
    <n v="-0.66249999999999998"/>
  </r>
  <r>
    <x v="1"/>
    <x v="0"/>
    <n v="10"/>
    <x v="0"/>
    <x v="10"/>
    <x v="10"/>
    <n v="59"/>
    <n v="3"/>
    <n v="-0.43809523809523809"/>
    <x v="1"/>
    <x v="113"/>
    <n v="0.11403508771929825"/>
    <n v="9.259259259259256E-2"/>
  </r>
  <r>
    <x v="1"/>
    <x v="0"/>
    <n v="11"/>
    <x v="0"/>
    <x v="10"/>
    <x v="11"/>
    <n v="54"/>
    <n v="3"/>
    <n v="-0.48571428571428577"/>
    <x v="2"/>
    <x v="121"/>
    <n v="7.0175438596491183E-2"/>
    <n v="-8.4745762711864403E-2"/>
  </r>
  <r>
    <x v="1"/>
    <x v="0"/>
    <n v="12"/>
    <x v="0"/>
    <x v="10"/>
    <x v="12"/>
    <n v="51"/>
    <n v="3"/>
    <n v="-0.51428571428571423"/>
    <x v="5"/>
    <x v="122"/>
    <n v="4.3859649122807071E-2"/>
    <n v="-5.555555555555558E-2"/>
  </r>
  <r>
    <x v="1"/>
    <x v="1"/>
    <n v="0"/>
    <x v="3"/>
    <x v="11"/>
    <x v="0"/>
    <n v="106"/>
    <n v="3"/>
    <n v="0"/>
    <x v="0"/>
    <x v="0"/>
    <s v=""/>
    <n v="0"/>
  </r>
  <r>
    <x v="1"/>
    <x v="1"/>
    <n v="1"/>
    <x v="3"/>
    <x v="11"/>
    <x v="1"/>
    <n v="91"/>
    <n v="3"/>
    <n v="-0.14150943396226412"/>
    <x v="11"/>
    <x v="123"/>
    <n v="7.487922705314011E-2"/>
    <n v="-0.14150943396226412"/>
  </r>
  <r>
    <x v="1"/>
    <x v="1"/>
    <n v="2"/>
    <x v="3"/>
    <x v="11"/>
    <x v="2"/>
    <n v="86"/>
    <n v="3"/>
    <n v="-0.18867924528301883"/>
    <x v="4"/>
    <x v="124"/>
    <n v="6.2801932367149774E-2"/>
    <n v="-5.4945054945054972E-2"/>
  </r>
  <r>
    <x v="1"/>
    <x v="1"/>
    <n v="3"/>
    <x v="3"/>
    <x v="11"/>
    <x v="3"/>
    <n v="115"/>
    <n v="3"/>
    <n v="8.4905660377358583E-2"/>
    <x v="1"/>
    <x v="125"/>
    <n v="0.13285024154589373"/>
    <n v="0.33720930232558133"/>
  </r>
  <r>
    <x v="1"/>
    <x v="1"/>
    <n v="4"/>
    <x v="3"/>
    <x v="11"/>
    <x v="4"/>
    <n v="209"/>
    <n v="3"/>
    <n v="0.97169811320754707"/>
    <x v="6"/>
    <x v="126"/>
    <n v="0.35990338164251201"/>
    <n v="0.81739130434782603"/>
  </r>
  <r>
    <x v="1"/>
    <x v="1"/>
    <n v="5"/>
    <x v="3"/>
    <x v="11"/>
    <x v="5"/>
    <n v="474"/>
    <n v="3"/>
    <n v="3.4716981132075473"/>
    <x v="9"/>
    <x v="127"/>
    <n v="1"/>
    <n v="1.2679425837320575"/>
  </r>
  <r>
    <x v="1"/>
    <x v="1"/>
    <n v="6"/>
    <x v="3"/>
    <x v="11"/>
    <x v="6"/>
    <n v="206"/>
    <n v="3"/>
    <n v="0.94339622641509435"/>
    <x v="7"/>
    <x v="128"/>
    <n v="0.35265700483091783"/>
    <n v="-0.56540084388185652"/>
  </r>
  <r>
    <x v="1"/>
    <x v="1"/>
    <n v="7"/>
    <x v="3"/>
    <x v="11"/>
    <x v="7"/>
    <n v="115"/>
    <n v="3"/>
    <n v="8.4905660377358583E-2"/>
    <x v="1"/>
    <x v="125"/>
    <n v="0.13285024154589373"/>
    <n v="-0.44174757281553401"/>
  </r>
  <r>
    <x v="1"/>
    <x v="1"/>
    <n v="8"/>
    <x v="3"/>
    <x v="11"/>
    <x v="8"/>
    <n v="60"/>
    <n v="3"/>
    <n v="-0.43396226415094341"/>
    <x v="8"/>
    <x v="129"/>
    <n v="0"/>
    <n v="-0.47826086956521741"/>
  </r>
  <r>
    <x v="1"/>
    <x v="1"/>
    <n v="9"/>
    <x v="3"/>
    <x v="11"/>
    <x v="9"/>
    <n v="90"/>
    <n v="3"/>
    <n v="-0.15094339622641506"/>
    <x v="2"/>
    <x v="130"/>
    <n v="7.2463768115942032E-2"/>
    <n v="0.5"/>
  </r>
  <r>
    <x v="1"/>
    <x v="1"/>
    <n v="10"/>
    <x v="3"/>
    <x v="11"/>
    <x v="10"/>
    <n v="90"/>
    <n v="3"/>
    <n v="-0.15094339622641506"/>
    <x v="2"/>
    <x v="130"/>
    <n v="7.2463768115942032E-2"/>
    <n v="0"/>
  </r>
  <r>
    <x v="1"/>
    <x v="1"/>
    <n v="11"/>
    <x v="3"/>
    <x v="11"/>
    <x v="11"/>
    <n v="67"/>
    <n v="3"/>
    <n v="-0.36792452830188682"/>
    <x v="5"/>
    <x v="131"/>
    <n v="1.6908212560386469E-2"/>
    <n v="-0.25555555555555554"/>
  </r>
  <r>
    <x v="1"/>
    <x v="1"/>
    <n v="12"/>
    <x v="3"/>
    <x v="11"/>
    <x v="12"/>
    <n v="64"/>
    <n v="3"/>
    <n v="-0.39622641509433965"/>
    <x v="10"/>
    <x v="132"/>
    <n v="9.6618357487922683E-3"/>
    <n v="-4.4776119402985093E-2"/>
  </r>
  <r>
    <x v="1"/>
    <x v="2"/>
    <n v="0"/>
    <x v="1"/>
    <x v="12"/>
    <x v="0"/>
    <n v="102"/>
    <n v="1"/>
    <n v="0"/>
    <x v="0"/>
    <x v="0"/>
    <s v=""/>
    <n v="0"/>
  </r>
  <r>
    <x v="1"/>
    <x v="2"/>
    <n v="1"/>
    <x v="1"/>
    <x v="12"/>
    <x v="1"/>
    <n v="123"/>
    <n v="1"/>
    <n v="0.20588235294117641"/>
    <x v="7"/>
    <x v="133"/>
    <n v="0.85185185185185186"/>
    <n v="0.20588235294117641"/>
  </r>
  <r>
    <x v="1"/>
    <x v="2"/>
    <n v="2"/>
    <x v="1"/>
    <x v="12"/>
    <x v="2"/>
    <n v="104"/>
    <n v="1"/>
    <n v="1.9607843137254832E-2"/>
    <x v="2"/>
    <x v="134"/>
    <n v="0.61728395061728392"/>
    <n v="-0.15447154471544711"/>
  </r>
  <r>
    <x v="1"/>
    <x v="2"/>
    <n v="3"/>
    <x v="1"/>
    <x v="12"/>
    <x v="3"/>
    <n v="113"/>
    <n v="1"/>
    <n v="0.10784313725490202"/>
    <x v="12"/>
    <x v="135"/>
    <n v="0.72839506172839519"/>
    <n v="8.6538461538461453E-2"/>
  </r>
  <r>
    <x v="1"/>
    <x v="2"/>
    <n v="4"/>
    <x v="1"/>
    <x v="12"/>
    <x v="4"/>
    <n v="135"/>
    <n v="1"/>
    <n v="0.32352941176470584"/>
    <x v="9"/>
    <x v="136"/>
    <n v="1"/>
    <n v="0.19469026548672574"/>
  </r>
  <r>
    <x v="1"/>
    <x v="2"/>
    <n v="5"/>
    <x v="1"/>
    <x v="12"/>
    <x v="5"/>
    <n v="116"/>
    <n v="1"/>
    <n v="0.13725490196078427"/>
    <x v="1"/>
    <x v="137"/>
    <n v="0.76543209876543206"/>
    <n v="-0.14074074074074072"/>
  </r>
  <r>
    <x v="1"/>
    <x v="2"/>
    <n v="6"/>
    <x v="1"/>
    <x v="12"/>
    <x v="6"/>
    <n v="67"/>
    <n v="1"/>
    <n v="-0.34313725490196079"/>
    <x v="3"/>
    <x v="138"/>
    <n v="0.16049382716049382"/>
    <n v="-0.42241379310344829"/>
  </r>
  <r>
    <x v="1"/>
    <x v="2"/>
    <n v="7"/>
    <x v="1"/>
    <x v="12"/>
    <x v="7"/>
    <n v="60"/>
    <n v="1"/>
    <n v="-0.41176470588235292"/>
    <x v="5"/>
    <x v="139"/>
    <n v="7.4074074074074098E-2"/>
    <n v="-0.10447761194029848"/>
  </r>
  <r>
    <x v="1"/>
    <x v="2"/>
    <n v="8"/>
    <x v="1"/>
    <x v="12"/>
    <x v="8"/>
    <n v="54"/>
    <n v="1"/>
    <n v="-0.47058823529411764"/>
    <x v="8"/>
    <x v="140"/>
    <n v="0"/>
    <n v="-9.9999999999999978E-2"/>
  </r>
  <r>
    <x v="1"/>
    <x v="2"/>
    <n v="9"/>
    <x v="1"/>
    <x v="12"/>
    <x v="9"/>
    <n v="125"/>
    <n v="1"/>
    <n v="0.22549019607843146"/>
    <x v="6"/>
    <x v="141"/>
    <n v="0.87654320987654333"/>
    <n v="1.3148148148148149"/>
  </r>
  <r>
    <x v="1"/>
    <x v="2"/>
    <n v="10"/>
    <x v="1"/>
    <x v="12"/>
    <x v="10"/>
    <n v="67"/>
    <n v="1"/>
    <n v="-0.34313725490196079"/>
    <x v="3"/>
    <x v="138"/>
    <n v="0.16049382716049382"/>
    <n v="-0.46399999999999997"/>
  </r>
  <r>
    <x v="1"/>
    <x v="2"/>
    <n v="11"/>
    <x v="1"/>
    <x v="12"/>
    <x v="11"/>
    <n v="57"/>
    <n v="1"/>
    <n v="-0.44117647058823528"/>
    <x v="10"/>
    <x v="142"/>
    <n v="3.7037037037037049E-2"/>
    <n v="-0.14925373134328357"/>
  </r>
  <r>
    <x v="1"/>
    <x v="2"/>
    <n v="12"/>
    <x v="1"/>
    <x v="12"/>
    <x v="12"/>
    <n v="111"/>
    <n v="1"/>
    <n v="8.8235294117646967E-2"/>
    <x v="11"/>
    <x v="143"/>
    <n v="0.70370370370370361"/>
    <n v="0.94736842105263164"/>
  </r>
  <r>
    <x v="1"/>
    <x v="3"/>
    <n v="0"/>
    <x v="0"/>
    <x v="13"/>
    <x v="0"/>
    <n v="98"/>
    <n v="0"/>
    <n v="0"/>
    <x v="0"/>
    <x v="0"/>
    <s v=""/>
    <n v="0"/>
  </r>
  <r>
    <x v="1"/>
    <x v="3"/>
    <n v="1"/>
    <x v="0"/>
    <x v="13"/>
    <x v="1"/>
    <n v="84"/>
    <n v="0"/>
    <n v="-0.1428571428571429"/>
    <x v="1"/>
    <x v="144"/>
    <n v="0.26399999999999996"/>
    <n v="-0.1428571428571429"/>
  </r>
  <r>
    <x v="1"/>
    <x v="3"/>
    <n v="2"/>
    <x v="0"/>
    <x v="13"/>
    <x v="2"/>
    <n v="80"/>
    <n v="0"/>
    <n v="-0.18367346938775508"/>
    <x v="11"/>
    <x v="145"/>
    <n v="0.23200000000000001"/>
    <n v="-4.7619047619047672E-2"/>
  </r>
  <r>
    <x v="1"/>
    <x v="3"/>
    <n v="3"/>
    <x v="0"/>
    <x v="13"/>
    <x v="3"/>
    <n v="77"/>
    <n v="0"/>
    <n v="-0.2142857142857143"/>
    <x v="3"/>
    <x v="146"/>
    <n v="0.20799999999999996"/>
    <n v="-3.7499999999999978E-2"/>
  </r>
  <r>
    <x v="1"/>
    <x v="3"/>
    <n v="4"/>
    <x v="0"/>
    <x v="13"/>
    <x v="4"/>
    <n v="118"/>
    <n v="0"/>
    <n v="0.20408163265306123"/>
    <x v="6"/>
    <x v="147"/>
    <n v="0.53600000000000003"/>
    <n v="0.53246753246753253"/>
  </r>
  <r>
    <x v="1"/>
    <x v="3"/>
    <n v="5"/>
    <x v="0"/>
    <x v="13"/>
    <x v="5"/>
    <n v="110"/>
    <n v="0"/>
    <n v="0.12244897959183665"/>
    <x v="7"/>
    <x v="148"/>
    <n v="0.47199999999999992"/>
    <n v="-6.7796610169491567E-2"/>
  </r>
  <r>
    <x v="1"/>
    <x v="3"/>
    <n v="6"/>
    <x v="0"/>
    <x v="13"/>
    <x v="6"/>
    <n v="65"/>
    <n v="0"/>
    <n v="-0.33673469387755106"/>
    <x v="10"/>
    <x v="149"/>
    <n v="0.11199999999999995"/>
    <n v="-0.40909090909090906"/>
  </r>
  <r>
    <x v="1"/>
    <x v="3"/>
    <n v="7"/>
    <x v="0"/>
    <x v="13"/>
    <x v="7"/>
    <n v="176"/>
    <n v="0"/>
    <n v="0.79591836734693877"/>
    <x v="9"/>
    <x v="150"/>
    <n v="1"/>
    <n v="1.7076923076923078"/>
  </r>
  <r>
    <x v="1"/>
    <x v="3"/>
    <n v="8"/>
    <x v="0"/>
    <x v="13"/>
    <x v="8"/>
    <n v="51"/>
    <n v="0"/>
    <n v="-0.47959183673469385"/>
    <x v="8"/>
    <x v="151"/>
    <n v="0"/>
    <n v="-0.71022727272727271"/>
  </r>
  <r>
    <x v="1"/>
    <x v="3"/>
    <n v="9"/>
    <x v="0"/>
    <x v="13"/>
    <x v="9"/>
    <n v="84"/>
    <n v="0"/>
    <n v="-0.1428571428571429"/>
    <x v="1"/>
    <x v="144"/>
    <n v="0.26399999999999996"/>
    <n v="0.64705882352941169"/>
  </r>
  <r>
    <x v="1"/>
    <x v="3"/>
    <n v="10"/>
    <x v="0"/>
    <x v="13"/>
    <x v="10"/>
    <n v="80"/>
    <n v="0"/>
    <n v="-0.18367346938775508"/>
    <x v="11"/>
    <x v="145"/>
    <n v="0.23200000000000001"/>
    <n v="-4.7619047619047672E-2"/>
  </r>
  <r>
    <x v="1"/>
    <x v="3"/>
    <n v="11"/>
    <x v="0"/>
    <x v="13"/>
    <x v="11"/>
    <n v="76"/>
    <n v="0"/>
    <n v="-0.22448979591836737"/>
    <x v="4"/>
    <x v="152"/>
    <n v="0.19999999999999996"/>
    <n v="-5.0000000000000044E-2"/>
  </r>
  <r>
    <x v="1"/>
    <x v="3"/>
    <n v="12"/>
    <x v="0"/>
    <x v="13"/>
    <x v="12"/>
    <n v="73"/>
    <n v="0"/>
    <n v="-0.25510204081632648"/>
    <x v="5"/>
    <x v="153"/>
    <n v="0.17600000000000002"/>
    <n v="-3.9473684210526327E-2"/>
  </r>
  <r>
    <x v="1"/>
    <x v="4"/>
    <n v="0"/>
    <x v="3"/>
    <x v="14"/>
    <x v="0"/>
    <n v="93"/>
    <n v="3"/>
    <n v="0"/>
    <x v="0"/>
    <x v="0"/>
    <s v=""/>
    <n v="0"/>
  </r>
  <r>
    <x v="1"/>
    <x v="4"/>
    <n v="1"/>
    <x v="3"/>
    <x v="14"/>
    <x v="1"/>
    <n v="83"/>
    <n v="3"/>
    <n v="-0.10752688172043012"/>
    <x v="11"/>
    <x v="154"/>
    <n v="0.18421052631578946"/>
    <n v="-0.10752688172043012"/>
  </r>
  <r>
    <x v="1"/>
    <x v="4"/>
    <n v="2"/>
    <x v="3"/>
    <x v="14"/>
    <x v="2"/>
    <n v="79"/>
    <n v="3"/>
    <n v="-0.15053763440860213"/>
    <x v="2"/>
    <x v="155"/>
    <n v="0.16315789473684211"/>
    <n v="-4.8192771084337394E-2"/>
  </r>
  <r>
    <x v="1"/>
    <x v="4"/>
    <n v="3"/>
    <x v="3"/>
    <x v="14"/>
    <x v="3"/>
    <n v="122"/>
    <n v="3"/>
    <n v="0.31182795698924726"/>
    <x v="1"/>
    <x v="156"/>
    <n v="0.38947368421052631"/>
    <n v="0.54430379746835444"/>
  </r>
  <r>
    <x v="1"/>
    <x v="4"/>
    <n v="4"/>
    <x v="3"/>
    <x v="14"/>
    <x v="4"/>
    <n v="174"/>
    <n v="3"/>
    <n v="0.87096774193548376"/>
    <x v="7"/>
    <x v="157"/>
    <n v="0.66315789473684206"/>
    <n v="0.42622950819672134"/>
  </r>
  <r>
    <x v="1"/>
    <x v="4"/>
    <n v="5"/>
    <x v="3"/>
    <x v="14"/>
    <x v="5"/>
    <n v="238"/>
    <n v="3"/>
    <n v="1.5591397849462365"/>
    <x v="9"/>
    <x v="158"/>
    <n v="1"/>
    <n v="0.36781609195402298"/>
  </r>
  <r>
    <x v="1"/>
    <x v="4"/>
    <n v="6"/>
    <x v="3"/>
    <x v="14"/>
    <x v="6"/>
    <n v="185"/>
    <n v="3"/>
    <n v="0.989247311827957"/>
    <x v="6"/>
    <x v="159"/>
    <n v="0.72105263157894739"/>
    <n v="-0.22268907563025209"/>
  </r>
  <r>
    <x v="1"/>
    <x v="4"/>
    <n v="7"/>
    <x v="3"/>
    <x v="14"/>
    <x v="7"/>
    <n v="111"/>
    <n v="3"/>
    <n v="0.19354838709677424"/>
    <x v="12"/>
    <x v="160"/>
    <n v="0.33157894736842108"/>
    <n v="-0.4"/>
  </r>
  <r>
    <x v="1"/>
    <x v="4"/>
    <n v="8"/>
    <x v="3"/>
    <x v="14"/>
    <x v="8"/>
    <n v="76"/>
    <n v="3"/>
    <n v="-0.18279569892473113"/>
    <x v="3"/>
    <x v="161"/>
    <n v="0.14736842105263162"/>
    <n v="-0.31531531531531531"/>
  </r>
  <r>
    <x v="1"/>
    <x v="4"/>
    <n v="9"/>
    <x v="3"/>
    <x v="14"/>
    <x v="9"/>
    <n v="55"/>
    <n v="3"/>
    <n v="-0.40860215053763438"/>
    <x v="10"/>
    <x v="162"/>
    <n v="3.6842105263157919E-2"/>
    <n v="-0.27631578947368418"/>
  </r>
  <r>
    <x v="1"/>
    <x v="4"/>
    <n v="10"/>
    <x v="3"/>
    <x v="14"/>
    <x v="10"/>
    <n v="61"/>
    <n v="3"/>
    <n v="-0.34408602150537637"/>
    <x v="5"/>
    <x v="163"/>
    <n v="6.8421052631578938E-2"/>
    <n v="0.10909090909090913"/>
  </r>
  <r>
    <x v="1"/>
    <x v="4"/>
    <n v="11"/>
    <x v="3"/>
    <x v="14"/>
    <x v="11"/>
    <n v="48"/>
    <n v="3"/>
    <n v="-0.4838709677419355"/>
    <x v="8"/>
    <x v="164"/>
    <n v="0"/>
    <n v="-0.21311475409836067"/>
  </r>
  <r>
    <x v="1"/>
    <x v="4"/>
    <n v="12"/>
    <x v="3"/>
    <x v="14"/>
    <x v="12"/>
    <n v="65"/>
    <n v="3"/>
    <n v="-0.30107526881720426"/>
    <x v="4"/>
    <x v="165"/>
    <n v="8.9473684210526344E-2"/>
    <n v="0.35416666666666674"/>
  </r>
  <r>
    <x v="1"/>
    <x v="5"/>
    <n v="0"/>
    <x v="1"/>
    <x v="15"/>
    <x v="0"/>
    <n v="107"/>
    <n v="1"/>
    <n v="0"/>
    <x v="0"/>
    <x v="0"/>
    <s v=""/>
    <n v="0"/>
  </r>
  <r>
    <x v="1"/>
    <x v="5"/>
    <n v="1"/>
    <x v="1"/>
    <x v="15"/>
    <x v="1"/>
    <n v="82"/>
    <n v="1"/>
    <n v="-0.23364485981308414"/>
    <x v="3"/>
    <x v="166"/>
    <n v="0.18421052631578949"/>
    <n v="-0.23364485981308414"/>
  </r>
  <r>
    <x v="1"/>
    <x v="5"/>
    <n v="2"/>
    <x v="1"/>
    <x v="15"/>
    <x v="2"/>
    <n v="72"/>
    <n v="1"/>
    <n v="-0.32710280373831779"/>
    <x v="10"/>
    <x v="167"/>
    <n v="5.2631578947368432E-2"/>
    <n v="-0.12195121951219512"/>
  </r>
  <r>
    <x v="1"/>
    <x v="5"/>
    <n v="3"/>
    <x v="1"/>
    <x v="15"/>
    <x v="3"/>
    <n v="138"/>
    <n v="1"/>
    <n v="0.28971962616822422"/>
    <x v="7"/>
    <x v="168"/>
    <n v="0.92105263157894735"/>
    <n v="0.91666666666666674"/>
  </r>
  <r>
    <x v="1"/>
    <x v="5"/>
    <n v="4"/>
    <x v="1"/>
    <x v="15"/>
    <x v="4"/>
    <n v="136"/>
    <n v="1"/>
    <n v="0.27102803738317749"/>
    <x v="12"/>
    <x v="169"/>
    <n v="0.89473684210526316"/>
    <n v="-1.4492753623188359E-2"/>
  </r>
  <r>
    <x v="1"/>
    <x v="5"/>
    <n v="5"/>
    <x v="1"/>
    <x v="15"/>
    <x v="5"/>
    <n v="125"/>
    <n v="1"/>
    <n v="0.16822429906542058"/>
    <x v="11"/>
    <x v="170"/>
    <n v="0.75000000000000011"/>
    <n v="-8.0882352941176516E-2"/>
  </r>
  <r>
    <x v="1"/>
    <x v="5"/>
    <n v="6"/>
    <x v="1"/>
    <x v="15"/>
    <x v="6"/>
    <n v="142"/>
    <n v="1"/>
    <n v="0.32710280373831768"/>
    <x v="6"/>
    <x v="171"/>
    <n v="0.97368421052631582"/>
    <n v="0.1359999999999999"/>
  </r>
  <r>
    <x v="1"/>
    <x v="5"/>
    <n v="7"/>
    <x v="1"/>
    <x v="15"/>
    <x v="7"/>
    <n v="137"/>
    <n v="1"/>
    <n v="0.28037383177570097"/>
    <x v="1"/>
    <x v="172"/>
    <n v="0.90789473684210542"/>
    <n v="-3.5211267605633756E-2"/>
  </r>
  <r>
    <x v="1"/>
    <x v="5"/>
    <n v="8"/>
    <x v="1"/>
    <x v="15"/>
    <x v="8"/>
    <n v="115"/>
    <n v="1"/>
    <n v="7.4766355140186924E-2"/>
    <x v="2"/>
    <x v="173"/>
    <n v="0.61842105263157909"/>
    <n v="-0.16058394160583944"/>
  </r>
  <r>
    <x v="1"/>
    <x v="5"/>
    <n v="9"/>
    <x v="1"/>
    <x v="15"/>
    <x v="9"/>
    <n v="144"/>
    <n v="1"/>
    <n v="0.34579439252336441"/>
    <x v="9"/>
    <x v="174"/>
    <n v="1"/>
    <n v="0.25217391304347836"/>
  </r>
  <r>
    <x v="1"/>
    <x v="5"/>
    <n v="10"/>
    <x v="1"/>
    <x v="15"/>
    <x v="10"/>
    <n v="82"/>
    <n v="1"/>
    <n v="-0.23364485981308414"/>
    <x v="3"/>
    <x v="166"/>
    <n v="0.18421052631578949"/>
    <n v="-0.43055555555555558"/>
  </r>
  <r>
    <x v="1"/>
    <x v="5"/>
    <n v="11"/>
    <x v="1"/>
    <x v="15"/>
    <x v="11"/>
    <n v="74"/>
    <n v="1"/>
    <n v="-0.30841121495327106"/>
    <x v="5"/>
    <x v="175"/>
    <n v="7.8947368421052641E-2"/>
    <n v="-9.7560975609756073E-2"/>
  </r>
  <r>
    <x v="1"/>
    <x v="5"/>
    <n v="12"/>
    <x v="1"/>
    <x v="15"/>
    <x v="12"/>
    <n v="68"/>
    <n v="1"/>
    <n v="-0.36448598130841126"/>
    <x v="8"/>
    <x v="176"/>
    <n v="0"/>
    <n v="-8.108108108108103E-2"/>
  </r>
  <r>
    <x v="1"/>
    <x v="6"/>
    <n v="0"/>
    <x v="0"/>
    <x v="16"/>
    <x v="0"/>
    <n v="100"/>
    <n v="0"/>
    <n v="0"/>
    <x v="0"/>
    <x v="0"/>
    <s v=""/>
    <n v="0"/>
  </r>
  <r>
    <x v="1"/>
    <x v="6"/>
    <n v="1"/>
    <x v="0"/>
    <x v="16"/>
    <x v="1"/>
    <n v="55"/>
    <n v="0"/>
    <n v="-0.44999999999999996"/>
    <x v="11"/>
    <x v="177"/>
    <n v="0.13548387096774192"/>
    <n v="-0.44999999999999996"/>
  </r>
  <r>
    <x v="1"/>
    <x v="6"/>
    <n v="2"/>
    <x v="0"/>
    <x v="16"/>
    <x v="2"/>
    <n v="114"/>
    <n v="0"/>
    <n v="0.1399999999999999"/>
    <x v="6"/>
    <x v="178"/>
    <n v="0.5161290322580645"/>
    <n v="1.0727272727272728"/>
  </r>
  <r>
    <x v="1"/>
    <x v="6"/>
    <n v="3"/>
    <x v="0"/>
    <x v="16"/>
    <x v="3"/>
    <n v="114"/>
    <n v="0"/>
    <n v="0.1399999999999999"/>
    <x v="6"/>
    <x v="178"/>
    <n v="0.5161290322580645"/>
    <n v="0"/>
  </r>
  <r>
    <x v="1"/>
    <x v="6"/>
    <n v="4"/>
    <x v="0"/>
    <x v="16"/>
    <x v="4"/>
    <n v="60"/>
    <n v="0"/>
    <n v="-0.4"/>
    <x v="12"/>
    <x v="179"/>
    <n v="0.16774193548387092"/>
    <n v="-0.47368421052631582"/>
  </r>
  <r>
    <x v="1"/>
    <x v="6"/>
    <n v="5"/>
    <x v="0"/>
    <x v="16"/>
    <x v="5"/>
    <n v="189"/>
    <n v="0"/>
    <n v="0.8899999999999999"/>
    <x v="9"/>
    <x v="180"/>
    <n v="1"/>
    <n v="2.15"/>
  </r>
  <r>
    <x v="1"/>
    <x v="6"/>
    <n v="6"/>
    <x v="0"/>
    <x v="16"/>
    <x v="6"/>
    <n v="72"/>
    <n v="0"/>
    <n v="-0.28000000000000003"/>
    <x v="1"/>
    <x v="181"/>
    <n v="0.24516129032258061"/>
    <n v="-0.61904761904761907"/>
  </r>
  <r>
    <x v="1"/>
    <x v="6"/>
    <n v="7"/>
    <x v="0"/>
    <x v="16"/>
    <x v="7"/>
    <n v="55"/>
    <n v="0"/>
    <n v="-0.44999999999999996"/>
    <x v="11"/>
    <x v="177"/>
    <n v="0.13548387096774192"/>
    <n v="-0.23611111111111116"/>
  </r>
  <r>
    <x v="1"/>
    <x v="6"/>
    <n v="8"/>
    <x v="0"/>
    <x v="16"/>
    <x v="8"/>
    <n v="52"/>
    <n v="0"/>
    <n v="-0.48"/>
    <x v="3"/>
    <x v="182"/>
    <n v="0.11612903225806449"/>
    <n v="-5.4545454545454564E-2"/>
  </r>
  <r>
    <x v="1"/>
    <x v="6"/>
    <n v="9"/>
    <x v="0"/>
    <x v="16"/>
    <x v="9"/>
    <n v="47"/>
    <n v="0"/>
    <n v="-0.53"/>
    <x v="4"/>
    <x v="183"/>
    <n v="8.387096774193542E-2"/>
    <n v="-9.6153846153846145E-2"/>
  </r>
  <r>
    <x v="1"/>
    <x v="6"/>
    <n v="10"/>
    <x v="0"/>
    <x v="16"/>
    <x v="10"/>
    <n v="42"/>
    <n v="0"/>
    <n v="-0.58000000000000007"/>
    <x v="5"/>
    <x v="184"/>
    <n v="5.1612903225806361E-2"/>
    <n v="-0.1063829787234043"/>
  </r>
  <r>
    <x v="1"/>
    <x v="6"/>
    <n v="11"/>
    <x v="0"/>
    <x v="16"/>
    <x v="11"/>
    <n v="38"/>
    <n v="0"/>
    <n v="-0.62"/>
    <x v="10"/>
    <x v="185"/>
    <n v="2.5806451612903181E-2"/>
    <n v="-9.5238095238095233E-2"/>
  </r>
  <r>
    <x v="1"/>
    <x v="6"/>
    <n v="12"/>
    <x v="0"/>
    <x v="16"/>
    <x v="12"/>
    <n v="34"/>
    <n v="0"/>
    <n v="-0.65999999999999992"/>
    <x v="8"/>
    <x v="186"/>
    <n v="0"/>
    <n v="-0.10526315789473684"/>
  </r>
  <r>
    <x v="1"/>
    <x v="7"/>
    <n v="0"/>
    <x v="1"/>
    <x v="17"/>
    <x v="0"/>
    <n v="107"/>
    <n v="3"/>
    <n v="0"/>
    <x v="0"/>
    <x v="0"/>
    <s v=""/>
    <n v="0"/>
  </r>
  <r>
    <x v="1"/>
    <x v="7"/>
    <n v="1"/>
    <x v="1"/>
    <x v="17"/>
    <x v="1"/>
    <n v="114"/>
    <n v="3"/>
    <n v="6.5420560747663448E-2"/>
    <x v="1"/>
    <x v="187"/>
    <n v="0.69135802469135788"/>
    <n v="6.5420560747663448E-2"/>
  </r>
  <r>
    <x v="1"/>
    <x v="7"/>
    <n v="2"/>
    <x v="1"/>
    <x v="17"/>
    <x v="2"/>
    <n v="138"/>
    <n v="3"/>
    <n v="0.28971962616822422"/>
    <x v="6"/>
    <x v="188"/>
    <n v="0.98765432098765416"/>
    <n v="0.21052631578947367"/>
  </r>
  <r>
    <x v="1"/>
    <x v="7"/>
    <n v="3"/>
    <x v="1"/>
    <x v="17"/>
    <x v="3"/>
    <n v="109"/>
    <n v="3"/>
    <n v="1.8691588785046731E-2"/>
    <x v="12"/>
    <x v="189"/>
    <n v="0.62962962962962965"/>
    <n v="-0.21014492753623193"/>
  </r>
  <r>
    <x v="1"/>
    <x v="7"/>
    <n v="4"/>
    <x v="1"/>
    <x v="17"/>
    <x v="4"/>
    <n v="103"/>
    <n v="3"/>
    <n v="-3.7383177570093462E-2"/>
    <x v="2"/>
    <x v="190"/>
    <n v="0.55555555555555558"/>
    <n v="-5.5045871559633031E-2"/>
  </r>
  <r>
    <x v="1"/>
    <x v="7"/>
    <n v="5"/>
    <x v="1"/>
    <x v="17"/>
    <x v="5"/>
    <n v="109"/>
    <n v="3"/>
    <n v="1.8691588785046731E-2"/>
    <x v="12"/>
    <x v="189"/>
    <n v="0.62962962962962965"/>
    <n v="5.8252427184465994E-2"/>
  </r>
  <r>
    <x v="1"/>
    <x v="7"/>
    <n v="6"/>
    <x v="1"/>
    <x v="17"/>
    <x v="6"/>
    <n v="128"/>
    <n v="3"/>
    <n v="0.19626168224299056"/>
    <x v="7"/>
    <x v="191"/>
    <n v="0.86419753086419737"/>
    <n v="0.17431192660550465"/>
  </r>
  <r>
    <x v="1"/>
    <x v="7"/>
    <n v="7"/>
    <x v="1"/>
    <x v="17"/>
    <x v="7"/>
    <n v="74"/>
    <n v="3"/>
    <n v="-0.30841121495327106"/>
    <x v="3"/>
    <x v="192"/>
    <n v="0.19753086419753085"/>
    <n v="-0.421875"/>
  </r>
  <r>
    <x v="1"/>
    <x v="7"/>
    <n v="8"/>
    <x v="1"/>
    <x v="17"/>
    <x v="8"/>
    <n v="64"/>
    <n v="3"/>
    <n v="-0.40186915887850472"/>
    <x v="10"/>
    <x v="193"/>
    <n v="7.407407407407407E-2"/>
    <n v="-0.13513513513513509"/>
  </r>
  <r>
    <x v="1"/>
    <x v="7"/>
    <n v="9"/>
    <x v="1"/>
    <x v="17"/>
    <x v="9"/>
    <n v="58"/>
    <n v="3"/>
    <n v="-0.45794392523364491"/>
    <x v="8"/>
    <x v="194"/>
    <n v="0"/>
    <n v="-9.375E-2"/>
  </r>
  <r>
    <x v="1"/>
    <x v="7"/>
    <n v="10"/>
    <x v="1"/>
    <x v="17"/>
    <x v="10"/>
    <n v="139"/>
    <n v="3"/>
    <n v="0.2990654205607477"/>
    <x v="9"/>
    <x v="195"/>
    <n v="1"/>
    <n v="1.396551724137931"/>
  </r>
  <r>
    <x v="1"/>
    <x v="7"/>
    <n v="11"/>
    <x v="1"/>
    <x v="17"/>
    <x v="11"/>
    <n v="74"/>
    <n v="3"/>
    <n v="-0.30841121495327106"/>
    <x v="3"/>
    <x v="192"/>
    <n v="0.19753086419753085"/>
    <n v="-0.46762589928057552"/>
  </r>
  <r>
    <x v="1"/>
    <x v="7"/>
    <n v="12"/>
    <x v="1"/>
    <x v="17"/>
    <x v="12"/>
    <n v="66"/>
    <n v="3"/>
    <n v="-0.38317757009345799"/>
    <x v="5"/>
    <x v="196"/>
    <n v="9.8765432098765427E-2"/>
    <n v="-0.10810810810810811"/>
  </r>
  <r>
    <x v="1"/>
    <x v="8"/>
    <n v="0"/>
    <x v="3"/>
    <x v="18"/>
    <x v="0"/>
    <n v="101"/>
    <n v="0"/>
    <n v="0"/>
    <x v="0"/>
    <x v="0"/>
    <s v=""/>
    <n v="0"/>
  </r>
  <r>
    <x v="1"/>
    <x v="8"/>
    <n v="1"/>
    <x v="3"/>
    <x v="18"/>
    <x v="1"/>
    <n v="89"/>
    <n v="0"/>
    <n v="-0.11881188118811881"/>
    <x v="11"/>
    <x v="197"/>
    <n v="0.15822784810126581"/>
    <n v="-0.11881188118811881"/>
  </r>
  <r>
    <x v="1"/>
    <x v="8"/>
    <n v="2"/>
    <x v="3"/>
    <x v="18"/>
    <x v="2"/>
    <n v="85"/>
    <n v="0"/>
    <n v="-0.15841584158415845"/>
    <x v="2"/>
    <x v="198"/>
    <n v="0.13291139240506325"/>
    <n v="-4.49438202247191E-2"/>
  </r>
  <r>
    <x v="1"/>
    <x v="8"/>
    <n v="3"/>
    <x v="3"/>
    <x v="18"/>
    <x v="3"/>
    <n v="81"/>
    <n v="0"/>
    <n v="-0.19801980198019797"/>
    <x v="3"/>
    <x v="199"/>
    <n v="0.10759493670886078"/>
    <n v="-4.705882352941182E-2"/>
  </r>
  <r>
    <x v="1"/>
    <x v="8"/>
    <n v="4"/>
    <x v="3"/>
    <x v="18"/>
    <x v="4"/>
    <n v="77"/>
    <n v="0"/>
    <n v="-0.23762376237623761"/>
    <x v="4"/>
    <x v="200"/>
    <n v="8.2278481012658222E-2"/>
    <n v="-4.9382716049382713E-2"/>
  </r>
  <r>
    <x v="1"/>
    <x v="8"/>
    <n v="5"/>
    <x v="3"/>
    <x v="18"/>
    <x v="5"/>
    <n v="72"/>
    <n v="0"/>
    <n v="-0.28712871287128716"/>
    <x v="5"/>
    <x v="201"/>
    <n v="5.0632911392405035E-2"/>
    <n v="-6.4935064935064957E-2"/>
  </r>
  <r>
    <x v="1"/>
    <x v="8"/>
    <n v="6"/>
    <x v="3"/>
    <x v="18"/>
    <x v="6"/>
    <n v="68"/>
    <n v="0"/>
    <n v="-0.32673267326732669"/>
    <x v="10"/>
    <x v="202"/>
    <n v="2.5316455696202552E-2"/>
    <n v="-5.555555555555558E-2"/>
  </r>
  <r>
    <x v="1"/>
    <x v="8"/>
    <n v="7"/>
    <x v="3"/>
    <x v="18"/>
    <x v="7"/>
    <n v="98"/>
    <n v="0"/>
    <n v="-2.9702970297029729E-2"/>
    <x v="1"/>
    <x v="203"/>
    <n v="0.2151898734177215"/>
    <n v="0.44117647058823528"/>
  </r>
  <r>
    <x v="1"/>
    <x v="8"/>
    <n v="8"/>
    <x v="3"/>
    <x v="18"/>
    <x v="8"/>
    <n v="164"/>
    <n v="0"/>
    <n v="0.62376237623762387"/>
    <x v="6"/>
    <x v="204"/>
    <n v="0.63291139240506333"/>
    <n v="0.67346938775510212"/>
  </r>
  <r>
    <x v="1"/>
    <x v="8"/>
    <n v="9"/>
    <x v="3"/>
    <x v="18"/>
    <x v="9"/>
    <n v="222"/>
    <n v="0"/>
    <n v="1.1980198019801982"/>
    <x v="9"/>
    <x v="205"/>
    <n v="1"/>
    <n v="0.35365853658536595"/>
  </r>
  <r>
    <x v="1"/>
    <x v="8"/>
    <n v="10"/>
    <x v="3"/>
    <x v="18"/>
    <x v="10"/>
    <n v="146"/>
    <n v="0"/>
    <n v="0.4455445544554455"/>
    <x v="7"/>
    <x v="206"/>
    <n v="0.51898734177215189"/>
    <n v="-0.34234234234234229"/>
  </r>
  <r>
    <x v="1"/>
    <x v="8"/>
    <n v="11"/>
    <x v="3"/>
    <x v="18"/>
    <x v="11"/>
    <n v="96"/>
    <n v="0"/>
    <n v="-4.9504950495049549E-2"/>
    <x v="12"/>
    <x v="207"/>
    <n v="0.20253164556962022"/>
    <n v="-0.34246575342465757"/>
  </r>
  <r>
    <x v="1"/>
    <x v="8"/>
    <n v="12"/>
    <x v="3"/>
    <x v="18"/>
    <x v="12"/>
    <n v="64"/>
    <n v="0"/>
    <n v="-0.36633663366336633"/>
    <x v="8"/>
    <x v="208"/>
    <n v="0"/>
    <n v="-0.33333333333333337"/>
  </r>
  <r>
    <x v="1"/>
    <x v="9"/>
    <n v="0"/>
    <x v="1"/>
    <x v="19"/>
    <x v="0"/>
    <n v="105"/>
    <n v="1"/>
    <n v="0"/>
    <x v="0"/>
    <x v="0"/>
    <s v=""/>
    <n v="0"/>
  </r>
  <r>
    <x v="1"/>
    <x v="9"/>
    <n v="1"/>
    <x v="1"/>
    <x v="19"/>
    <x v="1"/>
    <n v="64"/>
    <n v="1"/>
    <n v="-0.39047619047619042"/>
    <x v="3"/>
    <x v="209"/>
    <n v="0.12790697674418613"/>
    <n v="-0.39047619047619042"/>
  </r>
  <r>
    <x v="1"/>
    <x v="9"/>
    <n v="2"/>
    <x v="1"/>
    <x v="19"/>
    <x v="2"/>
    <n v="59"/>
    <n v="1"/>
    <n v="-0.43809523809523809"/>
    <x v="5"/>
    <x v="210"/>
    <n v="6.9767441860465143E-2"/>
    <n v="-7.8125E-2"/>
  </r>
  <r>
    <x v="1"/>
    <x v="9"/>
    <n v="3"/>
    <x v="1"/>
    <x v="19"/>
    <x v="3"/>
    <n v="53"/>
    <n v="1"/>
    <n v="-0.49523809523809526"/>
    <x v="8"/>
    <x v="211"/>
    <n v="0"/>
    <n v="-0.10169491525423724"/>
  </r>
  <r>
    <x v="1"/>
    <x v="9"/>
    <n v="4"/>
    <x v="1"/>
    <x v="19"/>
    <x v="4"/>
    <n v="97"/>
    <n v="1"/>
    <n v="-7.6190476190476142E-2"/>
    <x v="2"/>
    <x v="212"/>
    <n v="0.51162790697674432"/>
    <n v="0.83018867924528306"/>
  </r>
  <r>
    <x v="1"/>
    <x v="9"/>
    <n v="5"/>
    <x v="1"/>
    <x v="19"/>
    <x v="5"/>
    <n v="131"/>
    <n v="1"/>
    <n v="0.24761904761904763"/>
    <x v="7"/>
    <x v="213"/>
    <n v="0.90697674418604657"/>
    <n v="0.35051546391752586"/>
  </r>
  <r>
    <x v="1"/>
    <x v="9"/>
    <n v="6"/>
    <x v="1"/>
    <x v="19"/>
    <x v="6"/>
    <n v="64"/>
    <n v="1"/>
    <n v="-0.39047619047619042"/>
    <x v="3"/>
    <x v="209"/>
    <n v="0.12790697674418613"/>
    <n v="-0.51145038167938939"/>
  </r>
  <r>
    <x v="1"/>
    <x v="9"/>
    <n v="7"/>
    <x v="1"/>
    <x v="19"/>
    <x v="7"/>
    <n v="56"/>
    <n v="1"/>
    <n v="-0.46666666666666667"/>
    <x v="10"/>
    <x v="214"/>
    <n v="3.4883720930232572E-2"/>
    <n v="-0.125"/>
  </r>
  <r>
    <x v="1"/>
    <x v="9"/>
    <n v="8"/>
    <x v="1"/>
    <x v="19"/>
    <x v="8"/>
    <n v="113"/>
    <n v="1"/>
    <n v="7.6190476190476142E-2"/>
    <x v="1"/>
    <x v="215"/>
    <n v="0.69767441860465118"/>
    <n v="1.0178571428571428"/>
  </r>
  <r>
    <x v="1"/>
    <x v="9"/>
    <n v="9"/>
    <x v="1"/>
    <x v="19"/>
    <x v="9"/>
    <n v="108"/>
    <n v="1"/>
    <n v="2.857142857142847E-2"/>
    <x v="12"/>
    <x v="216"/>
    <n v="0.63953488372093015"/>
    <n v="-4.4247787610619427E-2"/>
  </r>
  <r>
    <x v="1"/>
    <x v="9"/>
    <n v="10"/>
    <x v="1"/>
    <x v="19"/>
    <x v="10"/>
    <n v="139"/>
    <n v="1"/>
    <n v="0.32380952380952377"/>
    <x v="9"/>
    <x v="217"/>
    <n v="1"/>
    <n v="0.28703703703703698"/>
  </r>
  <r>
    <x v="1"/>
    <x v="9"/>
    <n v="11"/>
    <x v="1"/>
    <x v="19"/>
    <x v="11"/>
    <n v="138"/>
    <n v="1"/>
    <n v="0.31428571428571428"/>
    <x v="6"/>
    <x v="218"/>
    <n v="0.9883720930232559"/>
    <n v="-7.194244604316502E-3"/>
  </r>
  <r>
    <x v="1"/>
    <x v="9"/>
    <n v="12"/>
    <x v="1"/>
    <x v="19"/>
    <x v="12"/>
    <n v="100"/>
    <n v="1"/>
    <n v="-4.7619047619047672E-2"/>
    <x v="11"/>
    <x v="219"/>
    <n v="0.54651162790697672"/>
    <n v="-0.27536231884057971"/>
  </r>
  <r>
    <x v="2"/>
    <x v="0"/>
    <n v="0"/>
    <x v="0"/>
    <x v="20"/>
    <x v="0"/>
    <n v="110"/>
    <n v="3"/>
    <n v="0"/>
    <x v="0"/>
    <x v="0"/>
    <s v=""/>
    <n v="0"/>
  </r>
  <r>
    <x v="2"/>
    <x v="0"/>
    <n v="1"/>
    <x v="0"/>
    <x v="20"/>
    <x v="1"/>
    <n v="60"/>
    <n v="3"/>
    <n v="-0.45454545454545459"/>
    <x v="1"/>
    <x v="220"/>
    <n v="0.13157894736842093"/>
    <n v="-0.45454545454545459"/>
  </r>
  <r>
    <x v="2"/>
    <x v="0"/>
    <n v="2"/>
    <x v="0"/>
    <x v="20"/>
    <x v="2"/>
    <n v="55"/>
    <n v="3"/>
    <n v="-0.5"/>
    <x v="2"/>
    <x v="221"/>
    <n v="8.7719298245613961E-2"/>
    <n v="-8.333333333333337E-2"/>
  </r>
  <r>
    <x v="2"/>
    <x v="0"/>
    <n v="3"/>
    <x v="0"/>
    <x v="20"/>
    <x v="3"/>
    <n v="51"/>
    <n v="3"/>
    <n v="-0.53636363636363638"/>
    <x v="4"/>
    <x v="222"/>
    <n v="5.2631578947368328E-2"/>
    <n v="-7.2727272727272751E-2"/>
  </r>
  <r>
    <x v="2"/>
    <x v="0"/>
    <n v="4"/>
    <x v="0"/>
    <x v="20"/>
    <x v="4"/>
    <n v="47"/>
    <n v="3"/>
    <n v="-0.57272727272727275"/>
    <x v="5"/>
    <x v="223"/>
    <n v="1.7543859649122705E-2"/>
    <n v="-7.8431372549019662E-2"/>
  </r>
  <r>
    <x v="2"/>
    <x v="0"/>
    <n v="5"/>
    <x v="0"/>
    <x v="20"/>
    <x v="5"/>
    <n v="121"/>
    <n v="3"/>
    <n v="0.10000000000000009"/>
    <x v="7"/>
    <x v="224"/>
    <n v="0.66666666666666663"/>
    <n v="1.5744680851063828"/>
  </r>
  <r>
    <x v="2"/>
    <x v="0"/>
    <n v="6"/>
    <x v="0"/>
    <x v="20"/>
    <x v="6"/>
    <n v="150"/>
    <n v="3"/>
    <n v="0.36363636363636354"/>
    <x v="6"/>
    <x v="225"/>
    <n v="0.92105263157894723"/>
    <n v="0.2396694214876034"/>
  </r>
  <r>
    <x v="2"/>
    <x v="0"/>
    <n v="7"/>
    <x v="0"/>
    <x v="20"/>
    <x v="7"/>
    <n v="45"/>
    <n v="3"/>
    <n v="-0.59090909090909083"/>
    <x v="8"/>
    <x v="226"/>
    <n v="0"/>
    <n v="-0.7"/>
  </r>
  <r>
    <x v="2"/>
    <x v="0"/>
    <n v="8"/>
    <x v="0"/>
    <x v="20"/>
    <x v="8"/>
    <n v="159"/>
    <n v="3"/>
    <n v="0.44545454545454555"/>
    <x v="9"/>
    <x v="227"/>
    <n v="1"/>
    <n v="2.5333333333333332"/>
  </r>
  <r>
    <x v="2"/>
    <x v="0"/>
    <n v="9"/>
    <x v="0"/>
    <x v="20"/>
    <x v="9"/>
    <n v="47"/>
    <n v="3"/>
    <n v="-0.57272727272727275"/>
    <x v="5"/>
    <x v="223"/>
    <n v="1.7543859649122705E-2"/>
    <n v="-0.70440251572327051"/>
  </r>
  <r>
    <x v="2"/>
    <x v="0"/>
    <n v="10"/>
    <x v="0"/>
    <x v="20"/>
    <x v="10"/>
    <n v="60"/>
    <n v="3"/>
    <n v="-0.45454545454545459"/>
    <x v="1"/>
    <x v="220"/>
    <n v="0.13157894736842093"/>
    <n v="0.27659574468085113"/>
  </r>
  <r>
    <x v="2"/>
    <x v="0"/>
    <n v="11"/>
    <x v="0"/>
    <x v="20"/>
    <x v="11"/>
    <n v="56"/>
    <n v="3"/>
    <n v="-0.49090909090909096"/>
    <x v="11"/>
    <x v="228"/>
    <n v="9.6491228070175308E-2"/>
    <n v="-6.6666666666666652E-2"/>
  </r>
  <r>
    <x v="2"/>
    <x v="0"/>
    <n v="12"/>
    <x v="0"/>
    <x v="20"/>
    <x v="12"/>
    <n v="53"/>
    <n v="3"/>
    <n v="-0.51818181818181819"/>
    <x v="3"/>
    <x v="229"/>
    <n v="7.0175438596491141E-2"/>
    <n v="-5.3571428571428603E-2"/>
  </r>
  <r>
    <x v="2"/>
    <x v="1"/>
    <n v="0"/>
    <x v="0"/>
    <x v="21"/>
    <x v="0"/>
    <n v="92"/>
    <n v="3"/>
    <n v="0"/>
    <x v="0"/>
    <x v="0"/>
    <s v=""/>
    <n v="0"/>
  </r>
  <r>
    <x v="2"/>
    <x v="1"/>
    <n v="1"/>
    <x v="0"/>
    <x v="21"/>
    <x v="1"/>
    <n v="48"/>
    <n v="3"/>
    <n v="-0.47826086956521741"/>
    <x v="1"/>
    <x v="230"/>
    <n v="8.6206896551724074E-2"/>
    <n v="-0.47826086956521741"/>
  </r>
  <r>
    <x v="2"/>
    <x v="1"/>
    <n v="2"/>
    <x v="0"/>
    <x v="21"/>
    <x v="2"/>
    <n v="45"/>
    <n v="3"/>
    <n v="-0.51086956521739135"/>
    <x v="2"/>
    <x v="231"/>
    <n v="6.0344827586206809E-2"/>
    <n v="-6.25E-2"/>
  </r>
  <r>
    <x v="2"/>
    <x v="1"/>
    <n v="3"/>
    <x v="0"/>
    <x v="21"/>
    <x v="3"/>
    <n v="41"/>
    <n v="3"/>
    <n v="-0.55434782608695654"/>
    <x v="5"/>
    <x v="232"/>
    <n v="2.5862068965517179E-2"/>
    <n v="-8.8888888888888906E-2"/>
  </r>
  <r>
    <x v="2"/>
    <x v="1"/>
    <n v="4"/>
    <x v="0"/>
    <x v="21"/>
    <x v="4"/>
    <n v="106"/>
    <n v="3"/>
    <n v="0.15217391304347827"/>
    <x v="7"/>
    <x v="233"/>
    <n v="0.58620689655172409"/>
    <n v="1.5853658536585367"/>
  </r>
  <r>
    <x v="2"/>
    <x v="1"/>
    <n v="5"/>
    <x v="0"/>
    <x v="21"/>
    <x v="5"/>
    <n v="123"/>
    <n v="3"/>
    <n v="0.33695652173913038"/>
    <x v="6"/>
    <x v="234"/>
    <n v="0.73275862068965503"/>
    <n v="0.16037735849056611"/>
  </r>
  <r>
    <x v="2"/>
    <x v="1"/>
    <n v="6"/>
    <x v="0"/>
    <x v="21"/>
    <x v="6"/>
    <n v="47"/>
    <n v="3"/>
    <n v="-0.48913043478260865"/>
    <x v="11"/>
    <x v="235"/>
    <n v="7.7586206896551713E-2"/>
    <n v="-0.61788617886178865"/>
  </r>
  <r>
    <x v="2"/>
    <x v="1"/>
    <n v="7"/>
    <x v="0"/>
    <x v="21"/>
    <x v="7"/>
    <n v="154"/>
    <n v="3"/>
    <n v="0.67391304347826098"/>
    <x v="9"/>
    <x v="236"/>
    <n v="1"/>
    <n v="2.2765957446808511"/>
  </r>
  <r>
    <x v="2"/>
    <x v="1"/>
    <n v="8"/>
    <x v="0"/>
    <x v="21"/>
    <x v="8"/>
    <n v="40"/>
    <n v="3"/>
    <n v="-0.56521739130434789"/>
    <x v="10"/>
    <x v="237"/>
    <n v="1.7241379310344727E-2"/>
    <n v="-0.74025974025974028"/>
  </r>
  <r>
    <x v="2"/>
    <x v="1"/>
    <n v="9"/>
    <x v="0"/>
    <x v="21"/>
    <x v="9"/>
    <n v="48"/>
    <n v="3"/>
    <n v="-0.47826086956521741"/>
    <x v="1"/>
    <x v="230"/>
    <n v="8.6206896551724074E-2"/>
    <n v="0.19999999999999996"/>
  </r>
  <r>
    <x v="2"/>
    <x v="1"/>
    <n v="10"/>
    <x v="0"/>
    <x v="21"/>
    <x v="10"/>
    <n v="45"/>
    <n v="3"/>
    <n v="-0.51086956521739135"/>
    <x v="2"/>
    <x v="231"/>
    <n v="6.0344827586206809E-2"/>
    <n v="-6.25E-2"/>
  </r>
  <r>
    <x v="2"/>
    <x v="1"/>
    <n v="11"/>
    <x v="0"/>
    <x v="21"/>
    <x v="11"/>
    <n v="42"/>
    <n v="3"/>
    <n v="-0.54347826086956519"/>
    <x v="4"/>
    <x v="238"/>
    <n v="3.4482758620689634E-2"/>
    <n v="-6.6666666666666652E-2"/>
  </r>
  <r>
    <x v="2"/>
    <x v="1"/>
    <n v="12"/>
    <x v="0"/>
    <x v="21"/>
    <x v="12"/>
    <n v="38"/>
    <n v="3"/>
    <n v="-0.58695652173913038"/>
    <x v="8"/>
    <x v="239"/>
    <n v="0"/>
    <n v="-9.5238095238095233E-2"/>
  </r>
  <r>
    <x v="2"/>
    <x v="2"/>
    <n v="0"/>
    <x v="1"/>
    <x v="22"/>
    <x v="0"/>
    <n v="99"/>
    <n v="3"/>
    <n v="0"/>
    <x v="0"/>
    <x v="0"/>
    <s v=""/>
    <n v="0"/>
  </r>
  <r>
    <x v="2"/>
    <x v="2"/>
    <n v="1"/>
    <x v="1"/>
    <x v="22"/>
    <x v="1"/>
    <n v="114"/>
    <n v="3"/>
    <n v="0.1515151515151516"/>
    <x v="1"/>
    <x v="240"/>
    <n v="0.85937500000000011"/>
    <n v="0.1515151515151516"/>
  </r>
  <r>
    <x v="2"/>
    <x v="2"/>
    <n v="2"/>
    <x v="1"/>
    <x v="22"/>
    <x v="2"/>
    <n v="123"/>
    <n v="3"/>
    <n v="0.24242424242424243"/>
    <x v="9"/>
    <x v="241"/>
    <n v="1"/>
    <n v="7.8947368421052655E-2"/>
  </r>
  <r>
    <x v="2"/>
    <x v="2"/>
    <n v="3"/>
    <x v="1"/>
    <x v="22"/>
    <x v="3"/>
    <n v="122"/>
    <n v="3"/>
    <n v="0.23232323232323226"/>
    <x v="6"/>
    <x v="242"/>
    <n v="0.98437499999999989"/>
    <n v="-8.1300813008130524E-3"/>
  </r>
  <r>
    <x v="2"/>
    <x v="2"/>
    <n v="4"/>
    <x v="1"/>
    <x v="22"/>
    <x v="4"/>
    <n v="92"/>
    <n v="3"/>
    <n v="-7.0707070707070718E-2"/>
    <x v="2"/>
    <x v="243"/>
    <n v="0.515625"/>
    <n v="-0.24590163934426235"/>
  </r>
  <r>
    <x v="2"/>
    <x v="2"/>
    <n v="5"/>
    <x v="1"/>
    <x v="22"/>
    <x v="5"/>
    <n v="94"/>
    <n v="3"/>
    <n v="-5.0505050505050497E-2"/>
    <x v="12"/>
    <x v="244"/>
    <n v="0.546875"/>
    <n v="2.1739130434782705E-2"/>
  </r>
  <r>
    <x v="2"/>
    <x v="2"/>
    <n v="6"/>
    <x v="1"/>
    <x v="22"/>
    <x v="6"/>
    <n v="116"/>
    <n v="3"/>
    <n v="0.17171717171717171"/>
    <x v="7"/>
    <x v="245"/>
    <n v="0.890625"/>
    <n v="0.23404255319148937"/>
  </r>
  <r>
    <x v="2"/>
    <x v="2"/>
    <n v="7"/>
    <x v="1"/>
    <x v="22"/>
    <x v="7"/>
    <n v="70"/>
    <n v="3"/>
    <n v="-0.29292929292929293"/>
    <x v="3"/>
    <x v="246"/>
    <n v="0.17187500000000006"/>
    <n v="-0.39655172413793105"/>
  </r>
  <r>
    <x v="2"/>
    <x v="2"/>
    <n v="8"/>
    <x v="1"/>
    <x v="22"/>
    <x v="8"/>
    <n v="65"/>
    <n v="3"/>
    <n v="-0.34343434343434343"/>
    <x v="5"/>
    <x v="247"/>
    <n v="9.3750000000000083E-2"/>
    <n v="-7.1428571428571397E-2"/>
  </r>
  <r>
    <x v="2"/>
    <x v="2"/>
    <n v="9"/>
    <x v="1"/>
    <x v="22"/>
    <x v="9"/>
    <n v="59"/>
    <n v="3"/>
    <n v="-0.40404040404040409"/>
    <x v="8"/>
    <x v="248"/>
    <n v="0"/>
    <n v="-9.2307692307692313E-2"/>
  </r>
  <r>
    <x v="2"/>
    <x v="2"/>
    <n v="10"/>
    <x v="1"/>
    <x v="22"/>
    <x v="10"/>
    <n v="94"/>
    <n v="3"/>
    <n v="-5.0505050505050497E-2"/>
    <x v="12"/>
    <x v="244"/>
    <n v="0.546875"/>
    <n v="0.59322033898305082"/>
  </r>
  <r>
    <x v="2"/>
    <x v="2"/>
    <n v="11"/>
    <x v="1"/>
    <x v="22"/>
    <x v="11"/>
    <n v="70"/>
    <n v="3"/>
    <n v="-0.29292929292929293"/>
    <x v="3"/>
    <x v="246"/>
    <n v="0.17187500000000006"/>
    <n v="-0.25531914893617025"/>
  </r>
  <r>
    <x v="2"/>
    <x v="2"/>
    <n v="12"/>
    <x v="1"/>
    <x v="22"/>
    <x v="12"/>
    <n v="60"/>
    <n v="3"/>
    <n v="-0.39393939393939392"/>
    <x v="10"/>
    <x v="249"/>
    <n v="1.5625000000000101E-2"/>
    <n v="-0.1428571428571429"/>
  </r>
  <r>
    <x v="2"/>
    <x v="3"/>
    <n v="0"/>
    <x v="0"/>
    <x v="23"/>
    <x v="0"/>
    <n v="93"/>
    <n v="0"/>
    <n v="0"/>
    <x v="0"/>
    <x v="0"/>
    <s v=""/>
    <n v="0"/>
  </r>
  <r>
    <x v="2"/>
    <x v="3"/>
    <n v="1"/>
    <x v="0"/>
    <x v="23"/>
    <x v="1"/>
    <n v="61"/>
    <n v="0"/>
    <n v="-0.34408602150537637"/>
    <x v="1"/>
    <x v="250"/>
    <n v="0.1916666666666666"/>
    <n v="-0.34408602150537637"/>
  </r>
  <r>
    <x v="2"/>
    <x v="3"/>
    <n v="2"/>
    <x v="0"/>
    <x v="23"/>
    <x v="2"/>
    <n v="58"/>
    <n v="0"/>
    <n v="-0.37634408602150538"/>
    <x v="11"/>
    <x v="251"/>
    <n v="0.1666666666666666"/>
    <n v="-4.9180327868852514E-2"/>
  </r>
  <r>
    <x v="2"/>
    <x v="3"/>
    <n v="3"/>
    <x v="0"/>
    <x v="23"/>
    <x v="3"/>
    <n v="53"/>
    <n v="0"/>
    <n v="-0.43010752688172038"/>
    <x v="3"/>
    <x v="252"/>
    <n v="0.12499999999999997"/>
    <n v="-8.6206896551724088E-2"/>
  </r>
  <r>
    <x v="2"/>
    <x v="3"/>
    <n v="4"/>
    <x v="0"/>
    <x v="23"/>
    <x v="4"/>
    <n v="127"/>
    <n v="0"/>
    <n v="0.36559139784946226"/>
    <x v="6"/>
    <x v="253"/>
    <n v="0.74166666666666659"/>
    <n v="1.3962264150943398"/>
  </r>
  <r>
    <x v="2"/>
    <x v="3"/>
    <n v="5"/>
    <x v="0"/>
    <x v="23"/>
    <x v="5"/>
    <n v="93"/>
    <n v="0"/>
    <n v="0"/>
    <x v="7"/>
    <x v="254"/>
    <n v="0.45833333333333326"/>
    <n v="-0.26771653543307083"/>
  </r>
  <r>
    <x v="2"/>
    <x v="3"/>
    <n v="6"/>
    <x v="0"/>
    <x v="23"/>
    <x v="6"/>
    <n v="48"/>
    <n v="0"/>
    <n v="-0.4838709677419355"/>
    <x v="10"/>
    <x v="255"/>
    <n v="8.3333333333333259E-2"/>
    <n v="-0.4838709677419355"/>
  </r>
  <r>
    <x v="2"/>
    <x v="3"/>
    <n v="7"/>
    <x v="0"/>
    <x v="23"/>
    <x v="7"/>
    <n v="158"/>
    <n v="0"/>
    <n v="0.69892473118279574"/>
    <x v="9"/>
    <x v="256"/>
    <n v="1"/>
    <n v="2.2916666666666665"/>
  </r>
  <r>
    <x v="2"/>
    <x v="3"/>
    <n v="8"/>
    <x v="0"/>
    <x v="23"/>
    <x v="8"/>
    <n v="38"/>
    <n v="0"/>
    <n v="-0.59139784946236551"/>
    <x v="8"/>
    <x v="257"/>
    <n v="0"/>
    <n v="-0.759493670886076"/>
  </r>
  <r>
    <x v="2"/>
    <x v="3"/>
    <n v="9"/>
    <x v="0"/>
    <x v="23"/>
    <x v="9"/>
    <n v="61"/>
    <n v="0"/>
    <n v="-0.34408602150537637"/>
    <x v="1"/>
    <x v="250"/>
    <n v="0.1916666666666666"/>
    <n v="0.60526315789473695"/>
  </r>
  <r>
    <x v="2"/>
    <x v="3"/>
    <n v="10"/>
    <x v="0"/>
    <x v="23"/>
    <x v="10"/>
    <n v="57"/>
    <n v="0"/>
    <n v="-0.38709677419354838"/>
    <x v="2"/>
    <x v="258"/>
    <n v="0.15833333333333327"/>
    <n v="-6.557377049180324E-2"/>
  </r>
  <r>
    <x v="2"/>
    <x v="3"/>
    <n v="11"/>
    <x v="0"/>
    <x v="23"/>
    <x v="11"/>
    <n v="53"/>
    <n v="0"/>
    <n v="-0.43010752688172038"/>
    <x v="3"/>
    <x v="252"/>
    <n v="0.12499999999999997"/>
    <n v="-7.0175438596491224E-2"/>
  </r>
  <r>
    <x v="2"/>
    <x v="3"/>
    <n v="12"/>
    <x v="0"/>
    <x v="23"/>
    <x v="12"/>
    <n v="49"/>
    <n v="0"/>
    <n v="-0.4731182795698925"/>
    <x v="5"/>
    <x v="259"/>
    <n v="9.1666666666666591E-2"/>
    <n v="-7.547169811320753E-2"/>
  </r>
  <r>
    <x v="2"/>
    <x v="4"/>
    <n v="0"/>
    <x v="1"/>
    <x v="24"/>
    <x v="0"/>
    <n v="91"/>
    <n v="3"/>
    <n v="0"/>
    <x v="0"/>
    <x v="0"/>
    <s v=""/>
    <n v="0"/>
  </r>
  <r>
    <x v="2"/>
    <x v="4"/>
    <n v="1"/>
    <x v="1"/>
    <x v="24"/>
    <x v="1"/>
    <n v="120"/>
    <n v="3"/>
    <n v="0.31868131868131866"/>
    <x v="6"/>
    <x v="260"/>
    <n v="0.97183098591549311"/>
    <n v="0.31868131868131866"/>
  </r>
  <r>
    <x v="2"/>
    <x v="4"/>
    <n v="2"/>
    <x v="1"/>
    <x v="24"/>
    <x v="2"/>
    <n v="93"/>
    <n v="3"/>
    <n v="2.19780219780219E-2"/>
    <x v="12"/>
    <x v="261"/>
    <n v="0.59154929577464788"/>
    <n v="-0.22499999999999998"/>
  </r>
  <r>
    <x v="2"/>
    <x v="4"/>
    <n v="3"/>
    <x v="1"/>
    <x v="24"/>
    <x v="3"/>
    <n v="87"/>
    <n v="3"/>
    <n v="-4.3956043956043911E-2"/>
    <x v="11"/>
    <x v="262"/>
    <n v="0.50704225352112686"/>
    <n v="-6.4516129032258118E-2"/>
  </r>
  <r>
    <x v="2"/>
    <x v="4"/>
    <n v="4"/>
    <x v="1"/>
    <x v="24"/>
    <x v="4"/>
    <n v="58"/>
    <n v="3"/>
    <n v="-0.36263736263736268"/>
    <x v="3"/>
    <x v="263"/>
    <n v="9.85915492957746E-2"/>
    <n v="-0.33333333333333337"/>
  </r>
  <r>
    <x v="2"/>
    <x v="4"/>
    <n v="5"/>
    <x v="1"/>
    <x v="24"/>
    <x v="5"/>
    <n v="55"/>
    <n v="3"/>
    <n v="-0.39560439560439564"/>
    <x v="5"/>
    <x v="264"/>
    <n v="5.6338028169014037E-2"/>
    <n v="-5.1724137931034475E-2"/>
  </r>
  <r>
    <x v="2"/>
    <x v="4"/>
    <n v="6"/>
    <x v="1"/>
    <x v="24"/>
    <x v="6"/>
    <n v="51"/>
    <n v="3"/>
    <n v="-0.43956043956043955"/>
    <x v="8"/>
    <x v="265"/>
    <n v="0"/>
    <n v="-7.2727272727272751E-2"/>
  </r>
  <r>
    <x v="2"/>
    <x v="4"/>
    <n v="7"/>
    <x v="1"/>
    <x v="24"/>
    <x v="7"/>
    <n v="122"/>
    <n v="3"/>
    <n v="0.34065934065934056"/>
    <x v="9"/>
    <x v="266"/>
    <n v="1"/>
    <n v="1.392156862745098"/>
  </r>
  <r>
    <x v="2"/>
    <x v="4"/>
    <n v="8"/>
    <x v="1"/>
    <x v="24"/>
    <x v="8"/>
    <n v="58"/>
    <n v="3"/>
    <n v="-0.36263736263736268"/>
    <x v="3"/>
    <x v="263"/>
    <n v="9.85915492957746E-2"/>
    <n v="-0.52459016393442626"/>
  </r>
  <r>
    <x v="2"/>
    <x v="4"/>
    <n v="9"/>
    <x v="1"/>
    <x v="24"/>
    <x v="9"/>
    <n v="52"/>
    <n v="3"/>
    <n v="-0.4285714285714286"/>
    <x v="10"/>
    <x v="267"/>
    <n v="1.4084507042253473E-2"/>
    <n v="-0.10344827586206895"/>
  </r>
  <r>
    <x v="2"/>
    <x v="4"/>
    <n v="10"/>
    <x v="1"/>
    <x v="24"/>
    <x v="10"/>
    <n v="100"/>
    <n v="3"/>
    <n v="9.8901098901098994E-2"/>
    <x v="7"/>
    <x v="268"/>
    <n v="0.69014084507042273"/>
    <n v="0.92307692307692313"/>
  </r>
  <r>
    <x v="2"/>
    <x v="4"/>
    <n v="11"/>
    <x v="1"/>
    <x v="24"/>
    <x v="11"/>
    <n v="99"/>
    <n v="3"/>
    <n v="8.7912087912087822E-2"/>
    <x v="1"/>
    <x v="269"/>
    <n v="0.676056338028169"/>
    <n v="-1.0000000000000009E-2"/>
  </r>
  <r>
    <x v="2"/>
    <x v="4"/>
    <n v="12"/>
    <x v="1"/>
    <x v="24"/>
    <x v="12"/>
    <n v="86"/>
    <n v="3"/>
    <n v="-5.4945054945054972E-2"/>
    <x v="2"/>
    <x v="270"/>
    <n v="0.49295774647887325"/>
    <n v="-0.13131313131313127"/>
  </r>
  <r>
    <x v="2"/>
    <x v="5"/>
    <n v="0"/>
    <x v="1"/>
    <x v="25"/>
    <x v="0"/>
    <n v="98"/>
    <n v="0"/>
    <n v="0"/>
    <x v="0"/>
    <x v="0"/>
    <s v=""/>
    <n v="0"/>
  </r>
  <r>
    <x v="2"/>
    <x v="5"/>
    <n v="1"/>
    <x v="1"/>
    <x v="25"/>
    <x v="1"/>
    <n v="98"/>
    <n v="0"/>
    <n v="0"/>
    <x v="12"/>
    <x v="271"/>
    <n v="0.62162162162162149"/>
    <n v="0"/>
  </r>
  <r>
    <x v="2"/>
    <x v="5"/>
    <n v="2"/>
    <x v="1"/>
    <x v="25"/>
    <x v="2"/>
    <n v="103"/>
    <n v="0"/>
    <n v="5.1020408163265252E-2"/>
    <x v="1"/>
    <x v="272"/>
    <n v="0.68918918918918903"/>
    <n v="5.1020408163265252E-2"/>
  </r>
  <r>
    <x v="2"/>
    <x v="5"/>
    <n v="3"/>
    <x v="1"/>
    <x v="25"/>
    <x v="3"/>
    <n v="66"/>
    <n v="0"/>
    <n v="-0.32653061224489799"/>
    <x v="3"/>
    <x v="273"/>
    <n v="0.18918918918918909"/>
    <n v="-0.35922330097087374"/>
  </r>
  <r>
    <x v="2"/>
    <x v="5"/>
    <n v="4"/>
    <x v="1"/>
    <x v="25"/>
    <x v="4"/>
    <n v="58"/>
    <n v="0"/>
    <n v="-0.40816326530612246"/>
    <x v="5"/>
    <x v="274"/>
    <n v="8.1081081081081016E-2"/>
    <n v="-0.12121212121212122"/>
  </r>
  <r>
    <x v="2"/>
    <x v="5"/>
    <n v="5"/>
    <x v="1"/>
    <x v="25"/>
    <x v="5"/>
    <n v="52"/>
    <n v="0"/>
    <n v="-0.46938775510204078"/>
    <x v="8"/>
    <x v="275"/>
    <n v="0"/>
    <n v="-0.10344827586206895"/>
  </r>
  <r>
    <x v="2"/>
    <x v="5"/>
    <n v="6"/>
    <x v="1"/>
    <x v="25"/>
    <x v="6"/>
    <n v="125"/>
    <n v="0"/>
    <n v="0.27551020408163263"/>
    <x v="6"/>
    <x v="276"/>
    <n v="0.98648648648648629"/>
    <n v="1.4038461538461537"/>
  </r>
  <r>
    <x v="2"/>
    <x v="5"/>
    <n v="7"/>
    <x v="1"/>
    <x v="25"/>
    <x v="7"/>
    <n v="90"/>
    <n v="0"/>
    <n v="-8.1632653061224469E-2"/>
    <x v="11"/>
    <x v="277"/>
    <n v="0.51351351351351349"/>
    <n v="-0.28000000000000003"/>
  </r>
  <r>
    <x v="2"/>
    <x v="5"/>
    <n v="8"/>
    <x v="1"/>
    <x v="25"/>
    <x v="8"/>
    <n v="66"/>
    <n v="0"/>
    <n v="-0.32653061224489799"/>
    <x v="3"/>
    <x v="273"/>
    <n v="0.18918918918918909"/>
    <n v="-0.26666666666666672"/>
  </r>
  <r>
    <x v="2"/>
    <x v="5"/>
    <n v="9"/>
    <x v="1"/>
    <x v="25"/>
    <x v="9"/>
    <n v="58"/>
    <n v="0"/>
    <n v="-0.40816326530612246"/>
    <x v="5"/>
    <x v="274"/>
    <n v="8.1081081081081016E-2"/>
    <n v="-0.12121212121212122"/>
  </r>
  <r>
    <x v="2"/>
    <x v="5"/>
    <n v="10"/>
    <x v="1"/>
    <x v="25"/>
    <x v="10"/>
    <n v="126"/>
    <n v="0"/>
    <n v="0.28571428571428581"/>
    <x v="9"/>
    <x v="278"/>
    <n v="1"/>
    <n v="1.1724137931034484"/>
  </r>
  <r>
    <x v="2"/>
    <x v="5"/>
    <n v="11"/>
    <x v="1"/>
    <x v="25"/>
    <x v="11"/>
    <n v="89"/>
    <n v="0"/>
    <n v="-9.1836734693877542E-2"/>
    <x v="2"/>
    <x v="279"/>
    <n v="0.49999999999999994"/>
    <n v="-0.29365079365079361"/>
  </r>
  <r>
    <x v="2"/>
    <x v="5"/>
    <n v="12"/>
    <x v="1"/>
    <x v="25"/>
    <x v="12"/>
    <n v="107"/>
    <n v="0"/>
    <n v="9.1836734693877542E-2"/>
    <x v="7"/>
    <x v="280"/>
    <n v="0.74324324324324309"/>
    <n v="0.202247191011236"/>
  </r>
  <r>
    <x v="2"/>
    <x v="6"/>
    <n v="0"/>
    <x v="0"/>
    <x v="26"/>
    <x v="0"/>
    <n v="96"/>
    <n v="0"/>
    <n v="0"/>
    <x v="0"/>
    <x v="0"/>
    <s v=""/>
    <n v="0"/>
  </r>
  <r>
    <x v="2"/>
    <x v="6"/>
    <n v="1"/>
    <x v="0"/>
    <x v="26"/>
    <x v="1"/>
    <n v="70"/>
    <n v="0"/>
    <n v="-0.27083333333333337"/>
    <x v="1"/>
    <x v="281"/>
    <n v="0.15748031496062989"/>
    <n v="-0.27083333333333337"/>
  </r>
  <r>
    <x v="2"/>
    <x v="6"/>
    <n v="2"/>
    <x v="0"/>
    <x v="26"/>
    <x v="2"/>
    <n v="66"/>
    <n v="0"/>
    <n v="-0.3125"/>
    <x v="3"/>
    <x v="282"/>
    <n v="0.12598425196850394"/>
    <n v="-5.7142857142857162E-2"/>
  </r>
  <r>
    <x v="2"/>
    <x v="6"/>
    <n v="3"/>
    <x v="0"/>
    <x v="26"/>
    <x v="3"/>
    <n v="90"/>
    <n v="0"/>
    <n v="-6.25E-2"/>
    <x v="7"/>
    <x v="283"/>
    <n v="0.31496062992125984"/>
    <n v="0.36363636363636354"/>
  </r>
  <r>
    <x v="2"/>
    <x v="6"/>
    <n v="4"/>
    <x v="0"/>
    <x v="26"/>
    <x v="4"/>
    <n v="134"/>
    <n v="0"/>
    <n v="0.39583333333333326"/>
    <x v="6"/>
    <x v="284"/>
    <n v="0.6614173228346456"/>
    <n v="0.48888888888888893"/>
  </r>
  <r>
    <x v="2"/>
    <x v="6"/>
    <n v="5"/>
    <x v="0"/>
    <x v="26"/>
    <x v="5"/>
    <n v="50"/>
    <n v="0"/>
    <n v="-0.47916666666666663"/>
    <x v="8"/>
    <x v="285"/>
    <n v="0"/>
    <n v="-0.62686567164179108"/>
  </r>
  <r>
    <x v="2"/>
    <x v="6"/>
    <n v="6"/>
    <x v="0"/>
    <x v="26"/>
    <x v="6"/>
    <n v="177"/>
    <n v="0"/>
    <n v="0.84375"/>
    <x v="9"/>
    <x v="286"/>
    <n v="1"/>
    <n v="2.54"/>
  </r>
  <r>
    <x v="2"/>
    <x v="6"/>
    <n v="7"/>
    <x v="0"/>
    <x v="26"/>
    <x v="7"/>
    <n v="67"/>
    <n v="0"/>
    <n v="-0.30208333333333337"/>
    <x v="11"/>
    <x v="287"/>
    <n v="0.13385826771653539"/>
    <n v="-0.62146892655367236"/>
  </r>
  <r>
    <x v="2"/>
    <x v="6"/>
    <n v="8"/>
    <x v="0"/>
    <x v="26"/>
    <x v="8"/>
    <n v="70"/>
    <n v="0"/>
    <n v="-0.27083333333333337"/>
    <x v="1"/>
    <x v="281"/>
    <n v="0.15748031496062989"/>
    <n v="4.4776119402984982E-2"/>
  </r>
  <r>
    <x v="2"/>
    <x v="6"/>
    <n v="9"/>
    <x v="0"/>
    <x v="26"/>
    <x v="9"/>
    <n v="67"/>
    <n v="0"/>
    <n v="-0.30208333333333337"/>
    <x v="11"/>
    <x v="287"/>
    <n v="0.13385826771653539"/>
    <n v="-4.2857142857142816E-2"/>
  </r>
  <r>
    <x v="2"/>
    <x v="6"/>
    <n v="10"/>
    <x v="0"/>
    <x v="26"/>
    <x v="10"/>
    <n v="64"/>
    <n v="0"/>
    <n v="-0.33333333333333337"/>
    <x v="4"/>
    <x v="288"/>
    <n v="0.1102362204724409"/>
    <n v="-4.4776119402985093E-2"/>
  </r>
  <r>
    <x v="2"/>
    <x v="6"/>
    <n v="11"/>
    <x v="0"/>
    <x v="26"/>
    <x v="11"/>
    <n v="60"/>
    <n v="0"/>
    <n v="-0.375"/>
    <x v="5"/>
    <x v="289"/>
    <n v="7.8740157480314946E-2"/>
    <n v="-6.25E-2"/>
  </r>
  <r>
    <x v="2"/>
    <x v="6"/>
    <n v="12"/>
    <x v="0"/>
    <x v="26"/>
    <x v="12"/>
    <n v="56"/>
    <n v="0"/>
    <n v="-0.41666666666666663"/>
    <x v="10"/>
    <x v="290"/>
    <n v="4.7244094488188983E-2"/>
    <n v="-6.6666666666666652E-2"/>
  </r>
  <r>
    <x v="2"/>
    <x v="7"/>
    <n v="0"/>
    <x v="1"/>
    <x v="27"/>
    <x v="0"/>
    <n v="98"/>
    <n v="3"/>
    <n v="0"/>
    <x v="0"/>
    <x v="0"/>
    <s v=""/>
    <n v="0"/>
  </r>
  <r>
    <x v="2"/>
    <x v="7"/>
    <n v="1"/>
    <x v="1"/>
    <x v="27"/>
    <x v="1"/>
    <n v="95"/>
    <n v="3"/>
    <n v="-3.0612244897959218E-2"/>
    <x v="2"/>
    <x v="291"/>
    <n v="0.53409090909090906"/>
    <n v="-3.0612244897959218E-2"/>
  </r>
  <r>
    <x v="2"/>
    <x v="7"/>
    <n v="2"/>
    <x v="1"/>
    <x v="27"/>
    <x v="2"/>
    <n v="130"/>
    <n v="3"/>
    <n v="0.32653061224489788"/>
    <x v="7"/>
    <x v="292"/>
    <n v="0.93181818181818177"/>
    <n v="0.36842105263157898"/>
  </r>
  <r>
    <x v="2"/>
    <x v="7"/>
    <n v="3"/>
    <x v="1"/>
    <x v="27"/>
    <x v="3"/>
    <n v="62"/>
    <n v="3"/>
    <n v="-0.36734693877551017"/>
    <x v="3"/>
    <x v="293"/>
    <n v="0.15909090909090914"/>
    <n v="-0.52307692307692299"/>
  </r>
  <r>
    <x v="2"/>
    <x v="7"/>
    <n v="4"/>
    <x v="1"/>
    <x v="27"/>
    <x v="4"/>
    <n v="54"/>
    <n v="3"/>
    <n v="-0.44897959183673475"/>
    <x v="10"/>
    <x v="294"/>
    <n v="6.8181818181818135E-2"/>
    <n v="-0.12903225806451613"/>
  </r>
  <r>
    <x v="2"/>
    <x v="7"/>
    <n v="5"/>
    <x v="1"/>
    <x v="27"/>
    <x v="5"/>
    <n v="48"/>
    <n v="3"/>
    <n v="-0.51020408163265307"/>
    <x v="8"/>
    <x v="295"/>
    <n v="0"/>
    <n v="-0.11111111111111116"/>
  </r>
  <r>
    <x v="2"/>
    <x v="7"/>
    <n v="6"/>
    <x v="1"/>
    <x v="27"/>
    <x v="6"/>
    <n v="129"/>
    <n v="3"/>
    <n v="0.31632653061224492"/>
    <x v="1"/>
    <x v="296"/>
    <n v="0.92045454545454553"/>
    <n v="1.6875"/>
  </r>
  <r>
    <x v="2"/>
    <x v="7"/>
    <n v="7"/>
    <x v="1"/>
    <x v="27"/>
    <x v="7"/>
    <n v="127"/>
    <n v="3"/>
    <n v="0.29591836734693877"/>
    <x v="12"/>
    <x v="297"/>
    <n v="0.89772727272727271"/>
    <n v="-1.5503875968992276E-2"/>
  </r>
  <r>
    <x v="2"/>
    <x v="7"/>
    <n v="8"/>
    <x v="1"/>
    <x v="27"/>
    <x v="8"/>
    <n v="135"/>
    <n v="3"/>
    <n v="0.37755102040816335"/>
    <x v="6"/>
    <x v="298"/>
    <n v="0.98863636363636376"/>
    <n v="6.2992125984252079E-2"/>
  </r>
  <r>
    <x v="2"/>
    <x v="7"/>
    <n v="9"/>
    <x v="1"/>
    <x v="27"/>
    <x v="9"/>
    <n v="104"/>
    <n v="3"/>
    <n v="6.1224489795918435E-2"/>
    <x v="11"/>
    <x v="299"/>
    <n v="0.63636363636363646"/>
    <n v="-0.22962962962962963"/>
  </r>
  <r>
    <x v="2"/>
    <x v="7"/>
    <n v="10"/>
    <x v="1"/>
    <x v="27"/>
    <x v="10"/>
    <n v="62"/>
    <n v="3"/>
    <n v="-0.36734693877551017"/>
    <x v="3"/>
    <x v="293"/>
    <n v="0.15909090909090914"/>
    <n v="-0.40384615384615385"/>
  </r>
  <r>
    <x v="2"/>
    <x v="7"/>
    <n v="11"/>
    <x v="1"/>
    <x v="27"/>
    <x v="11"/>
    <n v="55"/>
    <n v="3"/>
    <n v="-0.43877551020408168"/>
    <x v="5"/>
    <x v="300"/>
    <n v="7.9545454545454516E-2"/>
    <n v="-0.11290322580645162"/>
  </r>
  <r>
    <x v="2"/>
    <x v="7"/>
    <n v="12"/>
    <x v="1"/>
    <x v="27"/>
    <x v="12"/>
    <n v="136"/>
    <n v="3"/>
    <n v="0.38775510204081631"/>
    <x v="9"/>
    <x v="301"/>
    <n v="1"/>
    <n v="1.4727272727272727"/>
  </r>
  <r>
    <x v="2"/>
    <x v="8"/>
    <n v="0"/>
    <x v="2"/>
    <x v="28"/>
    <x v="0"/>
    <n v="90"/>
    <n v="0"/>
    <n v="0"/>
    <x v="0"/>
    <x v="0"/>
    <s v=""/>
    <n v="0"/>
  </r>
  <r>
    <x v="2"/>
    <x v="8"/>
    <n v="1"/>
    <x v="2"/>
    <x v="28"/>
    <x v="1"/>
    <n v="79"/>
    <n v="0"/>
    <n v="-0.12222222222222223"/>
    <x v="9"/>
    <x v="302"/>
    <n v="1"/>
    <n v="-0.12222222222222223"/>
  </r>
  <r>
    <x v="2"/>
    <x v="8"/>
    <n v="2"/>
    <x v="2"/>
    <x v="28"/>
    <x v="2"/>
    <n v="76"/>
    <n v="0"/>
    <n v="-0.15555555555555556"/>
    <x v="6"/>
    <x v="303"/>
    <n v="0.92307692307692313"/>
    <n v="-3.7974683544303778E-2"/>
  </r>
  <r>
    <x v="2"/>
    <x v="8"/>
    <n v="3"/>
    <x v="2"/>
    <x v="28"/>
    <x v="3"/>
    <n v="73"/>
    <n v="0"/>
    <n v="-0.18888888888888888"/>
    <x v="7"/>
    <x v="304"/>
    <n v="0.84615384615384615"/>
    <n v="-3.9473684210526327E-2"/>
  </r>
  <r>
    <x v="2"/>
    <x v="8"/>
    <n v="4"/>
    <x v="2"/>
    <x v="28"/>
    <x v="4"/>
    <n v="69"/>
    <n v="0"/>
    <n v="-0.23333333333333328"/>
    <x v="1"/>
    <x v="305"/>
    <n v="0.74358974358974372"/>
    <n v="-5.4794520547945202E-2"/>
  </r>
  <r>
    <x v="2"/>
    <x v="8"/>
    <n v="5"/>
    <x v="2"/>
    <x v="28"/>
    <x v="5"/>
    <n v="65"/>
    <n v="0"/>
    <n v="-0.27777777777777779"/>
    <x v="12"/>
    <x v="306"/>
    <n v="0.64102564102564108"/>
    <n v="-5.7971014492753659E-2"/>
  </r>
  <r>
    <x v="2"/>
    <x v="8"/>
    <n v="6"/>
    <x v="2"/>
    <x v="28"/>
    <x v="6"/>
    <n v="62"/>
    <n v="0"/>
    <n v="-0.31111111111111112"/>
    <x v="11"/>
    <x v="307"/>
    <n v="0.5641025641025641"/>
    <n v="-4.6153846153846101E-2"/>
  </r>
  <r>
    <x v="2"/>
    <x v="8"/>
    <n v="7"/>
    <x v="2"/>
    <x v="28"/>
    <x v="7"/>
    <n v="59"/>
    <n v="0"/>
    <n v="-0.34444444444444444"/>
    <x v="2"/>
    <x v="308"/>
    <n v="0.48717948717948723"/>
    <n v="-4.8387096774193505E-2"/>
  </r>
  <r>
    <x v="2"/>
    <x v="8"/>
    <n v="8"/>
    <x v="2"/>
    <x v="28"/>
    <x v="8"/>
    <n v="56"/>
    <n v="0"/>
    <n v="-0.37777777777777777"/>
    <x v="3"/>
    <x v="309"/>
    <n v="0.4102564102564103"/>
    <n v="-5.084745762711862E-2"/>
  </r>
  <r>
    <x v="2"/>
    <x v="8"/>
    <n v="9"/>
    <x v="2"/>
    <x v="28"/>
    <x v="9"/>
    <n v="51"/>
    <n v="0"/>
    <n v="-0.43333333333333335"/>
    <x v="4"/>
    <x v="310"/>
    <n v="0.28205128205128205"/>
    <n v="-8.9285714285714302E-2"/>
  </r>
  <r>
    <x v="2"/>
    <x v="8"/>
    <n v="10"/>
    <x v="2"/>
    <x v="28"/>
    <x v="10"/>
    <n v="47"/>
    <n v="0"/>
    <n v="-0.47777777777777775"/>
    <x v="5"/>
    <x v="311"/>
    <n v="0.1794871794871796"/>
    <n v="-7.8431372549019662E-2"/>
  </r>
  <r>
    <x v="2"/>
    <x v="8"/>
    <n v="11"/>
    <x v="2"/>
    <x v="28"/>
    <x v="11"/>
    <n v="44"/>
    <n v="0"/>
    <n v="-0.51111111111111107"/>
    <x v="10"/>
    <x v="312"/>
    <n v="0.10256410256410271"/>
    <n v="-6.3829787234042534E-2"/>
  </r>
  <r>
    <x v="2"/>
    <x v="8"/>
    <n v="12"/>
    <x v="2"/>
    <x v="28"/>
    <x v="12"/>
    <n v="40"/>
    <n v="0"/>
    <n v="-0.55555555555555558"/>
    <x v="8"/>
    <x v="313"/>
    <n v="0"/>
    <n v="-9.0909090909090939E-2"/>
  </r>
  <r>
    <x v="2"/>
    <x v="9"/>
    <n v="0"/>
    <x v="1"/>
    <x v="29"/>
    <x v="0"/>
    <n v="93"/>
    <n v="2"/>
    <n v="0"/>
    <x v="0"/>
    <x v="0"/>
    <s v=""/>
    <n v="0"/>
  </r>
  <r>
    <x v="2"/>
    <x v="9"/>
    <n v="1"/>
    <x v="1"/>
    <x v="29"/>
    <x v="1"/>
    <n v="117"/>
    <n v="2"/>
    <n v="0.25806451612903225"/>
    <x v="6"/>
    <x v="314"/>
    <n v="0.88405797101449279"/>
    <n v="0.25806451612903225"/>
  </r>
  <r>
    <x v="2"/>
    <x v="9"/>
    <n v="2"/>
    <x v="1"/>
    <x v="29"/>
    <x v="2"/>
    <n v="106"/>
    <n v="2"/>
    <n v="0.13978494623655924"/>
    <x v="1"/>
    <x v="315"/>
    <n v="0.72463768115942051"/>
    <n v="-9.4017094017094016E-2"/>
  </r>
  <r>
    <x v="2"/>
    <x v="9"/>
    <n v="3"/>
    <x v="1"/>
    <x v="29"/>
    <x v="3"/>
    <n v="84"/>
    <n v="2"/>
    <n v="-9.6774193548387122E-2"/>
    <x v="2"/>
    <x v="316"/>
    <n v="0.40579710144927533"/>
    <n v="-0.20754716981132071"/>
  </r>
  <r>
    <x v="2"/>
    <x v="9"/>
    <n v="4"/>
    <x v="1"/>
    <x v="29"/>
    <x v="4"/>
    <n v="105"/>
    <n v="2"/>
    <n v="0.12903225806451624"/>
    <x v="12"/>
    <x v="317"/>
    <n v="0.71014492753623215"/>
    <n v="0.25"/>
  </r>
  <r>
    <x v="2"/>
    <x v="9"/>
    <n v="5"/>
    <x v="1"/>
    <x v="29"/>
    <x v="5"/>
    <n v="108"/>
    <n v="2"/>
    <n v="0.16129032258064524"/>
    <x v="7"/>
    <x v="318"/>
    <n v="0.75362318840579734"/>
    <n v="2.857142857142847E-2"/>
  </r>
  <r>
    <x v="2"/>
    <x v="9"/>
    <n v="6"/>
    <x v="1"/>
    <x v="29"/>
    <x v="6"/>
    <n v="67"/>
    <n v="2"/>
    <n v="-0.27956989247311825"/>
    <x v="3"/>
    <x v="319"/>
    <n v="0.15942028985507251"/>
    <n v="-0.37962962962962965"/>
  </r>
  <r>
    <x v="2"/>
    <x v="9"/>
    <n v="7"/>
    <x v="1"/>
    <x v="29"/>
    <x v="7"/>
    <n v="60"/>
    <n v="2"/>
    <n v="-0.35483870967741937"/>
    <x v="10"/>
    <x v="320"/>
    <n v="5.7971014492753582E-2"/>
    <n v="-0.10447761194029848"/>
  </r>
  <r>
    <x v="2"/>
    <x v="9"/>
    <n v="8"/>
    <x v="1"/>
    <x v="29"/>
    <x v="8"/>
    <n v="56"/>
    <n v="2"/>
    <n v="-0.39784946236559138"/>
    <x v="8"/>
    <x v="321"/>
    <n v="0"/>
    <n v="-6.6666666666666652E-2"/>
  </r>
  <r>
    <x v="2"/>
    <x v="9"/>
    <n v="9"/>
    <x v="1"/>
    <x v="29"/>
    <x v="9"/>
    <n v="125"/>
    <n v="2"/>
    <n v="0.34408602150537626"/>
    <x v="9"/>
    <x v="322"/>
    <n v="1"/>
    <n v="1.2321428571428572"/>
  </r>
  <r>
    <x v="2"/>
    <x v="9"/>
    <n v="10"/>
    <x v="1"/>
    <x v="29"/>
    <x v="10"/>
    <n v="93"/>
    <n v="2"/>
    <n v="0"/>
    <x v="11"/>
    <x v="323"/>
    <n v="0.53623188405797106"/>
    <n v="-0.25600000000000001"/>
  </r>
  <r>
    <x v="2"/>
    <x v="9"/>
    <n v="11"/>
    <x v="1"/>
    <x v="29"/>
    <x v="11"/>
    <n v="67"/>
    <n v="2"/>
    <n v="-0.27956989247311825"/>
    <x v="3"/>
    <x v="319"/>
    <n v="0.15942028985507251"/>
    <n v="-0.27956989247311825"/>
  </r>
  <r>
    <x v="2"/>
    <x v="9"/>
    <n v="12"/>
    <x v="1"/>
    <x v="29"/>
    <x v="12"/>
    <n v="62"/>
    <n v="2"/>
    <n v="-0.33333333333333337"/>
    <x v="5"/>
    <x v="324"/>
    <n v="8.6956521739130363E-2"/>
    <n v="-7.4626865671641784E-2"/>
  </r>
  <r>
    <x v="3"/>
    <x v="0"/>
    <n v="0"/>
    <x v="0"/>
    <x v="30"/>
    <x v="0"/>
    <n v="102"/>
    <n v="3"/>
    <n v="0"/>
    <x v="0"/>
    <x v="0"/>
    <s v=""/>
    <n v="0"/>
  </r>
  <r>
    <x v="3"/>
    <x v="0"/>
    <n v="1"/>
    <x v="0"/>
    <x v="30"/>
    <x v="1"/>
    <n v="88"/>
    <n v="3"/>
    <n v="-0.13725490196078427"/>
    <x v="1"/>
    <x v="325"/>
    <n v="0.36936936936936943"/>
    <n v="-0.13725490196078427"/>
  </r>
  <r>
    <x v="3"/>
    <x v="0"/>
    <n v="2"/>
    <x v="0"/>
    <x v="30"/>
    <x v="2"/>
    <n v="132"/>
    <n v="3"/>
    <n v="0.29411764705882359"/>
    <x v="6"/>
    <x v="326"/>
    <n v="0.76576576576576583"/>
    <n v="0.5"/>
  </r>
  <r>
    <x v="3"/>
    <x v="0"/>
    <n v="3"/>
    <x v="0"/>
    <x v="30"/>
    <x v="3"/>
    <n v="112"/>
    <n v="3"/>
    <n v="9.8039215686274606E-2"/>
    <x v="7"/>
    <x v="327"/>
    <n v="0.58558558558558571"/>
    <n v="-0.15151515151515149"/>
  </r>
  <r>
    <x v="3"/>
    <x v="0"/>
    <n v="4"/>
    <x v="0"/>
    <x v="30"/>
    <x v="4"/>
    <n v="47"/>
    <n v="3"/>
    <n v="-0.53921568627450989"/>
    <x v="10"/>
    <x v="328"/>
    <n v="0"/>
    <n v="-0.58035714285714279"/>
  </r>
  <r>
    <x v="3"/>
    <x v="0"/>
    <n v="5"/>
    <x v="0"/>
    <x v="30"/>
    <x v="5"/>
    <n v="158"/>
    <n v="3"/>
    <n v="0.5490196078431373"/>
    <x v="9"/>
    <x v="329"/>
    <n v="1"/>
    <n v="2.3617021276595747"/>
  </r>
  <r>
    <x v="3"/>
    <x v="0"/>
    <n v="6"/>
    <x v="0"/>
    <x v="30"/>
    <x v="6"/>
    <n v="47"/>
    <n v="3"/>
    <n v="-0.53921568627450989"/>
    <x v="10"/>
    <x v="328"/>
    <n v="0"/>
    <n v="-0.70253164556962022"/>
  </r>
  <r>
    <x v="3"/>
    <x v="0"/>
    <n v="7"/>
    <x v="0"/>
    <x v="30"/>
    <x v="7"/>
    <n v="88"/>
    <n v="3"/>
    <n v="-0.13725490196078427"/>
    <x v="1"/>
    <x v="325"/>
    <n v="0.36936936936936943"/>
    <n v="0.87234042553191493"/>
  </r>
  <r>
    <x v="3"/>
    <x v="0"/>
    <n v="8"/>
    <x v="0"/>
    <x v="30"/>
    <x v="8"/>
    <n v="83"/>
    <n v="3"/>
    <n v="-0.18627450980392157"/>
    <x v="11"/>
    <x v="330"/>
    <n v="0.32432432432432434"/>
    <n v="-5.6818181818181768E-2"/>
  </r>
  <r>
    <x v="3"/>
    <x v="0"/>
    <n v="9"/>
    <x v="0"/>
    <x v="30"/>
    <x v="9"/>
    <n v="78"/>
    <n v="3"/>
    <n v="-0.23529411764705888"/>
    <x v="2"/>
    <x v="331"/>
    <n v="0.27927927927927926"/>
    <n v="-6.0240963855421659E-2"/>
  </r>
  <r>
    <x v="3"/>
    <x v="0"/>
    <n v="10"/>
    <x v="0"/>
    <x v="30"/>
    <x v="10"/>
    <n v="73"/>
    <n v="3"/>
    <n v="-0.28431372549019607"/>
    <x v="3"/>
    <x v="332"/>
    <n v="0.23423423423423428"/>
    <n v="-6.4102564102564097E-2"/>
  </r>
  <r>
    <x v="3"/>
    <x v="0"/>
    <n v="11"/>
    <x v="0"/>
    <x v="30"/>
    <x v="11"/>
    <n v="68"/>
    <n v="3"/>
    <n v="-0.33333333333333337"/>
    <x v="4"/>
    <x v="333"/>
    <n v="0.1891891891891892"/>
    <n v="-6.8493150684931559E-2"/>
  </r>
  <r>
    <x v="3"/>
    <x v="0"/>
    <n v="12"/>
    <x v="0"/>
    <x v="30"/>
    <x v="12"/>
    <n v="65"/>
    <n v="3"/>
    <n v="-0.36274509803921573"/>
    <x v="5"/>
    <x v="334"/>
    <n v="0.16216216216216217"/>
    <n v="-4.4117647058823484E-2"/>
  </r>
  <r>
    <x v="3"/>
    <x v="1"/>
    <n v="0"/>
    <x v="1"/>
    <x v="31"/>
    <x v="0"/>
    <n v="102"/>
    <n v="3"/>
    <n v="0"/>
    <x v="0"/>
    <x v="0"/>
    <s v=""/>
    <n v="0"/>
  </r>
  <r>
    <x v="3"/>
    <x v="1"/>
    <n v="1"/>
    <x v="1"/>
    <x v="31"/>
    <x v="1"/>
    <n v="65"/>
    <n v="3"/>
    <n v="-0.36274509803921573"/>
    <x v="3"/>
    <x v="335"/>
    <n v="0.13749999999999993"/>
    <n v="-0.36274509803921573"/>
  </r>
  <r>
    <x v="3"/>
    <x v="1"/>
    <n v="2"/>
    <x v="1"/>
    <x v="31"/>
    <x v="2"/>
    <n v="57"/>
    <n v="3"/>
    <n v="-0.44117647058823528"/>
    <x v="10"/>
    <x v="336"/>
    <n v="3.7500000000000006E-2"/>
    <n v="-0.12307692307692308"/>
  </r>
  <r>
    <x v="3"/>
    <x v="1"/>
    <n v="3"/>
    <x v="1"/>
    <x v="31"/>
    <x v="3"/>
    <n v="115"/>
    <n v="3"/>
    <n v="0.12745098039215685"/>
    <x v="1"/>
    <x v="337"/>
    <n v="0.76249999999999996"/>
    <n v="1.0175438596491229"/>
  </r>
  <r>
    <x v="3"/>
    <x v="1"/>
    <n v="4"/>
    <x v="1"/>
    <x v="31"/>
    <x v="4"/>
    <n v="111"/>
    <n v="3"/>
    <n v="8.8235294117646967E-2"/>
    <x v="12"/>
    <x v="338"/>
    <n v="0.71249999999999991"/>
    <n v="-3.4782608695652195E-2"/>
  </r>
  <r>
    <x v="3"/>
    <x v="1"/>
    <n v="5"/>
    <x v="1"/>
    <x v="31"/>
    <x v="5"/>
    <n v="128"/>
    <n v="3"/>
    <n v="0.25490196078431371"/>
    <x v="6"/>
    <x v="339"/>
    <n v="0.92499999999999993"/>
    <n v="0.15315315315315314"/>
  </r>
  <r>
    <x v="3"/>
    <x v="1"/>
    <n v="6"/>
    <x v="1"/>
    <x v="31"/>
    <x v="6"/>
    <n v="120"/>
    <n v="3"/>
    <n v="0.17647058823529416"/>
    <x v="7"/>
    <x v="340"/>
    <n v="0.82500000000000007"/>
    <n v="-6.25E-2"/>
  </r>
  <r>
    <x v="3"/>
    <x v="1"/>
    <n v="7"/>
    <x v="1"/>
    <x v="31"/>
    <x v="7"/>
    <n v="93"/>
    <n v="3"/>
    <n v="-8.8235294117647078E-2"/>
    <x v="2"/>
    <x v="341"/>
    <n v="0.48749999999999999"/>
    <n v="-0.22499999999999998"/>
  </r>
  <r>
    <x v="3"/>
    <x v="1"/>
    <n v="8"/>
    <x v="1"/>
    <x v="31"/>
    <x v="8"/>
    <n v="97"/>
    <n v="3"/>
    <n v="-4.9019607843137303E-2"/>
    <x v="11"/>
    <x v="342"/>
    <n v="0.53749999999999998"/>
    <n v="4.3010752688172005E-2"/>
  </r>
  <r>
    <x v="3"/>
    <x v="1"/>
    <n v="9"/>
    <x v="1"/>
    <x v="31"/>
    <x v="9"/>
    <n v="65"/>
    <n v="3"/>
    <n v="-0.36274509803921573"/>
    <x v="3"/>
    <x v="335"/>
    <n v="0.13749999999999993"/>
    <n v="-0.32989690721649489"/>
  </r>
  <r>
    <x v="3"/>
    <x v="1"/>
    <n v="10"/>
    <x v="1"/>
    <x v="31"/>
    <x v="10"/>
    <n v="61"/>
    <n v="3"/>
    <n v="-0.40196078431372551"/>
    <x v="5"/>
    <x v="343"/>
    <n v="8.7499999999999967E-2"/>
    <n v="-6.1538461538461542E-2"/>
  </r>
  <r>
    <x v="3"/>
    <x v="1"/>
    <n v="11"/>
    <x v="1"/>
    <x v="31"/>
    <x v="11"/>
    <n v="54"/>
    <n v="3"/>
    <n v="-0.47058823529411764"/>
    <x v="8"/>
    <x v="344"/>
    <n v="0"/>
    <n v="-0.11475409836065575"/>
  </r>
  <r>
    <x v="3"/>
    <x v="1"/>
    <n v="12"/>
    <x v="1"/>
    <x v="31"/>
    <x v="12"/>
    <n v="134"/>
    <n v="3"/>
    <n v="0.31372549019607843"/>
    <x v="9"/>
    <x v="345"/>
    <n v="1"/>
    <n v="1.4814814814814814"/>
  </r>
  <r>
    <x v="3"/>
    <x v="2"/>
    <n v="0"/>
    <x v="2"/>
    <x v="32"/>
    <x v="0"/>
    <n v="90"/>
    <n v="0"/>
    <n v="0"/>
    <x v="0"/>
    <x v="0"/>
    <s v=""/>
    <n v="0"/>
  </r>
  <r>
    <x v="3"/>
    <x v="2"/>
    <n v="1"/>
    <x v="2"/>
    <x v="32"/>
    <x v="1"/>
    <n v="80"/>
    <n v="0"/>
    <n v="-0.11111111111111116"/>
    <x v="9"/>
    <x v="346"/>
    <n v="1"/>
    <n v="-0.11111111111111116"/>
  </r>
  <r>
    <x v="3"/>
    <x v="2"/>
    <n v="2"/>
    <x v="2"/>
    <x v="32"/>
    <x v="2"/>
    <n v="77"/>
    <n v="0"/>
    <n v="-0.14444444444444449"/>
    <x v="6"/>
    <x v="347"/>
    <n v="0.91891891891891886"/>
    <n v="-3.7499999999999978E-2"/>
  </r>
  <r>
    <x v="3"/>
    <x v="2"/>
    <n v="3"/>
    <x v="2"/>
    <x v="32"/>
    <x v="3"/>
    <n v="73"/>
    <n v="0"/>
    <n v="-0.18888888888888888"/>
    <x v="7"/>
    <x v="348"/>
    <n v="0.81081081081081086"/>
    <n v="-5.1948051948051965E-2"/>
  </r>
  <r>
    <x v="3"/>
    <x v="2"/>
    <n v="4"/>
    <x v="2"/>
    <x v="32"/>
    <x v="4"/>
    <n v="69"/>
    <n v="0"/>
    <n v="-0.23333333333333328"/>
    <x v="1"/>
    <x v="349"/>
    <n v="0.70270270270270285"/>
    <n v="-5.4794520547945202E-2"/>
  </r>
  <r>
    <x v="3"/>
    <x v="2"/>
    <n v="5"/>
    <x v="2"/>
    <x v="32"/>
    <x v="5"/>
    <n v="66"/>
    <n v="0"/>
    <n v="-0.26666666666666672"/>
    <x v="12"/>
    <x v="350"/>
    <n v="0.62162162162162149"/>
    <n v="-4.3478260869565188E-2"/>
  </r>
  <r>
    <x v="3"/>
    <x v="2"/>
    <n v="6"/>
    <x v="2"/>
    <x v="32"/>
    <x v="6"/>
    <n v="63"/>
    <n v="0"/>
    <n v="-0.30000000000000004"/>
    <x v="11"/>
    <x v="351"/>
    <n v="0.54054054054054046"/>
    <n v="-4.5454545454545414E-2"/>
  </r>
  <r>
    <x v="3"/>
    <x v="2"/>
    <n v="7"/>
    <x v="2"/>
    <x v="32"/>
    <x v="7"/>
    <n v="60"/>
    <n v="0"/>
    <n v="-0.33333333333333337"/>
    <x v="2"/>
    <x v="352"/>
    <n v="0.45945945945945932"/>
    <n v="-4.7619047619047672E-2"/>
  </r>
  <r>
    <x v="3"/>
    <x v="2"/>
    <n v="8"/>
    <x v="2"/>
    <x v="32"/>
    <x v="8"/>
    <n v="56"/>
    <n v="0"/>
    <n v="-0.37777777777777777"/>
    <x v="3"/>
    <x v="353"/>
    <n v="0.35135135135135132"/>
    <n v="-6.6666666666666652E-2"/>
  </r>
  <r>
    <x v="3"/>
    <x v="2"/>
    <n v="9"/>
    <x v="2"/>
    <x v="32"/>
    <x v="9"/>
    <n v="52"/>
    <n v="0"/>
    <n v="-0.42222222222222228"/>
    <x v="4"/>
    <x v="354"/>
    <n v="0.24324324324324301"/>
    <n v="-7.1428571428571397E-2"/>
  </r>
  <r>
    <x v="3"/>
    <x v="2"/>
    <n v="10"/>
    <x v="2"/>
    <x v="32"/>
    <x v="10"/>
    <n v="49"/>
    <n v="0"/>
    <n v="-0.4555555555555556"/>
    <x v="5"/>
    <x v="355"/>
    <n v="0.16216216216216189"/>
    <n v="-5.7692307692307709E-2"/>
  </r>
  <r>
    <x v="3"/>
    <x v="2"/>
    <n v="11"/>
    <x v="2"/>
    <x v="32"/>
    <x v="11"/>
    <n v="46"/>
    <n v="0"/>
    <n v="-0.48888888888888893"/>
    <x v="10"/>
    <x v="356"/>
    <n v="8.1081081081080822E-2"/>
    <n v="-6.1224489795918324E-2"/>
  </r>
  <r>
    <x v="3"/>
    <x v="2"/>
    <n v="12"/>
    <x v="2"/>
    <x v="32"/>
    <x v="12"/>
    <n v="43"/>
    <n v="0"/>
    <n v="-0.52222222222222214"/>
    <x v="8"/>
    <x v="357"/>
    <n v="0"/>
    <n v="-6.5217391304347783E-2"/>
  </r>
  <r>
    <x v="3"/>
    <x v="3"/>
    <n v="0"/>
    <x v="3"/>
    <x v="33"/>
    <x v="0"/>
    <n v="106"/>
    <n v="2"/>
    <n v="0"/>
    <x v="0"/>
    <x v="0"/>
    <s v=""/>
    <n v="0"/>
  </r>
  <r>
    <x v="3"/>
    <x v="3"/>
    <n v="1"/>
    <x v="3"/>
    <x v="33"/>
    <x v="1"/>
    <n v="94"/>
    <n v="2"/>
    <n v="-0.1132075471698113"/>
    <x v="11"/>
    <x v="358"/>
    <n v="0.12228260869565218"/>
    <n v="-0.1132075471698113"/>
  </r>
  <r>
    <x v="3"/>
    <x v="3"/>
    <n v="2"/>
    <x v="3"/>
    <x v="33"/>
    <x v="2"/>
    <n v="90"/>
    <n v="2"/>
    <n v="-0.15094339622641506"/>
    <x v="2"/>
    <x v="359"/>
    <n v="0.11141304347826088"/>
    <n v="-4.2553191489361653E-2"/>
  </r>
  <r>
    <x v="3"/>
    <x v="3"/>
    <n v="3"/>
    <x v="3"/>
    <x v="33"/>
    <x v="3"/>
    <n v="85"/>
    <n v="2"/>
    <n v="-0.19811320754716977"/>
    <x v="3"/>
    <x v="360"/>
    <n v="9.7826086956521743E-2"/>
    <n v="-5.555555555555558E-2"/>
  </r>
  <r>
    <x v="3"/>
    <x v="3"/>
    <n v="4"/>
    <x v="3"/>
    <x v="33"/>
    <x v="4"/>
    <n v="81"/>
    <n v="2"/>
    <n v="-0.23584905660377353"/>
    <x v="5"/>
    <x v="361"/>
    <n v="8.6956521739130446E-2"/>
    <n v="-4.705882352941182E-2"/>
  </r>
  <r>
    <x v="3"/>
    <x v="3"/>
    <n v="5"/>
    <x v="3"/>
    <x v="33"/>
    <x v="5"/>
    <n v="76"/>
    <n v="2"/>
    <n v="-0.28301886792452835"/>
    <x v="10"/>
    <x v="362"/>
    <n v="7.3369565217391283E-2"/>
    <n v="-6.1728395061728447E-2"/>
  </r>
  <r>
    <x v="3"/>
    <x v="3"/>
    <n v="6"/>
    <x v="3"/>
    <x v="33"/>
    <x v="6"/>
    <n v="105"/>
    <n v="2"/>
    <n v="-9.4339622641509413E-3"/>
    <x v="12"/>
    <x v="363"/>
    <n v="0.15217391304347824"/>
    <n v="0.38157894736842102"/>
  </r>
  <r>
    <x v="3"/>
    <x v="3"/>
    <n v="7"/>
    <x v="3"/>
    <x v="33"/>
    <x v="7"/>
    <n v="151"/>
    <n v="2"/>
    <n v="0.42452830188679247"/>
    <x v="7"/>
    <x v="364"/>
    <n v="0.27717391304347827"/>
    <n v="0.43809523809523809"/>
  </r>
  <r>
    <x v="3"/>
    <x v="3"/>
    <n v="8"/>
    <x v="3"/>
    <x v="33"/>
    <x v="8"/>
    <n v="417"/>
    <n v="2"/>
    <n v="2.9339622641509435"/>
    <x v="9"/>
    <x v="365"/>
    <n v="1"/>
    <n v="1.76158940397351"/>
  </r>
  <r>
    <x v="3"/>
    <x v="3"/>
    <n v="9"/>
    <x v="3"/>
    <x v="33"/>
    <x v="9"/>
    <n v="195"/>
    <n v="2"/>
    <n v="0.83962264150943389"/>
    <x v="6"/>
    <x v="366"/>
    <n v="0.39673913043478259"/>
    <n v="-0.53237410071942448"/>
  </r>
  <r>
    <x v="3"/>
    <x v="3"/>
    <n v="10"/>
    <x v="3"/>
    <x v="33"/>
    <x v="10"/>
    <n v="130"/>
    <n v="2"/>
    <n v="0.22641509433962259"/>
    <x v="1"/>
    <x v="367"/>
    <n v="0.22010869565217389"/>
    <n v="-0.33333333333333337"/>
  </r>
  <r>
    <x v="3"/>
    <x v="3"/>
    <n v="11"/>
    <x v="3"/>
    <x v="33"/>
    <x v="11"/>
    <n v="83"/>
    <n v="2"/>
    <n v="-0.21698113207547165"/>
    <x v="4"/>
    <x v="368"/>
    <n v="9.2391304347826095E-2"/>
    <n v="-0.36153846153846159"/>
  </r>
  <r>
    <x v="3"/>
    <x v="3"/>
    <n v="12"/>
    <x v="3"/>
    <x v="33"/>
    <x v="12"/>
    <n v="49"/>
    <n v="2"/>
    <n v="-0.53773584905660377"/>
    <x v="8"/>
    <x v="369"/>
    <n v="0"/>
    <n v="-0.40963855421686746"/>
  </r>
  <r>
    <x v="3"/>
    <x v="4"/>
    <n v="0"/>
    <x v="2"/>
    <x v="34"/>
    <x v="0"/>
    <n v="100"/>
    <n v="1"/>
    <n v="0"/>
    <x v="0"/>
    <x v="0"/>
    <s v=""/>
    <n v="0"/>
  </r>
  <r>
    <x v="3"/>
    <x v="4"/>
    <n v="1"/>
    <x v="2"/>
    <x v="34"/>
    <x v="1"/>
    <n v="89"/>
    <n v="1"/>
    <n v="-0.10999999999999999"/>
    <x v="9"/>
    <x v="370"/>
    <n v="1"/>
    <n v="-0.10999999999999999"/>
  </r>
  <r>
    <x v="3"/>
    <x v="4"/>
    <n v="2"/>
    <x v="2"/>
    <x v="34"/>
    <x v="2"/>
    <n v="84"/>
    <n v="1"/>
    <n v="-0.16000000000000003"/>
    <x v="6"/>
    <x v="371"/>
    <n v="0.88372093023255804"/>
    <n v="-5.6179775280898903E-2"/>
  </r>
  <r>
    <x v="3"/>
    <x v="4"/>
    <n v="3"/>
    <x v="2"/>
    <x v="34"/>
    <x v="3"/>
    <n v="80"/>
    <n v="1"/>
    <n v="-0.19999999999999996"/>
    <x v="7"/>
    <x v="372"/>
    <n v="0.79069767441860472"/>
    <n v="-4.7619047619047672E-2"/>
  </r>
  <r>
    <x v="3"/>
    <x v="4"/>
    <n v="4"/>
    <x v="2"/>
    <x v="34"/>
    <x v="4"/>
    <n v="77"/>
    <n v="1"/>
    <n v="-0.22999999999999998"/>
    <x v="1"/>
    <x v="373"/>
    <n v="0.72093023255813959"/>
    <n v="-3.7499999999999978E-2"/>
  </r>
  <r>
    <x v="3"/>
    <x v="4"/>
    <n v="5"/>
    <x v="2"/>
    <x v="34"/>
    <x v="5"/>
    <n v="73"/>
    <n v="1"/>
    <n v="-0.27"/>
    <x v="12"/>
    <x v="374"/>
    <n v="0.62790697674418605"/>
    <n v="-5.1948051948051965E-2"/>
  </r>
  <r>
    <x v="3"/>
    <x v="4"/>
    <n v="6"/>
    <x v="2"/>
    <x v="34"/>
    <x v="6"/>
    <n v="69"/>
    <n v="1"/>
    <n v="-0.31000000000000005"/>
    <x v="11"/>
    <x v="375"/>
    <n v="0.53488372093023251"/>
    <n v="-5.4794520547945202E-2"/>
  </r>
  <r>
    <x v="3"/>
    <x v="4"/>
    <n v="7"/>
    <x v="2"/>
    <x v="34"/>
    <x v="7"/>
    <n v="65"/>
    <n v="1"/>
    <n v="-0.35"/>
    <x v="2"/>
    <x v="376"/>
    <n v="0.44186046511627913"/>
    <n v="-5.7971014492753659E-2"/>
  </r>
  <r>
    <x v="3"/>
    <x v="4"/>
    <n v="8"/>
    <x v="2"/>
    <x v="34"/>
    <x v="8"/>
    <n v="60"/>
    <n v="1"/>
    <n v="-0.4"/>
    <x v="3"/>
    <x v="377"/>
    <n v="0.32558139534883718"/>
    <n v="-7.6923076923076872E-2"/>
  </r>
  <r>
    <x v="3"/>
    <x v="4"/>
    <n v="9"/>
    <x v="2"/>
    <x v="34"/>
    <x v="9"/>
    <n v="57"/>
    <n v="1"/>
    <n v="-0.43000000000000005"/>
    <x v="4"/>
    <x v="378"/>
    <n v="0.25581395348837205"/>
    <n v="-5.0000000000000044E-2"/>
  </r>
  <r>
    <x v="3"/>
    <x v="4"/>
    <n v="10"/>
    <x v="2"/>
    <x v="34"/>
    <x v="10"/>
    <n v="53"/>
    <n v="1"/>
    <n v="-0.47"/>
    <x v="5"/>
    <x v="379"/>
    <n v="0.16279069767441873"/>
    <n v="-7.0175438596491224E-2"/>
  </r>
  <r>
    <x v="3"/>
    <x v="4"/>
    <n v="11"/>
    <x v="2"/>
    <x v="34"/>
    <x v="11"/>
    <n v="49"/>
    <n v="1"/>
    <n v="-0.51"/>
    <x v="10"/>
    <x v="380"/>
    <n v="6.9767441860465171E-2"/>
    <n v="-7.547169811320753E-2"/>
  </r>
  <r>
    <x v="3"/>
    <x v="4"/>
    <n v="12"/>
    <x v="2"/>
    <x v="34"/>
    <x v="12"/>
    <n v="46"/>
    <n v="1"/>
    <n v="-0.54"/>
    <x v="8"/>
    <x v="381"/>
    <n v="0"/>
    <n v="-6.1224489795918324E-2"/>
  </r>
  <r>
    <x v="3"/>
    <x v="5"/>
    <n v="0"/>
    <x v="3"/>
    <x v="35"/>
    <x v="0"/>
    <n v="109"/>
    <n v="2"/>
    <n v="0"/>
    <x v="0"/>
    <x v="0"/>
    <s v=""/>
    <n v="0"/>
  </r>
  <r>
    <x v="3"/>
    <x v="5"/>
    <n v="1"/>
    <x v="3"/>
    <x v="35"/>
    <x v="1"/>
    <n v="94"/>
    <n v="2"/>
    <n v="-0.13761467889908252"/>
    <x v="2"/>
    <x v="382"/>
    <n v="4.4345898004434586E-2"/>
    <n v="-0.13761467889908252"/>
  </r>
  <r>
    <x v="3"/>
    <x v="5"/>
    <n v="2"/>
    <x v="3"/>
    <x v="35"/>
    <x v="2"/>
    <n v="89"/>
    <n v="2"/>
    <n v="-0.1834862385321101"/>
    <x v="4"/>
    <x v="383"/>
    <n v="3.3259423503325926E-2"/>
    <n v="-5.3191489361702149E-2"/>
  </r>
  <r>
    <x v="3"/>
    <x v="5"/>
    <n v="3"/>
    <x v="3"/>
    <x v="35"/>
    <x v="3"/>
    <n v="85"/>
    <n v="2"/>
    <n v="-0.22018348623853212"/>
    <x v="5"/>
    <x v="384"/>
    <n v="2.4390243902439011E-2"/>
    <n v="-4.49438202247191E-2"/>
  </r>
  <r>
    <x v="3"/>
    <x v="5"/>
    <n v="4"/>
    <x v="3"/>
    <x v="35"/>
    <x v="4"/>
    <n v="111"/>
    <n v="2"/>
    <n v="1.8348623853210899E-2"/>
    <x v="12"/>
    <x v="385"/>
    <n v="8.2039911308203955E-2"/>
    <n v="0.30588235294117649"/>
  </r>
  <r>
    <x v="3"/>
    <x v="5"/>
    <n v="5"/>
    <x v="3"/>
    <x v="35"/>
    <x v="5"/>
    <n v="194"/>
    <n v="2"/>
    <n v="0.77981651376146788"/>
    <x v="6"/>
    <x v="386"/>
    <n v="0.26607538802660752"/>
    <n v="0.74774774774774766"/>
  </r>
  <r>
    <x v="3"/>
    <x v="5"/>
    <n v="6"/>
    <x v="3"/>
    <x v="35"/>
    <x v="6"/>
    <n v="525"/>
    <n v="2"/>
    <n v="3.8165137614678901"/>
    <x v="9"/>
    <x v="387"/>
    <n v="1"/>
    <n v="1.7061855670103094"/>
  </r>
  <r>
    <x v="3"/>
    <x v="5"/>
    <n v="7"/>
    <x v="3"/>
    <x v="35"/>
    <x v="7"/>
    <n v="169"/>
    <n v="2"/>
    <n v="0.55045871559633031"/>
    <x v="7"/>
    <x v="388"/>
    <n v="0.21064301552106429"/>
    <n v="-0.67809523809523808"/>
  </r>
  <r>
    <x v="3"/>
    <x v="5"/>
    <n v="8"/>
    <x v="3"/>
    <x v="35"/>
    <x v="8"/>
    <n v="142"/>
    <n v="2"/>
    <n v="0.30275229357798161"/>
    <x v="1"/>
    <x v="389"/>
    <n v="0.15077605321507759"/>
    <n v="-0.15976331360946749"/>
  </r>
  <r>
    <x v="3"/>
    <x v="5"/>
    <n v="9"/>
    <x v="3"/>
    <x v="35"/>
    <x v="9"/>
    <n v="80"/>
    <n v="2"/>
    <n v="-0.26605504587155959"/>
    <x v="10"/>
    <x v="390"/>
    <n v="1.3303769401330377E-2"/>
    <n v="-0.43661971830985913"/>
  </r>
  <r>
    <x v="3"/>
    <x v="5"/>
    <n v="10"/>
    <x v="3"/>
    <x v="35"/>
    <x v="10"/>
    <n v="74"/>
    <n v="2"/>
    <n v="-0.32110091743119262"/>
    <x v="8"/>
    <x v="391"/>
    <n v="0"/>
    <n v="-7.4999999999999956E-2"/>
  </r>
  <r>
    <x v="3"/>
    <x v="5"/>
    <n v="11"/>
    <x v="3"/>
    <x v="35"/>
    <x v="11"/>
    <n v="95"/>
    <n v="2"/>
    <n v="-0.12844036697247707"/>
    <x v="11"/>
    <x v="392"/>
    <n v="4.6563192904656305E-2"/>
    <n v="0.28378378378378377"/>
  </r>
  <r>
    <x v="3"/>
    <x v="5"/>
    <n v="12"/>
    <x v="3"/>
    <x v="35"/>
    <x v="12"/>
    <n v="93"/>
    <n v="2"/>
    <n v="-0.14678899082568808"/>
    <x v="3"/>
    <x v="393"/>
    <n v="4.2128603104212847E-2"/>
    <n v="-2.1052631578947323E-2"/>
  </r>
  <r>
    <x v="3"/>
    <x v="6"/>
    <n v="0"/>
    <x v="3"/>
    <x v="36"/>
    <x v="0"/>
    <n v="98"/>
    <n v="1"/>
    <n v="0"/>
    <x v="0"/>
    <x v="0"/>
    <s v=""/>
    <n v="0"/>
  </r>
  <r>
    <x v="3"/>
    <x v="6"/>
    <n v="1"/>
    <x v="3"/>
    <x v="36"/>
    <x v="1"/>
    <n v="86"/>
    <n v="1"/>
    <n v="-0.12244897959183676"/>
    <x v="11"/>
    <x v="394"/>
    <n v="0.16"/>
    <n v="-0.12244897959183676"/>
  </r>
  <r>
    <x v="3"/>
    <x v="6"/>
    <n v="2"/>
    <x v="3"/>
    <x v="36"/>
    <x v="2"/>
    <n v="83"/>
    <n v="1"/>
    <n v="-0.15306122448979587"/>
    <x v="2"/>
    <x v="395"/>
    <n v="0.14909090909090911"/>
    <n v="-3.4883720930232509E-2"/>
  </r>
  <r>
    <x v="3"/>
    <x v="6"/>
    <n v="3"/>
    <x v="3"/>
    <x v="36"/>
    <x v="3"/>
    <n v="110"/>
    <n v="1"/>
    <n v="0.12244897959183665"/>
    <x v="1"/>
    <x v="396"/>
    <n v="0.24727272727272726"/>
    <n v="0.32530120481927716"/>
  </r>
  <r>
    <x v="3"/>
    <x v="6"/>
    <n v="4"/>
    <x v="3"/>
    <x v="36"/>
    <x v="4"/>
    <n v="192"/>
    <n v="1"/>
    <n v="0.95918367346938771"/>
    <x v="6"/>
    <x v="397"/>
    <n v="0.54545454545454553"/>
    <n v="0.74545454545454537"/>
  </r>
  <r>
    <x v="3"/>
    <x v="6"/>
    <n v="5"/>
    <x v="3"/>
    <x v="36"/>
    <x v="5"/>
    <n v="317"/>
    <n v="1"/>
    <n v="2.2346938775510203"/>
    <x v="9"/>
    <x v="398"/>
    <n v="1"/>
    <n v="0.65104166666666674"/>
  </r>
  <r>
    <x v="3"/>
    <x v="6"/>
    <n v="6"/>
    <x v="3"/>
    <x v="36"/>
    <x v="6"/>
    <n v="161"/>
    <n v="1"/>
    <n v="0.64285714285714279"/>
    <x v="7"/>
    <x v="399"/>
    <n v="0.43272727272727274"/>
    <n v="-0.49211356466876977"/>
  </r>
  <r>
    <x v="3"/>
    <x v="6"/>
    <n v="7"/>
    <x v="3"/>
    <x v="36"/>
    <x v="7"/>
    <n v="110"/>
    <n v="1"/>
    <n v="0.12244897959183665"/>
    <x v="1"/>
    <x v="396"/>
    <n v="0.24727272727272726"/>
    <n v="-0.31677018633540377"/>
  </r>
  <r>
    <x v="3"/>
    <x v="6"/>
    <n v="8"/>
    <x v="3"/>
    <x v="36"/>
    <x v="8"/>
    <n v="56"/>
    <n v="1"/>
    <n v="-0.4285714285714286"/>
    <x v="10"/>
    <x v="400"/>
    <n v="5.090909090909089E-2"/>
    <n v="-0.49090909090909096"/>
  </r>
  <r>
    <x v="3"/>
    <x v="6"/>
    <n v="9"/>
    <x v="3"/>
    <x v="36"/>
    <x v="9"/>
    <n v="42"/>
    <n v="1"/>
    <n v="-0.5714285714285714"/>
    <x v="8"/>
    <x v="401"/>
    <n v="0"/>
    <n v="-0.25"/>
  </r>
  <r>
    <x v="3"/>
    <x v="6"/>
    <n v="10"/>
    <x v="3"/>
    <x v="36"/>
    <x v="10"/>
    <n v="68"/>
    <n v="1"/>
    <n v="-0.30612244897959184"/>
    <x v="4"/>
    <x v="402"/>
    <n v="9.4545454545454544E-2"/>
    <n v="0.61904761904761907"/>
  </r>
  <r>
    <x v="3"/>
    <x v="6"/>
    <n v="11"/>
    <x v="3"/>
    <x v="36"/>
    <x v="11"/>
    <n v="62"/>
    <n v="1"/>
    <n v="-0.36734693877551017"/>
    <x v="5"/>
    <x v="403"/>
    <n v="7.2727272727272738E-2"/>
    <n v="-8.8235294117647078E-2"/>
  </r>
  <r>
    <x v="3"/>
    <x v="6"/>
    <n v="12"/>
    <x v="3"/>
    <x v="36"/>
    <x v="12"/>
    <n v="70"/>
    <n v="1"/>
    <n v="-0.2857142857142857"/>
    <x v="3"/>
    <x v="404"/>
    <n v="0.10181818181818182"/>
    <n v="0.12903225806451624"/>
  </r>
  <r>
    <x v="3"/>
    <x v="7"/>
    <n v="0"/>
    <x v="2"/>
    <x v="37"/>
    <x v="0"/>
    <n v="91"/>
    <n v="1"/>
    <n v="0"/>
    <x v="0"/>
    <x v="0"/>
    <s v=""/>
    <n v="0"/>
  </r>
  <r>
    <x v="3"/>
    <x v="7"/>
    <n v="1"/>
    <x v="2"/>
    <x v="37"/>
    <x v="1"/>
    <n v="80"/>
    <n v="1"/>
    <n v="-0.12087912087912089"/>
    <x v="9"/>
    <x v="405"/>
    <n v="1"/>
    <n v="-0.12087912087912089"/>
  </r>
  <r>
    <x v="3"/>
    <x v="7"/>
    <n v="2"/>
    <x v="2"/>
    <x v="37"/>
    <x v="2"/>
    <n v="77"/>
    <n v="1"/>
    <n v="-0.15384615384615385"/>
    <x v="6"/>
    <x v="406"/>
    <n v="0.92500000000000004"/>
    <n v="-3.7499999999999978E-2"/>
  </r>
  <r>
    <x v="3"/>
    <x v="7"/>
    <n v="3"/>
    <x v="2"/>
    <x v="37"/>
    <x v="3"/>
    <n v="74"/>
    <n v="1"/>
    <n v="-0.18681318681318682"/>
    <x v="7"/>
    <x v="407"/>
    <n v="0.85"/>
    <n v="-3.8961038961038974E-2"/>
  </r>
  <r>
    <x v="3"/>
    <x v="7"/>
    <n v="4"/>
    <x v="2"/>
    <x v="37"/>
    <x v="4"/>
    <n v="70"/>
    <n v="1"/>
    <n v="-0.23076923076923073"/>
    <x v="1"/>
    <x v="408"/>
    <n v="0.75000000000000011"/>
    <n v="-5.4054054054054057E-2"/>
  </r>
  <r>
    <x v="3"/>
    <x v="7"/>
    <n v="5"/>
    <x v="2"/>
    <x v="37"/>
    <x v="5"/>
    <n v="66"/>
    <n v="1"/>
    <n v="-0.27472527472527475"/>
    <x v="12"/>
    <x v="409"/>
    <n v="0.65"/>
    <n v="-5.7142857142857162E-2"/>
  </r>
  <r>
    <x v="3"/>
    <x v="7"/>
    <n v="6"/>
    <x v="2"/>
    <x v="37"/>
    <x v="6"/>
    <n v="63"/>
    <n v="1"/>
    <n v="-0.30769230769230771"/>
    <x v="11"/>
    <x v="410"/>
    <n v="0.57499999999999996"/>
    <n v="-4.5454545454545414E-2"/>
  </r>
  <r>
    <x v="3"/>
    <x v="7"/>
    <n v="7"/>
    <x v="2"/>
    <x v="37"/>
    <x v="7"/>
    <n v="60"/>
    <n v="1"/>
    <n v="-0.34065934065934067"/>
    <x v="2"/>
    <x v="411"/>
    <n v="0.5"/>
    <n v="-4.7619047619047672E-2"/>
  </r>
  <r>
    <x v="3"/>
    <x v="7"/>
    <n v="8"/>
    <x v="2"/>
    <x v="37"/>
    <x v="8"/>
    <n v="55"/>
    <n v="1"/>
    <n v="-0.39560439560439564"/>
    <x v="3"/>
    <x v="412"/>
    <n v="0.37499999999999994"/>
    <n v="-8.333333333333337E-2"/>
  </r>
  <r>
    <x v="3"/>
    <x v="7"/>
    <n v="9"/>
    <x v="2"/>
    <x v="37"/>
    <x v="9"/>
    <n v="51"/>
    <n v="1"/>
    <n v="-0.43956043956043955"/>
    <x v="4"/>
    <x v="413"/>
    <n v="0.27500000000000002"/>
    <n v="-7.2727272727272751E-2"/>
  </r>
  <r>
    <x v="3"/>
    <x v="7"/>
    <n v="10"/>
    <x v="2"/>
    <x v="37"/>
    <x v="10"/>
    <n v="46"/>
    <n v="1"/>
    <n v="-0.49450549450549453"/>
    <x v="5"/>
    <x v="414"/>
    <n v="0.14999999999999997"/>
    <n v="-9.8039215686274495E-2"/>
  </r>
  <r>
    <x v="3"/>
    <x v="7"/>
    <n v="11"/>
    <x v="2"/>
    <x v="37"/>
    <x v="11"/>
    <n v="43"/>
    <n v="1"/>
    <n v="-0.52747252747252749"/>
    <x v="10"/>
    <x v="415"/>
    <n v="7.4999999999999983E-2"/>
    <n v="-6.5217391304347783E-2"/>
  </r>
  <r>
    <x v="3"/>
    <x v="7"/>
    <n v="12"/>
    <x v="2"/>
    <x v="37"/>
    <x v="12"/>
    <n v="40"/>
    <n v="1"/>
    <n v="-0.56043956043956045"/>
    <x v="8"/>
    <x v="416"/>
    <n v="0"/>
    <n v="-6.9767441860465129E-2"/>
  </r>
  <r>
    <x v="3"/>
    <x v="8"/>
    <n v="0"/>
    <x v="1"/>
    <x v="38"/>
    <x v="0"/>
    <n v="106"/>
    <n v="2"/>
    <n v="0"/>
    <x v="0"/>
    <x v="0"/>
    <s v=""/>
    <n v="0"/>
  </r>
  <r>
    <x v="3"/>
    <x v="8"/>
    <n v="1"/>
    <x v="1"/>
    <x v="38"/>
    <x v="1"/>
    <n v="108"/>
    <n v="2"/>
    <n v="1.8867924528301883E-2"/>
    <x v="11"/>
    <x v="417"/>
    <n v="0.70731707317073178"/>
    <n v="1.8867924528301883E-2"/>
  </r>
  <r>
    <x v="3"/>
    <x v="8"/>
    <n v="2"/>
    <x v="1"/>
    <x v="38"/>
    <x v="2"/>
    <n v="102"/>
    <n v="2"/>
    <n v="-3.7735849056603765E-2"/>
    <x v="2"/>
    <x v="418"/>
    <n v="0.63414634146341464"/>
    <n v="-5.555555555555558E-2"/>
  </r>
  <r>
    <x v="3"/>
    <x v="8"/>
    <n v="3"/>
    <x v="1"/>
    <x v="38"/>
    <x v="3"/>
    <n v="128"/>
    <n v="2"/>
    <n v="0.20754716981132071"/>
    <x v="6"/>
    <x v="419"/>
    <n v="0.95121951219512191"/>
    <n v="0.25490196078431371"/>
  </r>
  <r>
    <x v="3"/>
    <x v="8"/>
    <n v="4"/>
    <x v="1"/>
    <x v="38"/>
    <x v="4"/>
    <n v="67"/>
    <n v="2"/>
    <n v="-0.36792452830188682"/>
    <x v="3"/>
    <x v="420"/>
    <n v="0.20731707317073167"/>
    <n v="-0.4765625"/>
  </r>
  <r>
    <x v="3"/>
    <x v="8"/>
    <n v="5"/>
    <x v="1"/>
    <x v="38"/>
    <x v="5"/>
    <n v="56"/>
    <n v="2"/>
    <n v="-0.47169811320754718"/>
    <x v="10"/>
    <x v="421"/>
    <n v="7.3170731707317069E-2"/>
    <n v="-0.16417910447761197"/>
  </r>
  <r>
    <x v="3"/>
    <x v="8"/>
    <n v="6"/>
    <x v="1"/>
    <x v="38"/>
    <x v="6"/>
    <n v="50"/>
    <n v="2"/>
    <n v="-0.52830188679245282"/>
    <x v="8"/>
    <x v="422"/>
    <n v="0"/>
    <n v="-0.1071428571428571"/>
  </r>
  <r>
    <x v="3"/>
    <x v="8"/>
    <n v="7"/>
    <x v="1"/>
    <x v="38"/>
    <x v="7"/>
    <n v="132"/>
    <n v="2"/>
    <n v="0.24528301886792447"/>
    <x v="9"/>
    <x v="423"/>
    <n v="1"/>
    <n v="1.6400000000000001"/>
  </r>
  <r>
    <x v="3"/>
    <x v="8"/>
    <n v="8"/>
    <x v="1"/>
    <x v="38"/>
    <x v="8"/>
    <n v="109"/>
    <n v="2"/>
    <n v="2.8301886792452935E-2"/>
    <x v="12"/>
    <x v="424"/>
    <n v="0.71951219512195141"/>
    <n v="-0.1742424242424242"/>
  </r>
  <r>
    <x v="3"/>
    <x v="8"/>
    <n v="9"/>
    <x v="1"/>
    <x v="38"/>
    <x v="9"/>
    <n v="119"/>
    <n v="2"/>
    <n v="0.12264150943396235"/>
    <x v="7"/>
    <x v="425"/>
    <n v="0.84146341463414653"/>
    <n v="9.174311926605494E-2"/>
  </r>
  <r>
    <x v="3"/>
    <x v="8"/>
    <n v="10"/>
    <x v="1"/>
    <x v="38"/>
    <x v="10"/>
    <n v="118"/>
    <n v="2"/>
    <n v="0.1132075471698113"/>
    <x v="1"/>
    <x v="426"/>
    <n v="0.8292682926829269"/>
    <n v="-8.4033613445377853E-3"/>
  </r>
  <r>
    <x v="3"/>
    <x v="8"/>
    <n v="11"/>
    <x v="1"/>
    <x v="38"/>
    <x v="11"/>
    <n v="67"/>
    <n v="2"/>
    <n v="-0.36792452830188682"/>
    <x v="3"/>
    <x v="420"/>
    <n v="0.20731707317073167"/>
    <n v="-0.43220338983050843"/>
  </r>
  <r>
    <x v="3"/>
    <x v="8"/>
    <n v="12"/>
    <x v="1"/>
    <x v="38"/>
    <x v="12"/>
    <n v="60"/>
    <n v="2"/>
    <n v="-0.43396226415094341"/>
    <x v="5"/>
    <x v="427"/>
    <n v="0.12195121951219511"/>
    <n v="-0.10447761194029848"/>
  </r>
  <r>
    <x v="3"/>
    <x v="9"/>
    <n v="0"/>
    <x v="2"/>
    <x v="39"/>
    <x v="0"/>
    <n v="98"/>
    <n v="0"/>
    <n v="0"/>
    <x v="0"/>
    <x v="0"/>
    <s v=""/>
    <n v="0"/>
  </r>
  <r>
    <x v="3"/>
    <x v="9"/>
    <n v="1"/>
    <x v="2"/>
    <x v="39"/>
    <x v="1"/>
    <n v="84"/>
    <n v="0"/>
    <n v="-0.1428571428571429"/>
    <x v="9"/>
    <x v="428"/>
    <n v="1"/>
    <n v="-0.1428571428571429"/>
  </r>
  <r>
    <x v="3"/>
    <x v="9"/>
    <n v="2"/>
    <x v="2"/>
    <x v="39"/>
    <x v="2"/>
    <n v="80"/>
    <n v="0"/>
    <n v="-0.18367346938775508"/>
    <x v="6"/>
    <x v="429"/>
    <n v="0.91304347826086973"/>
    <n v="-4.7619047619047672E-2"/>
  </r>
  <r>
    <x v="3"/>
    <x v="9"/>
    <n v="3"/>
    <x v="2"/>
    <x v="39"/>
    <x v="3"/>
    <n v="76"/>
    <n v="0"/>
    <n v="-0.22448979591836737"/>
    <x v="7"/>
    <x v="430"/>
    <n v="0.82608695652173914"/>
    <n v="-5.0000000000000044E-2"/>
  </r>
  <r>
    <x v="3"/>
    <x v="9"/>
    <n v="4"/>
    <x v="2"/>
    <x v="39"/>
    <x v="4"/>
    <n v="71"/>
    <n v="0"/>
    <n v="-0.27551020408163263"/>
    <x v="1"/>
    <x v="431"/>
    <n v="0.71739130434782628"/>
    <n v="-6.5789473684210509E-2"/>
  </r>
  <r>
    <x v="3"/>
    <x v="9"/>
    <n v="5"/>
    <x v="2"/>
    <x v="39"/>
    <x v="5"/>
    <n v="68"/>
    <n v="0"/>
    <n v="-0.30612244897959184"/>
    <x v="12"/>
    <x v="432"/>
    <n v="0.65217391304347827"/>
    <n v="-4.2253521126760618E-2"/>
  </r>
  <r>
    <x v="3"/>
    <x v="9"/>
    <n v="6"/>
    <x v="2"/>
    <x v="39"/>
    <x v="6"/>
    <n v="64"/>
    <n v="0"/>
    <n v="-0.34693877551020413"/>
    <x v="11"/>
    <x v="433"/>
    <n v="0.56521739130434778"/>
    <n v="-5.8823529411764719E-2"/>
  </r>
  <r>
    <x v="3"/>
    <x v="9"/>
    <n v="7"/>
    <x v="2"/>
    <x v="39"/>
    <x v="7"/>
    <n v="60"/>
    <n v="0"/>
    <n v="-0.38775510204081631"/>
    <x v="2"/>
    <x v="434"/>
    <n v="0.47826086956521746"/>
    <n v="-6.25E-2"/>
  </r>
  <r>
    <x v="3"/>
    <x v="9"/>
    <n v="8"/>
    <x v="2"/>
    <x v="39"/>
    <x v="8"/>
    <n v="55"/>
    <n v="0"/>
    <n v="-0.43877551020408168"/>
    <x v="3"/>
    <x v="435"/>
    <n v="0.36956521739130432"/>
    <n v="-8.333333333333337E-2"/>
  </r>
  <r>
    <x v="3"/>
    <x v="9"/>
    <n v="9"/>
    <x v="2"/>
    <x v="39"/>
    <x v="9"/>
    <n v="52"/>
    <n v="0"/>
    <n v="-0.46938775510204078"/>
    <x v="4"/>
    <x v="436"/>
    <n v="0.30434782608695665"/>
    <n v="-5.4545454545454564E-2"/>
  </r>
  <r>
    <x v="3"/>
    <x v="9"/>
    <n v="10"/>
    <x v="2"/>
    <x v="39"/>
    <x v="10"/>
    <n v="47"/>
    <n v="0"/>
    <n v="-0.52040816326530615"/>
    <x v="5"/>
    <x v="437"/>
    <n v="0.19565217391304349"/>
    <n v="-9.6153846153846145E-2"/>
  </r>
  <r>
    <x v="3"/>
    <x v="9"/>
    <n v="11"/>
    <x v="2"/>
    <x v="39"/>
    <x v="11"/>
    <n v="43"/>
    <n v="0"/>
    <n v="-0.56122448979591844"/>
    <x v="10"/>
    <x v="438"/>
    <n v="0.10869565217391293"/>
    <n v="-8.5106382978723416E-2"/>
  </r>
  <r>
    <x v="3"/>
    <x v="9"/>
    <n v="12"/>
    <x v="2"/>
    <x v="39"/>
    <x v="12"/>
    <n v="38"/>
    <n v="0"/>
    <n v="-0.61224489795918369"/>
    <x v="8"/>
    <x v="439"/>
    <n v="0"/>
    <n v="-0.11627906976744184"/>
  </r>
  <r>
    <x v="4"/>
    <x v="0"/>
    <n v="0"/>
    <x v="0"/>
    <x v="40"/>
    <x v="0"/>
    <n v="105"/>
    <n v="3"/>
    <n v="0"/>
    <x v="0"/>
    <x v="0"/>
    <s v=""/>
    <n v="0"/>
  </r>
  <r>
    <x v="4"/>
    <x v="0"/>
    <n v="1"/>
    <x v="0"/>
    <x v="40"/>
    <x v="1"/>
    <n v="56"/>
    <n v="3"/>
    <n v="-0.46666666666666667"/>
    <x v="1"/>
    <x v="440"/>
    <n v="0.15652173913043474"/>
    <n v="-0.46666666666666667"/>
  </r>
  <r>
    <x v="4"/>
    <x v="0"/>
    <n v="2"/>
    <x v="0"/>
    <x v="40"/>
    <x v="2"/>
    <n v="52"/>
    <n v="3"/>
    <n v="-0.50476190476190474"/>
    <x v="2"/>
    <x v="441"/>
    <n v="0.1217391304347826"/>
    <n v="-7.1428571428571397E-2"/>
  </r>
  <r>
    <x v="4"/>
    <x v="0"/>
    <n v="3"/>
    <x v="0"/>
    <x v="40"/>
    <x v="3"/>
    <n v="101"/>
    <n v="3"/>
    <n v="-3.8095238095238071E-2"/>
    <x v="7"/>
    <x v="442"/>
    <n v="0.5478260869565218"/>
    <n v="0.94230769230769229"/>
  </r>
  <r>
    <x v="4"/>
    <x v="0"/>
    <n v="4"/>
    <x v="0"/>
    <x v="40"/>
    <x v="4"/>
    <n v="121"/>
    <n v="3"/>
    <n v="0.15238095238095228"/>
    <x v="6"/>
    <x v="443"/>
    <n v="0.72173913043478255"/>
    <n v="0.19801980198019797"/>
  </r>
  <r>
    <x v="4"/>
    <x v="0"/>
    <n v="5"/>
    <x v="0"/>
    <x v="40"/>
    <x v="5"/>
    <n v="45"/>
    <n v="3"/>
    <n v="-0.5714285714285714"/>
    <x v="4"/>
    <x v="444"/>
    <n v="6.08695652173913E-2"/>
    <n v="-0.62809917355371903"/>
  </r>
  <r>
    <x v="4"/>
    <x v="0"/>
    <n v="6"/>
    <x v="0"/>
    <x v="40"/>
    <x v="6"/>
    <n v="153"/>
    <n v="3"/>
    <n v="0.45714285714285707"/>
    <x v="9"/>
    <x v="445"/>
    <n v="1"/>
    <n v="2.4"/>
  </r>
  <r>
    <x v="4"/>
    <x v="0"/>
    <n v="7"/>
    <x v="0"/>
    <x v="40"/>
    <x v="7"/>
    <n v="43"/>
    <n v="3"/>
    <n v="-0.59047619047619049"/>
    <x v="5"/>
    <x v="446"/>
    <n v="4.3478260869565168E-2"/>
    <n v="-0.71895424836601307"/>
  </r>
  <r>
    <x v="4"/>
    <x v="0"/>
    <n v="8"/>
    <x v="0"/>
    <x v="40"/>
    <x v="8"/>
    <n v="56"/>
    <n v="3"/>
    <n v="-0.46666666666666667"/>
    <x v="1"/>
    <x v="440"/>
    <n v="0.15652173913043474"/>
    <n v="0.30232558139534893"/>
  </r>
  <r>
    <x v="4"/>
    <x v="0"/>
    <n v="9"/>
    <x v="0"/>
    <x v="40"/>
    <x v="9"/>
    <n v="53"/>
    <n v="3"/>
    <n v="-0.49523809523809526"/>
    <x v="11"/>
    <x v="447"/>
    <n v="0.13043478260869562"/>
    <n v="-5.3571428571428603E-2"/>
  </r>
  <r>
    <x v="4"/>
    <x v="0"/>
    <n v="10"/>
    <x v="0"/>
    <x v="40"/>
    <x v="10"/>
    <n v="48"/>
    <n v="3"/>
    <n v="-0.54285714285714293"/>
    <x v="3"/>
    <x v="448"/>
    <n v="8.6956521739130335E-2"/>
    <n v="-9.4339622641509413E-2"/>
  </r>
  <r>
    <x v="4"/>
    <x v="0"/>
    <n v="11"/>
    <x v="0"/>
    <x v="40"/>
    <x v="11"/>
    <n v="43"/>
    <n v="3"/>
    <n v="-0.59047619047619049"/>
    <x v="5"/>
    <x v="446"/>
    <n v="4.3478260869565168E-2"/>
    <n v="-0.10416666666666663"/>
  </r>
  <r>
    <x v="4"/>
    <x v="0"/>
    <n v="12"/>
    <x v="0"/>
    <x v="40"/>
    <x v="12"/>
    <n v="38"/>
    <n v="3"/>
    <n v="-0.63809523809523805"/>
    <x v="8"/>
    <x v="449"/>
    <n v="0"/>
    <n v="-0.11627906976744184"/>
  </r>
  <r>
    <x v="4"/>
    <x v="1"/>
    <n v="0"/>
    <x v="0"/>
    <x v="41"/>
    <x v="0"/>
    <n v="94"/>
    <n v="3"/>
    <n v="0"/>
    <x v="0"/>
    <x v="0"/>
    <s v=""/>
    <n v="0"/>
  </r>
  <r>
    <x v="4"/>
    <x v="1"/>
    <n v="1"/>
    <x v="0"/>
    <x v="41"/>
    <x v="1"/>
    <n v="38"/>
    <n v="3"/>
    <n v="-0.5957446808510638"/>
    <x v="11"/>
    <x v="450"/>
    <n v="8.9743589743589799E-2"/>
    <n v="-0.5957446808510638"/>
  </r>
  <r>
    <x v="4"/>
    <x v="1"/>
    <n v="2"/>
    <x v="0"/>
    <x v="41"/>
    <x v="2"/>
    <n v="35"/>
    <n v="3"/>
    <n v="-0.62765957446808507"/>
    <x v="3"/>
    <x v="451"/>
    <n v="7.0512820512820568E-2"/>
    <n v="-7.8947368421052655E-2"/>
  </r>
  <r>
    <x v="4"/>
    <x v="1"/>
    <n v="3"/>
    <x v="0"/>
    <x v="41"/>
    <x v="3"/>
    <n v="123"/>
    <n v="3"/>
    <n v="0.3085106382978724"/>
    <x v="6"/>
    <x v="452"/>
    <n v="0.63461538461538458"/>
    <n v="2.5142857142857142"/>
  </r>
  <r>
    <x v="4"/>
    <x v="1"/>
    <n v="4"/>
    <x v="0"/>
    <x v="41"/>
    <x v="4"/>
    <n v="91"/>
    <n v="3"/>
    <n v="-3.1914893617021267E-2"/>
    <x v="7"/>
    <x v="453"/>
    <n v="0.42948717948717952"/>
    <n v="-0.26016260162601623"/>
  </r>
  <r>
    <x v="4"/>
    <x v="1"/>
    <n v="5"/>
    <x v="0"/>
    <x v="41"/>
    <x v="5"/>
    <n v="54"/>
    <n v="3"/>
    <n v="-0.42553191489361697"/>
    <x v="1"/>
    <x v="454"/>
    <n v="0.19230769230769237"/>
    <n v="-0.40659340659340659"/>
  </r>
  <r>
    <x v="4"/>
    <x v="1"/>
    <n v="6"/>
    <x v="0"/>
    <x v="41"/>
    <x v="6"/>
    <n v="180"/>
    <n v="3"/>
    <n v="0.91489361702127669"/>
    <x v="9"/>
    <x v="455"/>
    <n v="1"/>
    <n v="2.3333333333333335"/>
  </r>
  <r>
    <x v="4"/>
    <x v="1"/>
    <n v="7"/>
    <x v="0"/>
    <x v="41"/>
    <x v="7"/>
    <n v="40"/>
    <n v="3"/>
    <n v="-0.57446808510638303"/>
    <x v="12"/>
    <x v="456"/>
    <n v="0.10256410256410257"/>
    <n v="-0.77777777777777779"/>
  </r>
  <r>
    <x v="4"/>
    <x v="1"/>
    <n v="8"/>
    <x v="0"/>
    <x v="41"/>
    <x v="8"/>
    <n v="38"/>
    <n v="3"/>
    <n v="-0.5957446808510638"/>
    <x v="11"/>
    <x v="450"/>
    <n v="8.9743589743589799E-2"/>
    <n v="-5.0000000000000044E-2"/>
  </r>
  <r>
    <x v="4"/>
    <x v="1"/>
    <n v="9"/>
    <x v="0"/>
    <x v="41"/>
    <x v="9"/>
    <n v="35"/>
    <n v="3"/>
    <n v="-0.62765957446808507"/>
    <x v="3"/>
    <x v="451"/>
    <n v="7.0512820512820568E-2"/>
    <n v="-7.8947368421052655E-2"/>
  </r>
  <r>
    <x v="4"/>
    <x v="1"/>
    <n v="10"/>
    <x v="0"/>
    <x v="41"/>
    <x v="10"/>
    <n v="31"/>
    <n v="3"/>
    <n v="-0.67021276595744683"/>
    <x v="5"/>
    <x v="457"/>
    <n v="4.48717948717949E-2"/>
    <n v="-0.11428571428571432"/>
  </r>
  <r>
    <x v="4"/>
    <x v="1"/>
    <n v="11"/>
    <x v="0"/>
    <x v="41"/>
    <x v="11"/>
    <n v="28"/>
    <n v="3"/>
    <n v="-0.7021276595744681"/>
    <x v="10"/>
    <x v="458"/>
    <n v="2.5641025641025675E-2"/>
    <n v="-9.6774193548387122E-2"/>
  </r>
  <r>
    <x v="4"/>
    <x v="1"/>
    <n v="12"/>
    <x v="0"/>
    <x v="41"/>
    <x v="12"/>
    <n v="24"/>
    <n v="3"/>
    <n v="-0.74468085106382986"/>
    <x v="8"/>
    <x v="459"/>
    <n v="0"/>
    <n v="-0.1428571428571429"/>
  </r>
  <r>
    <x v="4"/>
    <x v="2"/>
    <n v="0"/>
    <x v="1"/>
    <x v="42"/>
    <x v="0"/>
    <n v="93"/>
    <n v="3"/>
    <n v="0"/>
    <x v="0"/>
    <x v="0"/>
    <s v=""/>
    <n v="0"/>
  </r>
  <r>
    <x v="4"/>
    <x v="2"/>
    <n v="1"/>
    <x v="1"/>
    <x v="42"/>
    <x v="1"/>
    <n v="113"/>
    <n v="3"/>
    <n v="0.21505376344086025"/>
    <x v="7"/>
    <x v="460"/>
    <n v="0.83098591549295786"/>
    <n v="0.21505376344086025"/>
  </r>
  <r>
    <x v="4"/>
    <x v="2"/>
    <n v="2"/>
    <x v="1"/>
    <x v="42"/>
    <x v="2"/>
    <n v="66"/>
    <n v="3"/>
    <n v="-0.29032258064516125"/>
    <x v="3"/>
    <x v="461"/>
    <n v="0.16901408450704228"/>
    <n v="-0.41592920353982299"/>
  </r>
  <r>
    <x v="4"/>
    <x v="2"/>
    <n v="3"/>
    <x v="1"/>
    <x v="42"/>
    <x v="3"/>
    <n v="58"/>
    <n v="3"/>
    <n v="-0.37634408602150538"/>
    <x v="5"/>
    <x v="462"/>
    <n v="5.6338028169014044E-2"/>
    <n v="-0.12121212121212122"/>
  </r>
  <r>
    <x v="4"/>
    <x v="2"/>
    <n v="4"/>
    <x v="1"/>
    <x v="42"/>
    <x v="4"/>
    <n v="54"/>
    <n v="3"/>
    <n v="-0.41935483870967738"/>
    <x v="8"/>
    <x v="463"/>
    <n v="0"/>
    <n v="-6.8965517241379337E-2"/>
  </r>
  <r>
    <x v="4"/>
    <x v="2"/>
    <n v="5"/>
    <x v="1"/>
    <x v="42"/>
    <x v="5"/>
    <n v="89"/>
    <n v="3"/>
    <n v="-4.3010752688172005E-2"/>
    <x v="11"/>
    <x v="464"/>
    <n v="0.4929577464788733"/>
    <n v="0.64814814814814814"/>
  </r>
  <r>
    <x v="4"/>
    <x v="2"/>
    <n v="6"/>
    <x v="1"/>
    <x v="42"/>
    <x v="6"/>
    <n v="125"/>
    <n v="3"/>
    <n v="0.34408602150537626"/>
    <x v="9"/>
    <x v="465"/>
    <n v="1"/>
    <n v="0.40449438202247201"/>
  </r>
  <r>
    <x v="4"/>
    <x v="2"/>
    <n v="7"/>
    <x v="1"/>
    <x v="42"/>
    <x v="7"/>
    <n v="111"/>
    <n v="3"/>
    <n v="0.19354838709677424"/>
    <x v="1"/>
    <x v="466"/>
    <n v="0.80281690140845086"/>
    <n v="-0.11199999999999999"/>
  </r>
  <r>
    <x v="4"/>
    <x v="2"/>
    <n v="8"/>
    <x v="1"/>
    <x v="42"/>
    <x v="8"/>
    <n v="66"/>
    <n v="3"/>
    <n v="-0.29032258064516125"/>
    <x v="3"/>
    <x v="461"/>
    <n v="0.16901408450704228"/>
    <n v="-0.40540540540540537"/>
  </r>
  <r>
    <x v="4"/>
    <x v="2"/>
    <n v="9"/>
    <x v="1"/>
    <x v="42"/>
    <x v="9"/>
    <n v="58"/>
    <n v="3"/>
    <n v="-0.37634408602150538"/>
    <x v="5"/>
    <x v="462"/>
    <n v="5.6338028169014044E-2"/>
    <n v="-0.12121212121212122"/>
  </r>
  <r>
    <x v="4"/>
    <x v="2"/>
    <n v="10"/>
    <x v="1"/>
    <x v="42"/>
    <x v="10"/>
    <n v="86"/>
    <n v="3"/>
    <n v="-7.5268817204301119E-2"/>
    <x v="2"/>
    <x v="467"/>
    <n v="0.45070422535211263"/>
    <n v="0.48275862068965525"/>
  </r>
  <r>
    <x v="4"/>
    <x v="2"/>
    <n v="11"/>
    <x v="1"/>
    <x v="42"/>
    <x v="11"/>
    <n v="119"/>
    <n v="3"/>
    <n v="0.27956989247311825"/>
    <x v="6"/>
    <x v="468"/>
    <n v="0.91549295774647899"/>
    <n v="0.38372093023255816"/>
  </r>
  <r>
    <x v="4"/>
    <x v="2"/>
    <n v="12"/>
    <x v="1"/>
    <x v="42"/>
    <x v="12"/>
    <n v="104"/>
    <n v="3"/>
    <n v="0.11827956989247301"/>
    <x v="12"/>
    <x v="469"/>
    <n v="0.70422535211267601"/>
    <n v="-0.12605042016806722"/>
  </r>
  <r>
    <x v="4"/>
    <x v="3"/>
    <n v="0"/>
    <x v="2"/>
    <x v="43"/>
    <x v="0"/>
    <n v="96"/>
    <n v="0"/>
    <n v="0"/>
    <x v="0"/>
    <x v="0"/>
    <s v=""/>
    <n v="0"/>
  </r>
  <r>
    <x v="4"/>
    <x v="3"/>
    <n v="1"/>
    <x v="2"/>
    <x v="43"/>
    <x v="1"/>
    <n v="82"/>
    <n v="0"/>
    <n v="-0.14583333333333337"/>
    <x v="9"/>
    <x v="470"/>
    <n v="1"/>
    <n v="-0.14583333333333337"/>
  </r>
  <r>
    <x v="4"/>
    <x v="3"/>
    <n v="2"/>
    <x v="2"/>
    <x v="43"/>
    <x v="2"/>
    <n v="78"/>
    <n v="0"/>
    <n v="-0.1875"/>
    <x v="6"/>
    <x v="471"/>
    <n v="0.90909090909090917"/>
    <n v="-4.8780487804878092E-2"/>
  </r>
  <r>
    <x v="4"/>
    <x v="3"/>
    <n v="3"/>
    <x v="2"/>
    <x v="43"/>
    <x v="3"/>
    <n v="73"/>
    <n v="0"/>
    <n v="-0.23958333333333337"/>
    <x v="7"/>
    <x v="472"/>
    <n v="0.79545454545454553"/>
    <n v="-6.4102564102564097E-2"/>
  </r>
  <r>
    <x v="4"/>
    <x v="3"/>
    <n v="4"/>
    <x v="2"/>
    <x v="43"/>
    <x v="4"/>
    <n v="69"/>
    <n v="0"/>
    <n v="-0.28125"/>
    <x v="1"/>
    <x v="473"/>
    <n v="0.7045454545454547"/>
    <n v="-5.4794520547945202E-2"/>
  </r>
  <r>
    <x v="4"/>
    <x v="3"/>
    <n v="5"/>
    <x v="2"/>
    <x v="43"/>
    <x v="5"/>
    <n v="65"/>
    <n v="0"/>
    <n v="-0.32291666666666663"/>
    <x v="12"/>
    <x v="474"/>
    <n v="0.61363636363636387"/>
    <n v="-5.7971014492753659E-2"/>
  </r>
  <r>
    <x v="4"/>
    <x v="3"/>
    <n v="6"/>
    <x v="2"/>
    <x v="43"/>
    <x v="6"/>
    <n v="61"/>
    <n v="0"/>
    <n v="-0.36458333333333337"/>
    <x v="11"/>
    <x v="475"/>
    <n v="0.52272727272727282"/>
    <n v="-6.1538461538461542E-2"/>
  </r>
  <r>
    <x v="4"/>
    <x v="3"/>
    <n v="7"/>
    <x v="2"/>
    <x v="43"/>
    <x v="7"/>
    <n v="58"/>
    <n v="0"/>
    <n v="-0.39583333333333337"/>
    <x v="2"/>
    <x v="476"/>
    <n v="0.45454545454545459"/>
    <n v="-4.9180327868852514E-2"/>
  </r>
  <r>
    <x v="4"/>
    <x v="3"/>
    <n v="8"/>
    <x v="2"/>
    <x v="43"/>
    <x v="8"/>
    <n v="54"/>
    <n v="0"/>
    <n v="-0.4375"/>
    <x v="3"/>
    <x v="477"/>
    <n v="0.36363636363636376"/>
    <n v="-6.8965517241379337E-2"/>
  </r>
  <r>
    <x v="4"/>
    <x v="3"/>
    <n v="9"/>
    <x v="2"/>
    <x v="43"/>
    <x v="9"/>
    <n v="49"/>
    <n v="0"/>
    <n v="-0.48958333333333337"/>
    <x v="4"/>
    <x v="478"/>
    <n v="0.25000000000000006"/>
    <n v="-9.259259259259256E-2"/>
  </r>
  <r>
    <x v="4"/>
    <x v="3"/>
    <n v="10"/>
    <x v="2"/>
    <x v="43"/>
    <x v="10"/>
    <n v="46"/>
    <n v="0"/>
    <n v="-0.52083333333333326"/>
    <x v="5"/>
    <x v="479"/>
    <n v="0.18181818181818213"/>
    <n v="-6.1224489795918324E-2"/>
  </r>
  <r>
    <x v="4"/>
    <x v="3"/>
    <n v="11"/>
    <x v="2"/>
    <x v="43"/>
    <x v="11"/>
    <n v="42"/>
    <n v="0"/>
    <n v="-0.5625"/>
    <x v="10"/>
    <x v="480"/>
    <n v="9.0909090909091064E-2"/>
    <n v="-8.6956521739130488E-2"/>
  </r>
  <r>
    <x v="4"/>
    <x v="3"/>
    <n v="12"/>
    <x v="2"/>
    <x v="43"/>
    <x v="12"/>
    <n v="38"/>
    <n v="0"/>
    <n v="-0.60416666666666674"/>
    <x v="8"/>
    <x v="481"/>
    <n v="0"/>
    <n v="-9.5238095238095233E-2"/>
  </r>
  <r>
    <x v="4"/>
    <x v="4"/>
    <n v="0"/>
    <x v="1"/>
    <x v="44"/>
    <x v="0"/>
    <n v="90"/>
    <n v="2"/>
    <n v="0"/>
    <x v="0"/>
    <x v="0"/>
    <s v=""/>
    <n v="0"/>
  </r>
  <r>
    <x v="4"/>
    <x v="4"/>
    <n v="1"/>
    <x v="1"/>
    <x v="44"/>
    <x v="1"/>
    <n v="69"/>
    <n v="2"/>
    <n v="-0.23333333333333328"/>
    <x v="3"/>
    <x v="482"/>
    <n v="0.2166666666666667"/>
    <n v="-0.23333333333333328"/>
  </r>
  <r>
    <x v="4"/>
    <x v="4"/>
    <n v="2"/>
    <x v="1"/>
    <x v="44"/>
    <x v="2"/>
    <n v="64"/>
    <n v="2"/>
    <n v="-0.28888888888888886"/>
    <x v="5"/>
    <x v="483"/>
    <n v="0.13333333333333333"/>
    <n v="-7.2463768115942018E-2"/>
  </r>
  <r>
    <x v="4"/>
    <x v="4"/>
    <n v="3"/>
    <x v="1"/>
    <x v="44"/>
    <x v="3"/>
    <n v="56"/>
    <n v="2"/>
    <n v="-0.37777777777777777"/>
    <x v="8"/>
    <x v="484"/>
    <n v="0"/>
    <n v="-0.125"/>
  </r>
  <r>
    <x v="4"/>
    <x v="4"/>
    <n v="4"/>
    <x v="1"/>
    <x v="44"/>
    <x v="4"/>
    <n v="84"/>
    <n v="2"/>
    <n v="-6.6666666666666652E-2"/>
    <x v="2"/>
    <x v="485"/>
    <n v="0.46666666666666662"/>
    <n v="0.5"/>
  </r>
  <r>
    <x v="4"/>
    <x v="4"/>
    <n v="5"/>
    <x v="1"/>
    <x v="44"/>
    <x v="5"/>
    <n v="115"/>
    <n v="2"/>
    <n v="0.27777777777777768"/>
    <x v="7"/>
    <x v="486"/>
    <n v="0.98333333333333306"/>
    <n v="0.36904761904761907"/>
  </r>
  <r>
    <x v="4"/>
    <x v="4"/>
    <n v="6"/>
    <x v="1"/>
    <x v="44"/>
    <x v="6"/>
    <n v="85"/>
    <n v="2"/>
    <n v="-5.555555555555558E-2"/>
    <x v="11"/>
    <x v="487"/>
    <n v="0.48333333333333323"/>
    <n v="-0.26086956521739135"/>
  </r>
  <r>
    <x v="4"/>
    <x v="4"/>
    <n v="7"/>
    <x v="1"/>
    <x v="44"/>
    <x v="7"/>
    <n v="91"/>
    <n v="2"/>
    <n v="1.1111111111111072E-2"/>
    <x v="12"/>
    <x v="488"/>
    <n v="0.58333333333333315"/>
    <n v="7.0588235294117618E-2"/>
  </r>
  <r>
    <x v="4"/>
    <x v="4"/>
    <n v="8"/>
    <x v="1"/>
    <x v="44"/>
    <x v="8"/>
    <n v="116"/>
    <n v="2"/>
    <n v="0.28888888888888897"/>
    <x v="9"/>
    <x v="489"/>
    <n v="1"/>
    <n v="0.27472527472527464"/>
  </r>
  <r>
    <x v="4"/>
    <x v="4"/>
    <n v="9"/>
    <x v="1"/>
    <x v="44"/>
    <x v="9"/>
    <n v="69"/>
    <n v="2"/>
    <n v="-0.23333333333333328"/>
    <x v="3"/>
    <x v="482"/>
    <n v="0.2166666666666667"/>
    <n v="-0.40517241379310343"/>
  </r>
  <r>
    <x v="4"/>
    <x v="4"/>
    <n v="10"/>
    <x v="1"/>
    <x v="44"/>
    <x v="10"/>
    <n v="63"/>
    <n v="2"/>
    <n v="-0.30000000000000004"/>
    <x v="10"/>
    <x v="490"/>
    <n v="0.11666666666666657"/>
    <n v="-8.6956521739130488E-2"/>
  </r>
  <r>
    <x v="4"/>
    <x v="4"/>
    <n v="11"/>
    <x v="1"/>
    <x v="44"/>
    <x v="11"/>
    <n v="116"/>
    <n v="2"/>
    <n v="0.28888888888888897"/>
    <x v="9"/>
    <x v="489"/>
    <n v="1"/>
    <n v="0.84126984126984117"/>
  </r>
  <r>
    <x v="4"/>
    <x v="4"/>
    <n v="12"/>
    <x v="1"/>
    <x v="44"/>
    <x v="12"/>
    <n v="94"/>
    <n v="2"/>
    <n v="4.4444444444444509E-2"/>
    <x v="1"/>
    <x v="491"/>
    <n v="0.6333333333333333"/>
    <n v="-0.18965517241379315"/>
  </r>
  <r>
    <x v="4"/>
    <x v="5"/>
    <n v="0"/>
    <x v="3"/>
    <x v="45"/>
    <x v="0"/>
    <n v="107"/>
    <n v="0"/>
    <n v="0"/>
    <x v="0"/>
    <x v="0"/>
    <s v=""/>
    <n v="0"/>
  </r>
  <r>
    <x v="4"/>
    <x v="5"/>
    <n v="1"/>
    <x v="3"/>
    <x v="45"/>
    <x v="1"/>
    <n v="96"/>
    <n v="0"/>
    <n v="-0.10280373831775702"/>
    <x v="11"/>
    <x v="492"/>
    <n v="8.5106382978723402E-2"/>
    <n v="-0.10280373831775702"/>
  </r>
  <r>
    <x v="4"/>
    <x v="5"/>
    <n v="2"/>
    <x v="3"/>
    <x v="45"/>
    <x v="2"/>
    <n v="91"/>
    <n v="0"/>
    <n v="-0.14953271028037385"/>
    <x v="2"/>
    <x v="493"/>
    <n v="7.3286052009456273E-2"/>
    <n v="-5.208333333333337E-2"/>
  </r>
  <r>
    <x v="4"/>
    <x v="5"/>
    <n v="3"/>
    <x v="3"/>
    <x v="45"/>
    <x v="3"/>
    <n v="87"/>
    <n v="0"/>
    <n v="-0.18691588785046731"/>
    <x v="4"/>
    <x v="494"/>
    <n v="6.3829787234042548E-2"/>
    <n v="-4.3956043956043911E-2"/>
  </r>
  <r>
    <x v="4"/>
    <x v="5"/>
    <n v="4"/>
    <x v="3"/>
    <x v="45"/>
    <x v="4"/>
    <n v="83"/>
    <n v="0"/>
    <n v="-0.22429906542056077"/>
    <x v="10"/>
    <x v="495"/>
    <n v="5.4373522458628844E-2"/>
    <n v="-4.5977011494252928E-2"/>
  </r>
  <r>
    <x v="4"/>
    <x v="5"/>
    <n v="5"/>
    <x v="3"/>
    <x v="45"/>
    <x v="5"/>
    <n v="134"/>
    <n v="0"/>
    <n v="0.25233644859813076"/>
    <x v="12"/>
    <x v="496"/>
    <n v="0.17494089834515364"/>
    <n v="0.6144578313253013"/>
  </r>
  <r>
    <x v="4"/>
    <x v="5"/>
    <n v="6"/>
    <x v="3"/>
    <x v="45"/>
    <x v="6"/>
    <n v="193"/>
    <n v="0"/>
    <n v="0.80373831775700944"/>
    <x v="6"/>
    <x v="497"/>
    <n v="0.31442080378250592"/>
    <n v="0.44029850746268662"/>
  </r>
  <r>
    <x v="4"/>
    <x v="5"/>
    <n v="7"/>
    <x v="3"/>
    <x v="45"/>
    <x v="7"/>
    <n v="483"/>
    <n v="0"/>
    <n v="3.5140186915887854"/>
    <x v="9"/>
    <x v="498"/>
    <n v="1"/>
    <n v="1.5025906735751295"/>
  </r>
  <r>
    <x v="4"/>
    <x v="5"/>
    <n v="8"/>
    <x v="3"/>
    <x v="45"/>
    <x v="8"/>
    <n v="162"/>
    <n v="0"/>
    <n v="0.51401869158878499"/>
    <x v="7"/>
    <x v="499"/>
    <n v="0.24113475177304963"/>
    <n v="-0.6645962732919255"/>
  </r>
  <r>
    <x v="4"/>
    <x v="5"/>
    <n v="9"/>
    <x v="3"/>
    <x v="45"/>
    <x v="9"/>
    <n v="146"/>
    <n v="0"/>
    <n v="0.36448598130841114"/>
    <x v="1"/>
    <x v="500"/>
    <n v="0.20330969267139479"/>
    <n v="-9.8765432098765427E-2"/>
  </r>
  <r>
    <x v="4"/>
    <x v="5"/>
    <n v="10"/>
    <x v="3"/>
    <x v="45"/>
    <x v="10"/>
    <n v="87"/>
    <n v="0"/>
    <n v="-0.18691588785046731"/>
    <x v="4"/>
    <x v="494"/>
    <n v="6.3829787234042548E-2"/>
    <n v="-0.40410958904109584"/>
  </r>
  <r>
    <x v="4"/>
    <x v="5"/>
    <n v="11"/>
    <x v="3"/>
    <x v="45"/>
    <x v="11"/>
    <n v="90"/>
    <n v="0"/>
    <n v="-0.15887850467289721"/>
    <x v="3"/>
    <x v="501"/>
    <n v="7.0921985815602842E-2"/>
    <n v="3.4482758620689724E-2"/>
  </r>
  <r>
    <x v="4"/>
    <x v="5"/>
    <n v="12"/>
    <x v="3"/>
    <x v="45"/>
    <x v="12"/>
    <n v="60"/>
    <n v="0"/>
    <n v="-0.43925233644859818"/>
    <x v="8"/>
    <x v="502"/>
    <n v="0"/>
    <n v="-0.33333333333333337"/>
  </r>
  <r>
    <x v="4"/>
    <x v="6"/>
    <n v="0"/>
    <x v="3"/>
    <x v="46"/>
    <x v="0"/>
    <n v="109"/>
    <n v="1"/>
    <n v="0"/>
    <x v="0"/>
    <x v="0"/>
    <s v=""/>
    <n v="0"/>
  </r>
  <r>
    <x v="4"/>
    <x v="6"/>
    <n v="1"/>
    <x v="3"/>
    <x v="46"/>
    <x v="1"/>
    <n v="95"/>
    <n v="1"/>
    <n v="-0.12844036697247707"/>
    <x v="11"/>
    <x v="503"/>
    <n v="0.15841584158415842"/>
    <n v="-0.12844036697247707"/>
  </r>
  <r>
    <x v="4"/>
    <x v="6"/>
    <n v="2"/>
    <x v="3"/>
    <x v="46"/>
    <x v="2"/>
    <n v="91"/>
    <n v="1"/>
    <n v="-0.16513761467889909"/>
    <x v="2"/>
    <x v="504"/>
    <n v="0.13861386138613863"/>
    <n v="-4.2105263157894757E-2"/>
  </r>
  <r>
    <x v="4"/>
    <x v="6"/>
    <n v="3"/>
    <x v="3"/>
    <x v="46"/>
    <x v="3"/>
    <n v="86"/>
    <n v="1"/>
    <n v="-0.21100917431192656"/>
    <x v="3"/>
    <x v="505"/>
    <n v="0.11386138613861389"/>
    <n v="-5.4945054945054972E-2"/>
  </r>
  <r>
    <x v="4"/>
    <x v="6"/>
    <n v="4"/>
    <x v="3"/>
    <x v="46"/>
    <x v="4"/>
    <n v="81"/>
    <n v="1"/>
    <n v="-0.25688073394495414"/>
    <x v="5"/>
    <x v="506"/>
    <n v="8.9108910891089119E-2"/>
    <n v="-5.8139534883720922E-2"/>
  </r>
  <r>
    <x v="4"/>
    <x v="6"/>
    <n v="5"/>
    <x v="3"/>
    <x v="46"/>
    <x v="5"/>
    <n v="77"/>
    <n v="1"/>
    <n v="-0.29357798165137616"/>
    <x v="10"/>
    <x v="507"/>
    <n v="6.9306930693069313E-2"/>
    <n v="-4.9382716049382713E-2"/>
  </r>
  <r>
    <x v="4"/>
    <x v="6"/>
    <n v="6"/>
    <x v="3"/>
    <x v="46"/>
    <x v="6"/>
    <n v="143"/>
    <n v="1"/>
    <n v="0.31192660550458706"/>
    <x v="1"/>
    <x v="508"/>
    <n v="0.396039603960396"/>
    <n v="0.85714285714285721"/>
  </r>
  <r>
    <x v="4"/>
    <x v="6"/>
    <n v="7"/>
    <x v="3"/>
    <x v="46"/>
    <x v="7"/>
    <n v="203"/>
    <n v="1"/>
    <n v="0.86238532110091737"/>
    <x v="7"/>
    <x v="509"/>
    <n v="0.69306930693069302"/>
    <n v="0.41958041958041958"/>
  </r>
  <r>
    <x v="4"/>
    <x v="6"/>
    <n v="8"/>
    <x v="3"/>
    <x v="46"/>
    <x v="8"/>
    <n v="265"/>
    <n v="1"/>
    <n v="1.4311926605504586"/>
    <x v="9"/>
    <x v="510"/>
    <n v="1"/>
    <n v="0.30541871921182273"/>
  </r>
  <r>
    <x v="4"/>
    <x v="6"/>
    <n v="9"/>
    <x v="3"/>
    <x v="46"/>
    <x v="9"/>
    <n v="204"/>
    <n v="1"/>
    <n v="0.87155963302752304"/>
    <x v="6"/>
    <x v="511"/>
    <n v="0.69801980198019808"/>
    <n v="-0.23018867924528297"/>
  </r>
  <r>
    <x v="4"/>
    <x v="6"/>
    <n v="10"/>
    <x v="3"/>
    <x v="46"/>
    <x v="10"/>
    <n v="106"/>
    <n v="1"/>
    <n v="-2.752293577981646E-2"/>
    <x v="12"/>
    <x v="512"/>
    <n v="0.21287128712871292"/>
    <n v="-0.48039215686274506"/>
  </r>
  <r>
    <x v="4"/>
    <x v="6"/>
    <n v="11"/>
    <x v="3"/>
    <x v="46"/>
    <x v="11"/>
    <n v="63"/>
    <n v="1"/>
    <n v="-0.42201834862385323"/>
    <x v="8"/>
    <x v="513"/>
    <n v="0"/>
    <n v="-0.40566037735849059"/>
  </r>
  <r>
    <x v="4"/>
    <x v="6"/>
    <n v="12"/>
    <x v="3"/>
    <x v="46"/>
    <x v="12"/>
    <n v="85"/>
    <n v="1"/>
    <n v="-0.22018348623853212"/>
    <x v="4"/>
    <x v="514"/>
    <n v="0.10891089108910891"/>
    <n v="0.3492063492063493"/>
  </r>
  <r>
    <x v="4"/>
    <x v="7"/>
    <n v="0"/>
    <x v="0"/>
    <x v="47"/>
    <x v="0"/>
    <n v="110"/>
    <n v="1"/>
    <n v="0"/>
    <x v="0"/>
    <x v="0"/>
    <s v=""/>
    <n v="0"/>
  </r>
  <r>
    <x v="4"/>
    <x v="7"/>
    <n v="1"/>
    <x v="0"/>
    <x v="47"/>
    <x v="1"/>
    <n v="98"/>
    <n v="1"/>
    <n v="-0.10909090909090913"/>
    <x v="1"/>
    <x v="515"/>
    <n v="0.15441176470588236"/>
    <n v="-0.10909090909090913"/>
  </r>
  <r>
    <x v="4"/>
    <x v="7"/>
    <n v="2"/>
    <x v="0"/>
    <x v="47"/>
    <x v="2"/>
    <n v="93"/>
    <n v="1"/>
    <n v="-0.15454545454545454"/>
    <x v="11"/>
    <x v="516"/>
    <n v="0.11764705882352945"/>
    <n v="-5.1020408163265252E-2"/>
  </r>
  <r>
    <x v="4"/>
    <x v="7"/>
    <n v="3"/>
    <x v="0"/>
    <x v="47"/>
    <x v="3"/>
    <n v="149"/>
    <n v="1"/>
    <n v="0.3545454545454545"/>
    <x v="6"/>
    <x v="517"/>
    <n v="0.52941176470588236"/>
    <n v="0.60215053763440851"/>
  </r>
  <r>
    <x v="4"/>
    <x v="7"/>
    <n v="4"/>
    <x v="0"/>
    <x v="47"/>
    <x v="4"/>
    <n v="134"/>
    <n v="1"/>
    <n v="0.21818181818181825"/>
    <x v="7"/>
    <x v="518"/>
    <n v="0.41911764705882365"/>
    <n v="-0.10067114093959728"/>
  </r>
  <r>
    <x v="4"/>
    <x v="7"/>
    <n v="5"/>
    <x v="0"/>
    <x v="47"/>
    <x v="5"/>
    <n v="81"/>
    <n v="1"/>
    <n v="-0.26363636363636367"/>
    <x v="5"/>
    <x v="519"/>
    <n v="2.9411764705882363E-2"/>
    <n v="-0.39552238805970152"/>
  </r>
  <r>
    <x v="4"/>
    <x v="7"/>
    <n v="6"/>
    <x v="0"/>
    <x v="47"/>
    <x v="6"/>
    <n v="213"/>
    <n v="1"/>
    <n v="0.93636363636363629"/>
    <x v="9"/>
    <x v="520"/>
    <n v="1"/>
    <n v="1.6296296296296298"/>
  </r>
  <r>
    <x v="4"/>
    <x v="7"/>
    <n v="7"/>
    <x v="0"/>
    <x v="47"/>
    <x v="7"/>
    <n v="77"/>
    <n v="1"/>
    <n v="-0.30000000000000004"/>
    <x v="8"/>
    <x v="521"/>
    <n v="0"/>
    <n v="-0.63849765258215962"/>
  </r>
  <r>
    <x v="4"/>
    <x v="7"/>
    <n v="8"/>
    <x v="0"/>
    <x v="47"/>
    <x v="8"/>
    <n v="98"/>
    <n v="1"/>
    <n v="-0.10909090909090913"/>
    <x v="1"/>
    <x v="515"/>
    <n v="0.15441176470588236"/>
    <n v="0.27272727272727271"/>
  </r>
  <r>
    <x v="4"/>
    <x v="7"/>
    <n v="9"/>
    <x v="0"/>
    <x v="47"/>
    <x v="9"/>
    <n v="92"/>
    <n v="1"/>
    <n v="-0.16363636363636369"/>
    <x v="2"/>
    <x v="522"/>
    <n v="0.11029411764705882"/>
    <n v="-6.1224489795918324E-2"/>
  </r>
  <r>
    <x v="4"/>
    <x v="7"/>
    <n v="10"/>
    <x v="0"/>
    <x v="47"/>
    <x v="10"/>
    <n v="87"/>
    <n v="1"/>
    <n v="-0.20909090909090911"/>
    <x v="3"/>
    <x v="523"/>
    <n v="7.3529411764705913E-2"/>
    <n v="-5.4347826086956541E-2"/>
  </r>
  <r>
    <x v="4"/>
    <x v="7"/>
    <n v="11"/>
    <x v="0"/>
    <x v="47"/>
    <x v="11"/>
    <n v="83"/>
    <n v="1"/>
    <n v="-0.24545454545454548"/>
    <x v="4"/>
    <x v="524"/>
    <n v="4.4117647058823546E-2"/>
    <n v="-4.5977011494252928E-2"/>
  </r>
  <r>
    <x v="4"/>
    <x v="7"/>
    <n v="12"/>
    <x v="0"/>
    <x v="47"/>
    <x v="12"/>
    <n v="78"/>
    <n v="1"/>
    <n v="-0.29090909090909089"/>
    <x v="10"/>
    <x v="525"/>
    <n v="7.3529411764706358E-3"/>
    <n v="-6.0240963855421659E-2"/>
  </r>
  <r>
    <x v="4"/>
    <x v="8"/>
    <n v="0"/>
    <x v="0"/>
    <x v="48"/>
    <x v="0"/>
    <n v="94"/>
    <n v="3"/>
    <n v="0"/>
    <x v="0"/>
    <x v="0"/>
    <s v=""/>
    <n v="0"/>
  </r>
  <r>
    <x v="4"/>
    <x v="8"/>
    <n v="1"/>
    <x v="0"/>
    <x v="48"/>
    <x v="1"/>
    <n v="47"/>
    <n v="3"/>
    <n v="-0.5"/>
    <x v="12"/>
    <x v="526"/>
    <n v="0.13533834586466162"/>
    <n v="-0.5"/>
  </r>
  <r>
    <x v="4"/>
    <x v="8"/>
    <n v="2"/>
    <x v="0"/>
    <x v="48"/>
    <x v="2"/>
    <n v="87"/>
    <n v="3"/>
    <n v="-7.4468085106383031E-2"/>
    <x v="6"/>
    <x v="527"/>
    <n v="0.43609022556390975"/>
    <n v="0.85106382978723394"/>
  </r>
  <r>
    <x v="4"/>
    <x v="8"/>
    <n v="3"/>
    <x v="0"/>
    <x v="48"/>
    <x v="3"/>
    <n v="85"/>
    <n v="3"/>
    <n v="-9.5744680851063801E-2"/>
    <x v="7"/>
    <x v="528"/>
    <n v="0.4210526315789474"/>
    <n v="-2.2988505747126409E-2"/>
  </r>
  <r>
    <x v="4"/>
    <x v="8"/>
    <n v="4"/>
    <x v="0"/>
    <x v="48"/>
    <x v="4"/>
    <n v="61"/>
    <n v="3"/>
    <n v="-0.35106382978723405"/>
    <x v="1"/>
    <x v="529"/>
    <n v="0.24060150375939848"/>
    <n v="-0.28235294117647058"/>
  </r>
  <r>
    <x v="4"/>
    <x v="8"/>
    <n v="5"/>
    <x v="0"/>
    <x v="48"/>
    <x v="5"/>
    <n v="162"/>
    <n v="3"/>
    <n v="0.72340425531914887"/>
    <x v="9"/>
    <x v="530"/>
    <n v="1"/>
    <n v="1.6557377049180326"/>
  </r>
  <r>
    <x v="4"/>
    <x v="8"/>
    <n v="6"/>
    <x v="0"/>
    <x v="48"/>
    <x v="6"/>
    <n v="41"/>
    <n v="3"/>
    <n v="-0.56382978723404253"/>
    <x v="3"/>
    <x v="531"/>
    <n v="9.0225563909774417E-2"/>
    <n v="-0.74691358024691357"/>
  </r>
  <r>
    <x v="4"/>
    <x v="8"/>
    <n v="7"/>
    <x v="0"/>
    <x v="48"/>
    <x v="7"/>
    <n v="47"/>
    <n v="3"/>
    <n v="-0.5"/>
    <x v="12"/>
    <x v="526"/>
    <n v="0.13533834586466162"/>
    <n v="0.14634146341463405"/>
  </r>
  <r>
    <x v="4"/>
    <x v="8"/>
    <n v="8"/>
    <x v="0"/>
    <x v="48"/>
    <x v="8"/>
    <n v="43"/>
    <n v="3"/>
    <n v="-0.54255319148936176"/>
    <x v="2"/>
    <x v="532"/>
    <n v="0.10526315789473677"/>
    <n v="-8.5106382978723416E-2"/>
  </r>
  <r>
    <x v="4"/>
    <x v="8"/>
    <n v="9"/>
    <x v="0"/>
    <x v="48"/>
    <x v="9"/>
    <n v="39"/>
    <n v="3"/>
    <n v="-0.58510638297872342"/>
    <x v="4"/>
    <x v="533"/>
    <n v="7.5187969924811984E-2"/>
    <n v="-9.3023255813953543E-2"/>
  </r>
  <r>
    <x v="4"/>
    <x v="8"/>
    <n v="10"/>
    <x v="0"/>
    <x v="48"/>
    <x v="10"/>
    <n v="35"/>
    <n v="3"/>
    <n v="-0.62765957446808507"/>
    <x v="5"/>
    <x v="534"/>
    <n v="4.5112781954887209E-2"/>
    <n v="-0.10256410256410253"/>
  </r>
  <r>
    <x v="4"/>
    <x v="8"/>
    <n v="11"/>
    <x v="0"/>
    <x v="48"/>
    <x v="11"/>
    <n v="32"/>
    <n v="3"/>
    <n v="-0.65957446808510634"/>
    <x v="10"/>
    <x v="535"/>
    <n v="2.2556390977443604E-2"/>
    <n v="-8.5714285714285743E-2"/>
  </r>
  <r>
    <x v="4"/>
    <x v="8"/>
    <n v="12"/>
    <x v="0"/>
    <x v="48"/>
    <x v="12"/>
    <n v="29"/>
    <n v="3"/>
    <n v="-0.6914893617021276"/>
    <x v="8"/>
    <x v="536"/>
    <n v="0"/>
    <n v="-9.375E-2"/>
  </r>
  <r>
    <x v="4"/>
    <x v="9"/>
    <n v="0"/>
    <x v="1"/>
    <x v="49"/>
    <x v="0"/>
    <n v="100"/>
    <n v="3"/>
    <n v="0"/>
    <x v="0"/>
    <x v="0"/>
    <s v=""/>
    <n v="0"/>
  </r>
  <r>
    <x v="4"/>
    <x v="9"/>
    <n v="1"/>
    <x v="1"/>
    <x v="49"/>
    <x v="1"/>
    <n v="73"/>
    <n v="3"/>
    <n v="-0.27"/>
    <x v="3"/>
    <x v="537"/>
    <n v="0.2368421052631578"/>
    <n v="-0.27"/>
  </r>
  <r>
    <x v="4"/>
    <x v="9"/>
    <n v="2"/>
    <x v="1"/>
    <x v="49"/>
    <x v="2"/>
    <n v="66"/>
    <n v="3"/>
    <n v="-0.33999999999999997"/>
    <x v="5"/>
    <x v="538"/>
    <n v="0.14473684210526314"/>
    <n v="-9.589041095890416E-2"/>
  </r>
  <r>
    <x v="4"/>
    <x v="9"/>
    <n v="3"/>
    <x v="1"/>
    <x v="49"/>
    <x v="3"/>
    <n v="107"/>
    <n v="3"/>
    <n v="7.0000000000000062E-2"/>
    <x v="11"/>
    <x v="539"/>
    <n v="0.68421052631578949"/>
    <n v="0.6212121212121211"/>
  </r>
  <r>
    <x v="4"/>
    <x v="9"/>
    <n v="4"/>
    <x v="1"/>
    <x v="49"/>
    <x v="4"/>
    <n v="92"/>
    <n v="3"/>
    <n v="-7.999999999999996E-2"/>
    <x v="2"/>
    <x v="540"/>
    <n v="0.48684210526315791"/>
    <n v="-0.14018691588785048"/>
  </r>
  <r>
    <x v="4"/>
    <x v="9"/>
    <n v="5"/>
    <x v="1"/>
    <x v="49"/>
    <x v="5"/>
    <n v="131"/>
    <n v="3"/>
    <n v="0.31000000000000005"/>
    <x v="9"/>
    <x v="541"/>
    <n v="1"/>
    <n v="0.42391304347826098"/>
  </r>
  <r>
    <x v="4"/>
    <x v="9"/>
    <n v="6"/>
    <x v="1"/>
    <x v="49"/>
    <x v="6"/>
    <n v="114"/>
    <n v="3"/>
    <n v="0.1399999999999999"/>
    <x v="7"/>
    <x v="542"/>
    <n v="0.77631578947368396"/>
    <n v="-0.12977099236641221"/>
  </r>
  <r>
    <x v="4"/>
    <x v="9"/>
    <n v="7"/>
    <x v="1"/>
    <x v="49"/>
    <x v="7"/>
    <n v="108"/>
    <n v="3"/>
    <n v="8.0000000000000071E-2"/>
    <x v="12"/>
    <x v="543"/>
    <n v="0.69736842105263164"/>
    <n v="-5.2631578947368474E-2"/>
  </r>
  <r>
    <x v="4"/>
    <x v="9"/>
    <n v="8"/>
    <x v="1"/>
    <x v="49"/>
    <x v="8"/>
    <n v="129"/>
    <n v="3"/>
    <n v="0.29000000000000004"/>
    <x v="6"/>
    <x v="544"/>
    <n v="0.97368421052631582"/>
    <n v="0.19444444444444442"/>
  </r>
  <r>
    <x v="4"/>
    <x v="9"/>
    <n v="9"/>
    <x v="1"/>
    <x v="49"/>
    <x v="9"/>
    <n v="73"/>
    <n v="3"/>
    <n v="-0.27"/>
    <x v="3"/>
    <x v="537"/>
    <n v="0.2368421052631578"/>
    <n v="-0.43410852713178294"/>
  </r>
  <r>
    <x v="4"/>
    <x v="9"/>
    <n v="10"/>
    <x v="1"/>
    <x v="49"/>
    <x v="10"/>
    <n v="63"/>
    <n v="3"/>
    <n v="-0.37"/>
    <x v="10"/>
    <x v="545"/>
    <n v="0.10526315789473679"/>
    <n v="-0.13698630136986301"/>
  </r>
  <r>
    <x v="4"/>
    <x v="9"/>
    <n v="11"/>
    <x v="1"/>
    <x v="49"/>
    <x v="11"/>
    <n v="55"/>
    <n v="3"/>
    <n v="-0.44999999999999996"/>
    <x v="8"/>
    <x v="546"/>
    <n v="0"/>
    <n v="-0.12698412698412698"/>
  </r>
  <r>
    <x v="4"/>
    <x v="9"/>
    <n v="12"/>
    <x v="1"/>
    <x v="49"/>
    <x v="12"/>
    <n v="111"/>
    <n v="3"/>
    <n v="0.1100000000000001"/>
    <x v="1"/>
    <x v="547"/>
    <n v="0.73684210526315796"/>
    <n v="1.01818181818181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>
  <location ref="B3:G144" firstHeaderRow="1" firstDataRow="2" firstDataCol="1"/>
  <pivotFields count="13">
    <pivotField axis="axisCol" showAll="0" defaultSubtotal="0">
      <items count="5">
        <item x="0"/>
        <item x="1"/>
        <item x="2"/>
        <item x="3"/>
        <item x="4"/>
      </items>
    </pivotField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showAll="0"/>
    <pivotField showAll="0" defaultSubtotal="0"/>
    <pivotField axis="axisRow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dataField="1" showAll="0"/>
    <pivotField showAll="0" defaultSubtotal="0"/>
    <pivotField numFmtId="10" showAll="0" defaultSubtotal="0"/>
    <pivotField numFmtId="3" showAll="0" defaultSubtotal="0"/>
    <pivotField showAll="0" defaultSubtotal="0"/>
    <pivotField showAll="0" defaultSubtotal="0"/>
    <pivotField numFmtId="10" showAll="0" defaultSubtotal="0"/>
  </pivotFields>
  <rowFields count="2">
    <field x="1"/>
    <field x="5"/>
  </rowFields>
  <rowItems count="14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Sum of VALUE" fld="6" baseField="0" baseItem="0"/>
  </dataFields>
  <chartFormats count="169"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8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7"/>
          </reference>
        </references>
      </pivotArea>
    </chartFormat>
    <chartFormat chart="0" format="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8"/>
          </reference>
        </references>
      </pivotArea>
    </chartFormat>
    <chartFormat chart="0" format="8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9"/>
          </reference>
        </references>
      </pivotArea>
    </chartFormat>
    <chartFormat chart="0" format="8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0"/>
          </reference>
        </references>
      </pivotArea>
    </chartFormat>
    <chartFormat chart="0" format="8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1"/>
          </reference>
        </references>
      </pivotArea>
    </chartFormat>
    <chartFormat chart="0" format="9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10"/>
          </reference>
        </references>
      </pivotArea>
    </chartFormat>
    <chartFormat chart="0" format="9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11"/>
          </reference>
        </references>
      </pivotArea>
    </chartFormat>
    <chartFormat chart="0" format="9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12"/>
          </reference>
        </references>
      </pivotArea>
    </chartFormat>
    <chartFormat chart="0" format="9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2"/>
          </reference>
        </references>
      </pivotArea>
    </chartFormat>
    <chartFormat chart="0" format="9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3"/>
          </reference>
        </references>
      </pivotArea>
    </chartFormat>
    <chartFormat chart="0" format="9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4"/>
          </reference>
        </references>
      </pivotArea>
    </chartFormat>
    <chartFormat chart="0" format="9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5"/>
          </reference>
        </references>
      </pivotArea>
    </chartFormat>
    <chartFormat chart="0" format="9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6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0" format="1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0"/>
          </reference>
        </references>
      </pivotArea>
    </chartFormat>
    <chartFormat chart="0" format="1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1"/>
          </reference>
        </references>
      </pivotArea>
    </chartFormat>
    <chartFormat chart="0" format="1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2"/>
          </reference>
        </references>
      </pivotArea>
    </chartFormat>
    <chartFormat chart="0" format="11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3"/>
          </reference>
        </references>
      </pivotArea>
    </chartFormat>
    <chartFormat chart="0" format="1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4"/>
          </reference>
        </references>
      </pivotArea>
    </chartFormat>
    <chartFormat chart="0" format="1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5"/>
          </reference>
        </references>
      </pivotArea>
    </chartFormat>
    <chartFormat chart="0" format="1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6"/>
          </reference>
        </references>
      </pivotArea>
    </chartFormat>
    <chartFormat chart="0" format="1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7"/>
          </reference>
        </references>
      </pivotArea>
    </chartFormat>
    <chartFormat chart="0" format="1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8"/>
          </reference>
        </references>
      </pivotArea>
    </chartFormat>
    <chartFormat chart="0" format="1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9"/>
          </reference>
        </references>
      </pivotArea>
    </chartFormat>
    <chartFormat chart="0" format="1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10"/>
          </reference>
        </references>
      </pivotArea>
    </chartFormat>
    <chartFormat chart="0" format="1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11"/>
          </reference>
        </references>
      </pivotArea>
    </chartFormat>
    <chartFormat chart="0" format="1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5" count="1" selected="0">
            <x v="12"/>
          </reference>
        </references>
      </pivotArea>
    </chartFormat>
    <chartFormat chart="0" format="1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0"/>
          </reference>
        </references>
      </pivotArea>
    </chartFormat>
    <chartFormat chart="0" format="1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1"/>
          </reference>
        </references>
      </pivotArea>
    </chartFormat>
    <chartFormat chart="0" format="1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2"/>
          </reference>
        </references>
      </pivotArea>
    </chartFormat>
    <chartFormat chart="0" format="1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3"/>
          </reference>
        </references>
      </pivotArea>
    </chartFormat>
    <chartFormat chart="0" format="1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4"/>
          </reference>
        </references>
      </pivotArea>
    </chartFormat>
    <chartFormat chart="0" format="1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5"/>
          </reference>
        </references>
      </pivotArea>
    </chartFormat>
    <chartFormat chart="0" format="1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6"/>
          </reference>
        </references>
      </pivotArea>
    </chartFormat>
    <chartFormat chart="0" format="1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7"/>
          </reference>
        </references>
      </pivotArea>
    </chartFormat>
    <chartFormat chart="0" format="1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8"/>
          </reference>
        </references>
      </pivotArea>
    </chartFormat>
    <chartFormat chart="0" format="1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9"/>
          </reference>
        </references>
      </pivotArea>
    </chartFormat>
    <chartFormat chart="0" format="1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10"/>
          </reference>
        </references>
      </pivotArea>
    </chartFormat>
    <chartFormat chart="0" format="1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11"/>
          </reference>
        </references>
      </pivotArea>
    </chartFormat>
    <chartFormat chart="0" format="1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5" count="1" selected="0">
            <x v="12"/>
          </reference>
        </references>
      </pivotArea>
    </chartFormat>
    <chartFormat chart="0" format="1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0"/>
          </reference>
        </references>
      </pivotArea>
    </chartFormat>
    <chartFormat chart="0" format="1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1"/>
          </reference>
        </references>
      </pivotArea>
    </chartFormat>
    <chartFormat chart="0" format="1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2"/>
          </reference>
        </references>
      </pivotArea>
    </chartFormat>
    <chartFormat chart="0" format="14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3"/>
          </reference>
        </references>
      </pivotArea>
    </chartFormat>
    <chartFormat chart="0" format="14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4"/>
          </reference>
        </references>
      </pivotArea>
    </chartFormat>
    <chartFormat chart="0" format="1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5"/>
          </reference>
        </references>
      </pivotArea>
    </chartFormat>
    <chartFormat chart="0" format="1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6"/>
          </reference>
        </references>
      </pivotArea>
    </chartFormat>
    <chartFormat chart="0" format="1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7"/>
          </reference>
        </references>
      </pivotArea>
    </chartFormat>
    <chartFormat chart="0" format="1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8"/>
          </reference>
        </references>
      </pivotArea>
    </chartFormat>
    <chartFormat chart="0" format="1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9"/>
          </reference>
        </references>
      </pivotArea>
    </chartFormat>
    <chartFormat chart="0" format="1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10"/>
          </reference>
        </references>
      </pivotArea>
    </chartFormat>
    <chartFormat chart="0" format="14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11"/>
          </reference>
        </references>
      </pivotArea>
    </chartFormat>
    <chartFormat chart="0" format="14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5" count="1" selected="0">
            <x v="12"/>
          </reference>
        </references>
      </pivotArea>
    </chartFormat>
    <chartFormat chart="0" format="15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0"/>
          </reference>
        </references>
      </pivotArea>
    </chartFormat>
    <chartFormat chart="0" format="15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1"/>
          </reference>
        </references>
      </pivotArea>
    </chartFormat>
    <chartFormat chart="0" format="15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2"/>
          </reference>
        </references>
      </pivotArea>
    </chartFormat>
    <chartFormat chart="0" format="15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3"/>
          </reference>
        </references>
      </pivotArea>
    </chartFormat>
    <chartFormat chart="0" format="15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4"/>
          </reference>
        </references>
      </pivotArea>
    </chartFormat>
    <chartFormat chart="0" format="15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5"/>
          </reference>
        </references>
      </pivotArea>
    </chartFormat>
    <chartFormat chart="0" format="15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6"/>
          </reference>
        </references>
      </pivotArea>
    </chartFormat>
    <chartFormat chart="0" format="15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7"/>
          </reference>
        </references>
      </pivotArea>
    </chartFormat>
    <chartFormat chart="0" format="15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8"/>
          </reference>
        </references>
      </pivotArea>
    </chartFormat>
    <chartFormat chart="0" format="15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9"/>
          </reference>
        </references>
      </pivotArea>
    </chartFormat>
    <chartFormat chart="0" format="16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10"/>
          </reference>
        </references>
      </pivotArea>
    </chartFormat>
    <chartFormat chart="0" format="16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11"/>
          </reference>
        </references>
      </pivotArea>
    </chartFormat>
    <chartFormat chart="0" format="16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5" count="1" selected="0">
            <x v="12"/>
          </reference>
        </references>
      </pivotArea>
    </chartFormat>
    <chartFormat chart="0" format="16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0"/>
          </reference>
        </references>
      </pivotArea>
    </chartFormat>
    <chartFormat chart="0" format="16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1"/>
          </reference>
        </references>
      </pivotArea>
    </chartFormat>
    <chartFormat chart="0" format="16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2"/>
          </reference>
        </references>
      </pivotArea>
    </chartFormat>
    <chartFormat chart="0" format="16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3"/>
          </reference>
        </references>
      </pivotArea>
    </chartFormat>
    <chartFormat chart="0" format="16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4"/>
          </reference>
        </references>
      </pivotArea>
    </chartFormat>
    <chartFormat chart="0" format="16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5"/>
          </reference>
        </references>
      </pivotArea>
    </chartFormat>
    <chartFormat chart="0" format="16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6"/>
          </reference>
        </references>
      </pivotArea>
    </chartFormat>
    <chartFormat chart="0" format="17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7"/>
          </reference>
        </references>
      </pivotArea>
    </chartFormat>
    <chartFormat chart="0" format="17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8"/>
          </reference>
        </references>
      </pivotArea>
    </chartFormat>
    <chartFormat chart="0" format="17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9"/>
          </reference>
        </references>
      </pivotArea>
    </chartFormat>
    <chartFormat chart="0" format="17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10"/>
          </reference>
        </references>
      </pivotArea>
    </chartFormat>
    <chartFormat chart="0" format="17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11"/>
          </reference>
        </references>
      </pivotArea>
    </chartFormat>
    <chartFormat chart="0" format="17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5" count="1" selected="0">
            <x v="12"/>
          </reference>
        </references>
      </pivotArea>
    </chartFormat>
    <chartFormat chart="0" format="17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5" count="1" selected="0">
            <x v="0"/>
          </reference>
        </references>
      </pivotArea>
    </chartFormat>
    <chartFormat chart="0" format="17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5" count="1" selected="0">
            <x v="1"/>
          </reference>
        </references>
      </pivotArea>
    </chartFormat>
    <chartFormat chart="0" format="17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5" count="1" selected="0">
            <x v="2"/>
          </reference>
        </references>
      </pivotArea>
    </chartFormat>
    <chartFormat chart="0" format="17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5" count="1" selected="0">
            <x v="3"/>
          </reference>
        </references>
      </pivotArea>
    </chartFormat>
    <chartFormat chart="0" format="18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5" count="1" selected="0">
            <x v="4"/>
          </reference>
        </references>
      </pivotArea>
    </chartFormat>
    <chartFormat chart="0" format="18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5" count="1" selected="0">
            <x v="5"/>
          </reference>
        </references>
      </pivotArea>
    </chartFormat>
    <chartFormat chart="0" format="18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5" count="1" selected="0">
            <x v="6"/>
          </reference>
        </references>
      </pivotArea>
    </chartFormat>
    <chartFormat chart="0" format="18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5" count="1" selected="0">
            <x v="7"/>
          </reference>
        </references>
      </pivotArea>
    </chartFormat>
    <chartFormat chart="0" format="18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5" count="1" selected="0">
            <x v="8"/>
          </reference>
        </references>
      </pivotArea>
    </chartFormat>
    <chartFormat chart="0" format="18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5" count="1" selected="0">
            <x v="9"/>
          </reference>
        </references>
      </pivotArea>
    </chartFormat>
    <chartFormat chart="0" format="18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5" count="1" selected="0">
            <x v="10"/>
          </reference>
        </references>
      </pivotArea>
    </chartFormat>
    <chartFormat chart="0" format="18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5" count="1" selected="0">
            <x v="11"/>
          </reference>
        </references>
      </pivotArea>
    </chartFormat>
    <chartFormat chart="0" format="18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5" count="1" selected="0">
            <x v="12"/>
          </reference>
        </references>
      </pivotArea>
    </chartFormat>
    <chartFormat chart="0" format="18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5" count="1" selected="0">
            <x v="0"/>
          </reference>
        </references>
      </pivotArea>
    </chartFormat>
    <chartFormat chart="0" format="19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5" count="1" selected="0">
            <x v="1"/>
          </reference>
        </references>
      </pivotArea>
    </chartFormat>
    <chartFormat chart="0" format="19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5" count="1" selected="0">
            <x v="2"/>
          </reference>
        </references>
      </pivotArea>
    </chartFormat>
    <chartFormat chart="0" format="19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5" count="1" selected="0">
            <x v="3"/>
          </reference>
        </references>
      </pivotArea>
    </chartFormat>
    <chartFormat chart="0" format="19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5" count="1" selected="0">
            <x v="4"/>
          </reference>
        </references>
      </pivotArea>
    </chartFormat>
    <chartFormat chart="0" format="19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5" count="1" selected="0">
            <x v="5"/>
          </reference>
        </references>
      </pivotArea>
    </chartFormat>
    <chartFormat chart="0" format="19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5" count="1" selected="0">
            <x v="6"/>
          </reference>
        </references>
      </pivotArea>
    </chartFormat>
    <chartFormat chart="0" format="19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5" count="1" selected="0">
            <x v="7"/>
          </reference>
        </references>
      </pivotArea>
    </chartFormat>
    <chartFormat chart="0" format="19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5" count="1" selected="0">
            <x v="8"/>
          </reference>
        </references>
      </pivotArea>
    </chartFormat>
    <chartFormat chart="0" format="19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5" count="1" selected="0">
            <x v="9"/>
          </reference>
        </references>
      </pivotArea>
    </chartFormat>
    <chartFormat chart="0" format="19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5" count="1" selected="0">
            <x v="10"/>
          </reference>
        </references>
      </pivotArea>
    </chartFormat>
    <chartFormat chart="0" format="20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5" count="1" selected="0">
            <x v="11"/>
          </reference>
        </references>
      </pivotArea>
    </chartFormat>
    <chartFormat chart="0" format="20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5" count="1" selected="0">
            <x v="12"/>
          </reference>
        </references>
      </pivotArea>
    </chartFormat>
    <chartFormat chart="0" format="20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5" count="1" selected="0">
            <x v="0"/>
          </reference>
        </references>
      </pivotArea>
    </chartFormat>
    <chartFormat chart="0" format="20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5" count="1" selected="0">
            <x v="1"/>
          </reference>
        </references>
      </pivotArea>
    </chartFormat>
    <chartFormat chart="0" format="20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5" count="1" selected="0">
            <x v="2"/>
          </reference>
        </references>
      </pivotArea>
    </chartFormat>
    <chartFormat chart="0" format="20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5" count="1" selected="0">
            <x v="3"/>
          </reference>
        </references>
      </pivotArea>
    </chartFormat>
    <chartFormat chart="0" format="20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5" count="1" selected="0">
            <x v="4"/>
          </reference>
        </references>
      </pivotArea>
    </chartFormat>
    <chartFormat chart="0" format="20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5" count="1" selected="0">
            <x v="5"/>
          </reference>
        </references>
      </pivotArea>
    </chartFormat>
    <chartFormat chart="0" format="20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5" count="1" selected="0">
            <x v="6"/>
          </reference>
        </references>
      </pivotArea>
    </chartFormat>
    <chartFormat chart="0" format="20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5" count="1" selected="0">
            <x v="7"/>
          </reference>
        </references>
      </pivotArea>
    </chartFormat>
    <chartFormat chart="0" format="2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5" count="1" selected="0">
            <x v="8"/>
          </reference>
        </references>
      </pivotArea>
    </chartFormat>
    <chartFormat chart="0" format="2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5" count="1" selected="0">
            <x v="9"/>
          </reference>
        </references>
      </pivotArea>
    </chartFormat>
    <chartFormat chart="0" format="2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5" count="1" selected="0">
            <x v="10"/>
          </reference>
        </references>
      </pivotArea>
    </chartFormat>
    <chartFormat chart="0" format="2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5" count="1" selected="0">
            <x v="11"/>
          </reference>
        </references>
      </pivotArea>
    </chartFormat>
    <chartFormat chart="0" format="21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5" count="1" selected="0">
            <x v="12"/>
          </reference>
        </references>
      </pivotArea>
    </chartFormat>
    <chartFormat chart="0" format="2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5" count="1" selected="0">
            <x v="0"/>
          </reference>
        </references>
      </pivotArea>
    </chartFormat>
    <chartFormat chart="0" format="2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5" count="1" selected="0">
            <x v="1"/>
          </reference>
        </references>
      </pivotArea>
    </chartFormat>
    <chartFormat chart="0" format="2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5" count="1" selected="0">
            <x v="2"/>
          </reference>
        </references>
      </pivotArea>
    </chartFormat>
    <chartFormat chart="0" format="2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5" count="1" selected="0">
            <x v="3"/>
          </reference>
        </references>
      </pivotArea>
    </chartFormat>
    <chartFormat chart="0" format="2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5" count="1" selected="0">
            <x v="4"/>
          </reference>
        </references>
      </pivotArea>
    </chartFormat>
    <chartFormat chart="0" format="2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5" count="1" selected="0">
            <x v="5"/>
          </reference>
        </references>
      </pivotArea>
    </chartFormat>
    <chartFormat chart="0" format="2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5" count="1" selected="0">
            <x v="6"/>
          </reference>
        </references>
      </pivotArea>
    </chartFormat>
    <chartFormat chart="0" format="2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5" count="1" selected="0">
            <x v="7"/>
          </reference>
        </references>
      </pivotArea>
    </chartFormat>
    <chartFormat chart="0" format="2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5" count="1" selected="0">
            <x v="8"/>
          </reference>
        </references>
      </pivotArea>
    </chartFormat>
    <chartFormat chart="0" format="2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5" count="1" selected="0">
            <x v="9"/>
          </reference>
        </references>
      </pivotArea>
    </chartFormat>
    <chartFormat chart="0" format="2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5" count="1" selected="0">
            <x v="10"/>
          </reference>
        </references>
      </pivotArea>
    </chartFormat>
    <chartFormat chart="0" format="2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5" count="1" selected="0">
            <x v="11"/>
          </reference>
        </references>
      </pivotArea>
    </chartFormat>
    <chartFormat chart="0" format="2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5" count="1" selected="0">
            <x v="12"/>
          </reference>
        </references>
      </pivotArea>
    </chartFormat>
    <chartFormat chart="0" format="2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2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2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2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2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2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2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Medium8 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4">
  <location ref="B3:F17" firstHeaderRow="1" firstDataRow="3" firstDataCol="1"/>
  <pivotFields count="13">
    <pivotField showAll="0" defaultSubtotal="0"/>
    <pivotField showAll="0" defaultSubtotal="0"/>
    <pivotField showAll="0" defaultSubtotal="0"/>
    <pivotField axis="axisCol" showAll="0">
      <items count="5">
        <item sd="0" x="1"/>
        <item sd="0" x="3"/>
        <item sd="0" x="2"/>
        <item sd="0" x="0"/>
        <item t="default" sd="0"/>
      </items>
    </pivotField>
    <pivotField axis="axisCol" showAll="0" defaultSubtotal="0">
      <items count="50">
        <item x="0"/>
        <item x="9"/>
        <item x="1"/>
        <item x="2"/>
        <item x="3"/>
        <item x="4"/>
        <item x="5"/>
        <item x="6"/>
        <item x="7"/>
        <item x="8"/>
        <item x="10"/>
        <item x="19"/>
        <item x="11"/>
        <item x="12"/>
        <item x="13"/>
        <item x="14"/>
        <item x="15"/>
        <item x="16"/>
        <item x="17"/>
        <item x="18"/>
        <item x="20"/>
        <item x="29"/>
        <item x="21"/>
        <item x="22"/>
        <item x="23"/>
        <item x="24"/>
        <item x="25"/>
        <item x="26"/>
        <item x="27"/>
        <item x="28"/>
        <item x="30"/>
        <item x="39"/>
        <item x="31"/>
        <item x="32"/>
        <item x="33"/>
        <item x="34"/>
        <item x="35"/>
        <item x="36"/>
        <item x="37"/>
        <item x="38"/>
        <item x="40"/>
        <item x="49"/>
        <item x="41"/>
        <item x="42"/>
        <item x="43"/>
        <item x="44"/>
        <item x="45"/>
        <item x="46"/>
        <item x="47"/>
        <item x="48"/>
      </items>
    </pivotField>
    <pivotField axis="axisRow" showAll="0" defaultSubtotal="0">
      <items count="13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showAll="0"/>
    <pivotField showAll="0" defaultSubtotal="0"/>
    <pivotField dataField="1" numFmtId="10" showAll="0" defaultSubtotal="0"/>
    <pivotField numFmtId="3" showAll="0" defaultSubtotal="0"/>
    <pivotField showAll="0" defaultSubtotal="0"/>
    <pivotField showAll="0" defaultSubtotal="0"/>
    <pivotField numFmtId="10" showAll="0" defaultSubtotal="0"/>
  </pivotFields>
  <rowFields count="1">
    <field x="5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2">
    <field x="3"/>
    <field x="4"/>
  </colFields>
  <colItems count="4">
    <i>
      <x/>
    </i>
    <i>
      <x v="1"/>
    </i>
    <i>
      <x v="2"/>
    </i>
    <i>
      <x v="3"/>
    </i>
  </colItems>
  <dataFields count="1">
    <dataField name="Average of WTD_RET" fld="8" subtotal="average" baseField="5" baseItem="0" numFmtId="10"/>
  </dataFields>
  <formats count="3"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outline="0" collapsedLevelsAreSubtotals="1" fieldPosition="0"/>
    </format>
  </formats>
  <chartFormats count="51">
    <chartFormat chart="1" format="30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0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0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0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30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1"/>
          </reference>
        </references>
      </pivotArea>
    </chartFormat>
    <chartFormat chart="1" format="30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3"/>
          </reference>
        </references>
      </pivotArea>
    </chartFormat>
    <chartFormat chart="1" format="31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6"/>
          </reference>
        </references>
      </pivotArea>
    </chartFormat>
    <chartFormat chart="1" format="31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8"/>
          </reference>
        </references>
      </pivotArea>
    </chartFormat>
    <chartFormat chart="1" format="31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21"/>
          </reference>
        </references>
      </pivotArea>
    </chartFormat>
    <chartFormat chart="1" format="31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23"/>
          </reference>
        </references>
      </pivotArea>
    </chartFormat>
    <chartFormat chart="1" format="31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25"/>
          </reference>
        </references>
      </pivotArea>
    </chartFormat>
    <chartFormat chart="1" format="31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26"/>
          </reference>
        </references>
      </pivotArea>
    </chartFormat>
    <chartFormat chart="1" format="31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28"/>
          </reference>
        </references>
      </pivotArea>
    </chartFormat>
    <chartFormat chart="1" format="31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32"/>
          </reference>
        </references>
      </pivotArea>
    </chartFormat>
    <chartFormat chart="1" format="31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39"/>
          </reference>
        </references>
      </pivotArea>
    </chartFormat>
    <chartFormat chart="1" format="31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41"/>
          </reference>
        </references>
      </pivotArea>
    </chartFormat>
    <chartFormat chart="1" format="32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43"/>
          </reference>
        </references>
      </pivotArea>
    </chartFormat>
    <chartFormat chart="1" format="32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45"/>
          </reference>
        </references>
      </pivotArea>
    </chartFormat>
    <chartFormat chart="1" format="32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7"/>
          </reference>
        </references>
      </pivotArea>
    </chartFormat>
    <chartFormat chart="1" format="32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2"/>
          </reference>
        </references>
      </pivotArea>
    </chartFormat>
    <chartFormat chart="1" format="32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5"/>
          </reference>
        </references>
      </pivotArea>
    </chartFormat>
    <chartFormat chart="1" format="32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9"/>
          </reference>
        </references>
      </pivotArea>
    </chartFormat>
    <chartFormat chart="1" format="32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34"/>
          </reference>
        </references>
      </pivotArea>
    </chartFormat>
    <chartFormat chart="1" format="32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36"/>
          </reference>
        </references>
      </pivotArea>
    </chartFormat>
    <chartFormat chart="1" format="32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37"/>
          </reference>
        </references>
      </pivotArea>
    </chartFormat>
    <chartFormat chart="1" format="32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46"/>
          </reference>
        </references>
      </pivotArea>
    </chartFormat>
    <chartFormat chart="1" format="33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47"/>
          </reference>
        </references>
      </pivotArea>
    </chartFormat>
    <chartFormat chart="1" format="33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1" format="33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6"/>
          </reference>
        </references>
      </pivotArea>
    </chartFormat>
    <chartFormat chart="1" format="33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29"/>
          </reference>
        </references>
      </pivotArea>
    </chartFormat>
    <chartFormat chart="1" format="33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31"/>
          </reference>
        </references>
      </pivotArea>
    </chartFormat>
    <chartFormat chart="1" format="33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33"/>
          </reference>
        </references>
      </pivotArea>
    </chartFormat>
    <chartFormat chart="1" format="33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35"/>
          </reference>
        </references>
      </pivotArea>
    </chartFormat>
    <chartFormat chart="1" format="33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38"/>
          </reference>
        </references>
      </pivotArea>
    </chartFormat>
    <chartFormat chart="1" format="33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44"/>
          </reference>
        </references>
      </pivotArea>
    </chartFormat>
    <chartFormat chart="1" format="33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1" format="34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4"/>
          </reference>
        </references>
      </pivotArea>
    </chartFormat>
    <chartFormat chart="1" format="34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5"/>
          </reference>
        </references>
      </pivotArea>
    </chartFormat>
    <chartFormat chart="1" format="34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10"/>
          </reference>
        </references>
      </pivotArea>
    </chartFormat>
    <chartFormat chart="1" format="34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14"/>
          </reference>
        </references>
      </pivotArea>
    </chartFormat>
    <chartFormat chart="1" format="34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17"/>
          </reference>
        </references>
      </pivotArea>
    </chartFormat>
    <chartFormat chart="1" format="34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20"/>
          </reference>
        </references>
      </pivotArea>
    </chartFormat>
    <chartFormat chart="1" format="34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22"/>
          </reference>
        </references>
      </pivotArea>
    </chartFormat>
    <chartFormat chart="1" format="34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24"/>
          </reference>
        </references>
      </pivotArea>
    </chartFormat>
    <chartFormat chart="1" format="34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27"/>
          </reference>
        </references>
      </pivotArea>
    </chartFormat>
    <chartFormat chart="1" format="34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30"/>
          </reference>
        </references>
      </pivotArea>
    </chartFormat>
    <chartFormat chart="1" format="35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40"/>
          </reference>
        </references>
      </pivotArea>
    </chartFormat>
    <chartFormat chart="1" format="35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42"/>
          </reference>
        </references>
      </pivotArea>
    </chartFormat>
    <chartFormat chart="1" format="35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48"/>
          </reference>
        </references>
      </pivotArea>
    </chartFormat>
    <chartFormat chart="1" format="35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49"/>
          </reference>
        </references>
      </pivotArea>
    </chartFormat>
    <chartFormat chart="1" format="35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Medium8 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5">
  <location ref="B3:G14" firstHeaderRow="1" firstDataRow="2" firstDataCol="1"/>
  <pivotFields count="13">
    <pivotField axis="axisCol" showAll="0" defaultSubtotal="0">
      <items count="5">
        <item x="0"/>
        <item x="1"/>
        <item x="2"/>
        <item x="3"/>
        <item x="4"/>
      </items>
    </pivotField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dataField="1" showAll="0"/>
    <pivotField showAll="0" defaultSubtotal="0"/>
    <pivotField showAll="0" defaultSubtotal="0"/>
    <pivotField showAll="0"/>
    <pivotField showAll="0" defaultSubtotal="0"/>
    <pivotField numFmtId="10" showAll="0" defaultSubtotal="0"/>
    <pivotField numFmtId="3" showAll="0" defaultSubtotal="0"/>
    <pivotField showAll="0" defaultSubtotal="0"/>
    <pivotField showAll="0" defaultSubtotal="0"/>
    <pivotField numFmtId="10"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dataFields count="1">
    <dataField name="Average of REGIME" fld="3" subtotal="average" baseField="0" baseItem="0"/>
  </dataFields>
  <chartFormats count="5">
    <chartFormat chart="4" format="3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3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3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3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3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Medium8 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7">
  <location ref="B3:F17" firstHeaderRow="1" firstDataRow="3" firstDataCol="1"/>
  <pivotFields count="13">
    <pivotField showAll="0" defaultSubtotal="0"/>
    <pivotField showAll="0" defaultSubtotal="0"/>
    <pivotField showAll="0" defaultSubtotal="0"/>
    <pivotField axis="axisCol" showAll="0">
      <items count="5">
        <item sd="0" x="1"/>
        <item sd="0" x="3"/>
        <item sd="0" x="2"/>
        <item sd="0" x="0"/>
        <item t="default" sd="0"/>
      </items>
    </pivotField>
    <pivotField axis="axisCol" showAll="0" defaultSubtotal="0">
      <items count="50">
        <item x="0"/>
        <item x="9"/>
        <item x="1"/>
        <item x="2"/>
        <item x="3"/>
        <item x="4"/>
        <item x="5"/>
        <item x="6"/>
        <item x="7"/>
        <item x="8"/>
        <item x="10"/>
        <item x="19"/>
        <item x="11"/>
        <item x="12"/>
        <item x="13"/>
        <item x="14"/>
        <item x="15"/>
        <item x="16"/>
        <item x="17"/>
        <item x="18"/>
        <item x="20"/>
        <item x="29"/>
        <item x="21"/>
        <item x="22"/>
        <item x="23"/>
        <item x="24"/>
        <item x="25"/>
        <item x="26"/>
        <item x="27"/>
        <item x="28"/>
        <item x="30"/>
        <item x="39"/>
        <item x="31"/>
        <item x="32"/>
        <item x="33"/>
        <item x="34"/>
        <item x="35"/>
        <item x="36"/>
        <item x="37"/>
        <item x="38"/>
        <item x="40"/>
        <item x="49"/>
        <item x="41"/>
        <item x="42"/>
        <item x="43"/>
        <item x="44"/>
        <item x="45"/>
        <item x="46"/>
        <item x="47"/>
        <item x="48"/>
      </items>
    </pivotField>
    <pivotField showAll="0" defaultSubtotal="0"/>
    <pivotField showAll="0"/>
    <pivotField showAll="0" defaultSubtotal="0"/>
    <pivotField dataField="1" numFmtId="10" showAll="0" defaultSubtotal="0"/>
    <pivotField axis="axisRow" numFmtId="3" showAll="0" defaultSubtotal="0">
      <items count="13">
        <item h="1" x="0"/>
        <item x="9"/>
        <item x="6"/>
        <item x="7"/>
        <item x="1"/>
        <item x="12"/>
        <item x="11"/>
        <item x="2"/>
        <item x="3"/>
        <item x="4"/>
        <item x="5"/>
        <item x="10"/>
        <item x="8"/>
      </items>
    </pivotField>
    <pivotField showAll="0" defaultSubtotal="0"/>
    <pivotField showAll="0" defaultSubtotal="0"/>
    <pivotField numFmtId="10" showAll="0" defaultSubtotal="0"/>
  </pivotFields>
  <rowFields count="1">
    <field x="9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2">
    <field x="3"/>
    <field x="4"/>
  </colFields>
  <colItems count="4">
    <i>
      <x/>
    </i>
    <i>
      <x v="1"/>
    </i>
    <i>
      <x v="2"/>
    </i>
    <i>
      <x v="3"/>
    </i>
  </colItems>
  <dataFields count="1">
    <dataField name="Average of WTD_RET" fld="8" subtotal="average" baseField="8" baseItem="5" numFmtId="10"/>
  </dataFields>
  <chartFormats count="13">
    <chartFormat chart="4" format="64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9"/>
          </reference>
        </references>
      </pivotArea>
    </chartFormat>
    <chartFormat chart="4" format="64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34"/>
          </reference>
        </references>
      </pivotArea>
    </chartFormat>
    <chartFormat chart="4" format="64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36"/>
          </reference>
        </references>
      </pivotArea>
    </chartFormat>
    <chartFormat chart="4" format="64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37"/>
          </reference>
        </references>
      </pivotArea>
    </chartFormat>
    <chartFormat chart="4" format="64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46"/>
          </reference>
        </references>
      </pivotArea>
    </chartFormat>
    <chartFormat chart="4" format="64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47"/>
          </reference>
        </references>
      </pivotArea>
    </chartFormat>
    <chartFormat chart="4" format="6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6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6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64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7"/>
          </reference>
        </references>
      </pivotArea>
    </chartFormat>
    <chartFormat chart="4" format="65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2"/>
          </reference>
        </references>
      </pivotArea>
    </chartFormat>
    <chartFormat chart="4" format="65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5"/>
          </reference>
        </references>
      </pivotArea>
    </chartFormat>
    <chartFormat chart="4" format="65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Medium8 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8">
  <location ref="B3:F17" firstHeaderRow="1" firstDataRow="3" firstDataCol="1"/>
  <pivotFields count="13">
    <pivotField showAll="0" defaultSubtotal="0"/>
    <pivotField showAll="0" defaultSubtotal="0"/>
    <pivotField showAll="0" defaultSubtotal="0"/>
    <pivotField axis="axisCol" showAll="0">
      <items count="5">
        <item sd="0" x="1"/>
        <item sd="0" x="3"/>
        <item sd="0" x="2"/>
        <item sd="0" x="0"/>
        <item t="default" sd="0"/>
      </items>
    </pivotField>
    <pivotField axis="axisCol" showAll="0" defaultSubtotal="0">
      <items count="50">
        <item x="0"/>
        <item x="9"/>
        <item x="1"/>
        <item x="2"/>
        <item x="3"/>
        <item x="4"/>
        <item x="5"/>
        <item x="6"/>
        <item x="7"/>
        <item x="8"/>
        <item x="10"/>
        <item x="19"/>
        <item x="11"/>
        <item x="12"/>
        <item x="13"/>
        <item x="14"/>
        <item x="15"/>
        <item x="16"/>
        <item x="17"/>
        <item x="18"/>
        <item x="20"/>
        <item x="29"/>
        <item x="21"/>
        <item x="22"/>
        <item x="23"/>
        <item x="24"/>
        <item x="25"/>
        <item x="26"/>
        <item x="27"/>
        <item x="28"/>
        <item x="30"/>
        <item x="39"/>
        <item x="31"/>
        <item x="32"/>
        <item x="33"/>
        <item x="34"/>
        <item x="35"/>
        <item x="36"/>
        <item x="37"/>
        <item x="38"/>
        <item x="40"/>
        <item x="49"/>
        <item x="41"/>
        <item x="42"/>
        <item x="43"/>
        <item x="44"/>
        <item x="45"/>
        <item x="46"/>
        <item x="47"/>
        <item x="48"/>
      </items>
    </pivotField>
    <pivotField showAll="0" defaultSubtotal="0"/>
    <pivotField showAll="0"/>
    <pivotField showAll="0" defaultSubtotal="0"/>
    <pivotField numFmtId="10" showAll="0" defaultSubtotal="0"/>
    <pivotField axis="axisRow" numFmtId="3" showAll="0" defaultSubtotal="0">
      <items count="13">
        <item h="1" x="0"/>
        <item x="9"/>
        <item x="6"/>
        <item x="7"/>
        <item x="1"/>
        <item x="12"/>
        <item x="11"/>
        <item x="2"/>
        <item x="3"/>
        <item x="4"/>
        <item x="5"/>
        <item x="10"/>
        <item x="8"/>
      </items>
    </pivotField>
    <pivotField showAll="0" defaultSubtotal="0"/>
    <pivotField showAll="0" defaultSubtotal="0"/>
    <pivotField dataField="1" numFmtId="10" showAll="0" defaultSubtotal="0"/>
  </pivotFields>
  <rowFields count="1">
    <field x="9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2">
    <field x="3"/>
    <field x="4"/>
  </colFields>
  <colItems count="4">
    <i>
      <x/>
    </i>
    <i>
      <x v="1"/>
    </i>
    <i>
      <x v="2"/>
    </i>
    <i>
      <x v="3"/>
    </i>
  </colItems>
  <dataFields count="1">
    <dataField name="Average of D_RET" fld="12" subtotal="average" baseField="9" baseItem="1" numFmtId="10"/>
  </dataFields>
  <chartFormats count="8">
    <chartFormat chart="7" format="65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1048832"/>
          </reference>
        </references>
      </pivotArea>
    </chartFormat>
    <chartFormat chart="7" format="66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4" count="1" selected="0">
            <x v="1048832"/>
          </reference>
        </references>
      </pivotArea>
    </chartFormat>
    <chartFormat chart="7" format="66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048832"/>
          </reference>
        </references>
      </pivotArea>
    </chartFormat>
    <chartFormat chart="7" format="66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048832"/>
          </reference>
        </references>
      </pivotArea>
    </chartFormat>
    <chartFormat chart="7" format="66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66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66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66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8 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9">
  <location ref="B3:F17" firstHeaderRow="1" firstDataRow="3" firstDataCol="1"/>
  <pivotFields count="13">
    <pivotField showAll="0" defaultSubtotal="0"/>
    <pivotField showAll="0" defaultSubtotal="0"/>
    <pivotField showAll="0" defaultSubtotal="0"/>
    <pivotField axis="axisCol" showAll="0">
      <items count="5">
        <item sd="0" x="1"/>
        <item sd="0" x="3"/>
        <item sd="0" x="2"/>
        <item sd="0" x="0"/>
        <item t="default" sd="0"/>
      </items>
    </pivotField>
    <pivotField axis="axisCol" showAll="0" defaultSubtotal="0">
      <items count="50">
        <item x="0"/>
        <item x="9"/>
        <item x="1"/>
        <item x="2"/>
        <item x="3"/>
        <item x="4"/>
        <item x="5"/>
        <item x="6"/>
        <item x="7"/>
        <item x="8"/>
        <item x="10"/>
        <item x="19"/>
        <item x="11"/>
        <item x="12"/>
        <item x="13"/>
        <item x="14"/>
        <item x="15"/>
        <item x="16"/>
        <item x="17"/>
        <item x="18"/>
        <item x="20"/>
        <item x="29"/>
        <item x="21"/>
        <item x="22"/>
        <item x="23"/>
        <item x="24"/>
        <item x="25"/>
        <item x="26"/>
        <item x="27"/>
        <item x="28"/>
        <item x="30"/>
        <item x="39"/>
        <item x="31"/>
        <item x="32"/>
        <item x="33"/>
        <item x="34"/>
        <item x="35"/>
        <item x="36"/>
        <item x="37"/>
        <item x="38"/>
        <item x="40"/>
        <item x="49"/>
        <item x="41"/>
        <item x="42"/>
        <item x="43"/>
        <item x="44"/>
        <item x="45"/>
        <item x="46"/>
        <item x="47"/>
        <item x="48"/>
      </items>
    </pivotField>
    <pivotField showAll="0" defaultSubtotal="0"/>
    <pivotField showAll="0"/>
    <pivotField showAll="0" defaultSubtotal="0"/>
    <pivotField numFmtId="10" showAll="0" defaultSubtotal="0"/>
    <pivotField axis="axisRow" numFmtId="3" showAll="0" defaultSubtotal="0">
      <items count="13">
        <item h="1" x="0"/>
        <item x="9"/>
        <item x="6"/>
        <item x="7"/>
        <item x="1"/>
        <item x="12"/>
        <item x="11"/>
        <item x="2"/>
        <item x="3"/>
        <item x="4"/>
        <item x="5"/>
        <item x="10"/>
        <item x="8"/>
      </items>
    </pivotField>
    <pivotField showAll="0" defaultSubtotal="0"/>
    <pivotField dataField="1" showAll="0" defaultSubtotal="0"/>
    <pivotField numFmtId="10" showAll="0" defaultSubtotal="0"/>
  </pivotFields>
  <rowFields count="1">
    <field x="9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2">
    <field x="3"/>
    <field x="4"/>
  </colFields>
  <colItems count="4">
    <i>
      <x/>
    </i>
    <i>
      <x v="1"/>
    </i>
    <i>
      <x v="2"/>
    </i>
    <i>
      <x v="3"/>
    </i>
  </colItems>
  <dataFields count="1">
    <dataField name="Average of WTD_RET_MINMAXSCALE" fld="11" subtotal="average" baseField="12" baseItem="0" numFmtId="10"/>
  </dataFields>
  <formats count="4">
    <format dxfId="10">
      <pivotArea collapsedLevelsAreSubtotals="1" fieldPosition="0">
        <references count="1">
          <reference field="9" count="8"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9">
      <pivotArea outline="0" collapsedLevelsAreSubtotals="1" fieldPosition="0"/>
    </format>
    <format dxfId="8">
      <pivotArea outline="0" collapsedLevelsAreSubtotals="1" fieldPosition="0"/>
    </format>
    <format dxfId="7">
      <pivotArea outline="0" collapsedLevelsAreSubtotals="1" fieldPosition="0"/>
    </format>
  </formats>
  <chartFormats count="14">
    <chartFormat chart="7" format="607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7" format="608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7" format="609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7" format="610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8" format="6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6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6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6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62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9"/>
          </reference>
        </references>
      </pivotArea>
    </chartFormat>
    <chartFormat chart="8" format="62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34"/>
          </reference>
        </references>
      </pivotArea>
    </chartFormat>
    <chartFormat chart="8" format="62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36"/>
          </reference>
        </references>
      </pivotArea>
    </chartFormat>
    <chartFormat chart="8" format="63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37"/>
          </reference>
        </references>
      </pivotArea>
    </chartFormat>
    <chartFormat chart="8" format="63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46"/>
          </reference>
        </references>
      </pivotArea>
    </chartFormat>
    <chartFormat chart="8" format="63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47"/>
          </reference>
        </references>
      </pivotArea>
    </chartFormat>
  </chartFormats>
  <pivotTableStyleInfo name="PivotStyleMedium8 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0">
  <location ref="B3:F17" firstHeaderRow="1" firstDataRow="3" firstDataCol="1"/>
  <pivotFields count="13">
    <pivotField showAll="0" defaultSubtotal="0"/>
    <pivotField showAll="0" defaultSubtotal="0"/>
    <pivotField showAll="0" defaultSubtotal="0"/>
    <pivotField axis="axisCol" showAll="0">
      <items count="5">
        <item sd="0" x="1"/>
        <item sd="0" x="3"/>
        <item sd="0" x="2"/>
        <item sd="0" x="0"/>
        <item t="default" sd="0"/>
      </items>
    </pivotField>
    <pivotField axis="axisCol" showAll="0" defaultSubtotal="0">
      <items count="50">
        <item x="0"/>
        <item x="9"/>
        <item x="1"/>
        <item x="2"/>
        <item x="3"/>
        <item x="4"/>
        <item x="5"/>
        <item x="6"/>
        <item x="7"/>
        <item x="8"/>
        <item x="10"/>
        <item x="19"/>
        <item x="11"/>
        <item x="12"/>
        <item x="13"/>
        <item x="14"/>
        <item x="15"/>
        <item x="16"/>
        <item x="17"/>
        <item x="18"/>
        <item x="20"/>
        <item x="29"/>
        <item x="21"/>
        <item x="22"/>
        <item x="23"/>
        <item x="24"/>
        <item x="25"/>
        <item x="26"/>
        <item x="27"/>
        <item x="28"/>
        <item x="30"/>
        <item x="39"/>
        <item x="31"/>
        <item x="32"/>
        <item x="33"/>
        <item x="34"/>
        <item x="35"/>
        <item x="36"/>
        <item x="37"/>
        <item x="38"/>
        <item x="40"/>
        <item x="49"/>
        <item x="41"/>
        <item x="42"/>
        <item x="43"/>
        <item x="44"/>
        <item x="45"/>
        <item x="46"/>
        <item x="47"/>
        <item x="48"/>
      </items>
    </pivotField>
    <pivotField showAll="0" defaultSubtotal="0"/>
    <pivotField showAll="0"/>
    <pivotField showAll="0" defaultSubtotal="0"/>
    <pivotField numFmtId="10" showAll="0" defaultSubtotal="0"/>
    <pivotField axis="axisRow" numFmtId="3" showAll="0" defaultSubtotal="0">
      <items count="13">
        <item h="1" x="0"/>
        <item x="9"/>
        <item x="6"/>
        <item x="7"/>
        <item x="1"/>
        <item x="12"/>
        <item x="11"/>
        <item x="2"/>
        <item x="3"/>
        <item x="4"/>
        <item x="5"/>
        <item x="10"/>
        <item x="8"/>
      </items>
    </pivotField>
    <pivotField dataField="1" showAll="0" defaultSubtotal="0">
      <items count="548">
        <item x="112"/>
        <item x="439"/>
        <item x="313"/>
        <item x="481"/>
        <item x="416"/>
        <item x="67"/>
        <item x="357"/>
        <item x="381"/>
        <item x="546"/>
        <item x="22"/>
        <item x="422"/>
        <item x="194"/>
        <item x="484"/>
        <item x="176"/>
        <item x="90"/>
        <item x="111"/>
        <item x="140"/>
        <item x="275"/>
        <item x="295"/>
        <item x="415"/>
        <item x="321"/>
        <item x="463"/>
        <item x="380"/>
        <item x="344"/>
        <item x="248"/>
        <item x="312"/>
        <item x="438"/>
        <item x="356"/>
        <item x="480"/>
        <item x="66"/>
        <item x="99"/>
        <item x="211"/>
        <item x="142"/>
        <item x="26"/>
        <item x="249"/>
        <item x="421"/>
        <item x="167"/>
        <item x="328"/>
        <item x="151"/>
        <item x="265"/>
        <item x="336"/>
        <item x="193"/>
        <item x="545"/>
        <item x="175"/>
        <item x="84"/>
        <item x="267"/>
        <item x="214"/>
        <item x="294"/>
        <item x="139"/>
        <item x="320"/>
        <item x="462"/>
        <item x="21"/>
        <item x="300"/>
        <item x="274"/>
        <item x="196"/>
        <item x="427"/>
        <item x="89"/>
        <item x="19"/>
        <item x="414"/>
        <item x="25"/>
        <item x="210"/>
        <item x="324"/>
        <item x="538"/>
        <item x="30"/>
        <item x="343"/>
        <item x="264"/>
        <item x="490"/>
        <item x="311"/>
        <item x="247"/>
        <item x="355"/>
        <item x="164"/>
        <item x="98"/>
        <item x="379"/>
        <item x="437"/>
        <item x="483"/>
        <item x="513"/>
        <item x="479"/>
        <item x="65"/>
        <item x="110"/>
        <item x="257"/>
        <item x="401"/>
        <item x="263"/>
        <item x="293"/>
        <item x="138"/>
        <item x="335"/>
        <item x="209"/>
        <item x="166"/>
        <item x="162"/>
        <item x="24"/>
        <item x="8"/>
        <item x="208"/>
        <item x="186"/>
        <item x="420"/>
        <item x="83"/>
        <item x="44"/>
        <item x="50"/>
        <item x="319"/>
        <item x="285"/>
        <item x="18"/>
        <item x="369"/>
        <item x="461"/>
        <item x="192"/>
        <item x="246"/>
        <item x="536"/>
        <item x="449"/>
        <item x="273"/>
        <item x="202"/>
        <item x="163"/>
        <item x="537"/>
        <item x="185"/>
        <item x="43"/>
        <item x="10"/>
        <item x="149"/>
        <item x="459"/>
        <item x="354"/>
        <item x="521"/>
        <item x="482"/>
        <item x="507"/>
        <item x="478"/>
        <item x="400"/>
        <item x="49"/>
        <item x="502"/>
        <item x="116"/>
        <item x="525"/>
        <item x="226"/>
        <item x="535"/>
        <item x="165"/>
        <item x="310"/>
        <item x="378"/>
        <item x="413"/>
        <item x="97"/>
        <item x="201"/>
        <item x="73"/>
        <item x="42"/>
        <item x="506"/>
        <item x="184"/>
        <item x="239"/>
        <item x="129"/>
        <item x="64"/>
        <item x="223"/>
        <item x="290"/>
        <item x="458"/>
        <item x="446"/>
        <item x="5"/>
        <item x="403"/>
        <item x="334"/>
        <item x="519"/>
        <item x="255"/>
        <item x="132"/>
        <item x="534"/>
        <item x="436"/>
        <item x="48"/>
        <item x="72"/>
        <item x="237"/>
        <item x="115"/>
        <item x="109"/>
        <item x="514"/>
        <item x="131"/>
        <item x="259"/>
        <item x="444"/>
        <item x="505"/>
        <item x="232"/>
        <item x="457"/>
        <item x="122"/>
        <item x="524"/>
        <item x="41"/>
        <item x="200"/>
        <item x="402"/>
        <item x="222"/>
        <item x="238"/>
        <item x="391"/>
        <item x="183"/>
        <item x="71"/>
        <item x="333"/>
        <item x="289"/>
        <item x="4"/>
        <item x="404"/>
        <item x="114"/>
        <item x="362"/>
        <item x="533"/>
        <item x="229"/>
        <item x="161"/>
        <item x="121"/>
        <item x="70"/>
        <item x="390"/>
        <item x="448"/>
        <item x="504"/>
        <item x="495"/>
        <item x="40"/>
        <item x="451"/>
        <item x="47"/>
        <item x="153"/>
        <item x="199"/>
        <item x="252"/>
        <item x="119"/>
        <item x="79"/>
        <item x="231"/>
        <item x="523"/>
        <item x="361"/>
        <item x="494"/>
        <item x="384"/>
        <item x="377"/>
        <item x="221"/>
        <item x="155"/>
        <item x="531"/>
        <item x="69"/>
        <item x="368"/>
        <item x="63"/>
        <item x="503"/>
        <item x="501"/>
        <item x="228"/>
        <item x="182"/>
        <item x="450"/>
        <item x="383"/>
        <item x="288"/>
        <item x="360"/>
        <item x="124"/>
        <item x="493"/>
        <item x="235"/>
        <item x="46"/>
        <item x="435"/>
        <item x="68"/>
        <item x="532"/>
        <item x="39"/>
        <item x="3"/>
        <item x="230"/>
        <item x="393"/>
        <item x="198"/>
        <item x="55"/>
        <item x="353"/>
        <item x="130"/>
        <item x="441"/>
        <item x="152"/>
        <item x="382"/>
        <item x="154"/>
        <item x="456"/>
        <item x="332"/>
        <item x="123"/>
        <item x="492"/>
        <item x="113"/>
        <item x="392"/>
        <item x="359"/>
        <item x="282"/>
        <item x="412"/>
        <item x="258"/>
        <item x="177"/>
        <item x="447"/>
        <item x="477"/>
        <item x="395"/>
        <item x="146"/>
        <item x="287"/>
        <item x="522"/>
        <item x="37"/>
        <item x="251"/>
        <item x="220"/>
        <item x="358"/>
        <item x="394"/>
        <item x="516"/>
        <item x="197"/>
        <item x="38"/>
        <item x="45"/>
        <item x="2"/>
        <item x="526"/>
        <item x="309"/>
        <item x="108"/>
        <item x="35"/>
        <item x="440"/>
        <item x="512"/>
        <item x="281"/>
        <item x="145"/>
        <item x="11"/>
        <item x="250"/>
        <item x="179"/>
        <item x="385"/>
        <item x="331"/>
        <item x="363"/>
        <item x="78"/>
        <item x="515"/>
        <item x="125"/>
        <item x="207"/>
        <item x="1"/>
        <item x="144"/>
        <item x="203"/>
        <item x="316"/>
        <item x="376"/>
        <item x="62"/>
        <item x="454"/>
        <item x="476"/>
        <item x="330"/>
        <item x="434"/>
        <item x="74"/>
        <item x="352"/>
        <item x="27"/>
        <item x="93"/>
        <item x="308"/>
        <item x="107"/>
        <item x="496"/>
        <item x="540"/>
        <item x="467"/>
        <item x="485"/>
        <item x="396"/>
        <item x="389"/>
        <item x="411"/>
        <item x="181"/>
        <item x="487"/>
        <item x="367"/>
        <item x="291"/>
        <item x="500"/>
        <item x="94"/>
        <item x="325"/>
        <item x="341"/>
        <item x="53"/>
        <item x="160"/>
        <item x="529"/>
        <item x="464"/>
        <item x="91"/>
        <item x="243"/>
        <item x="61"/>
        <item x="279"/>
        <item x="475"/>
        <item x="212"/>
        <item x="277"/>
        <item x="307"/>
        <item x="351"/>
        <item x="20"/>
        <item x="375"/>
        <item x="106"/>
        <item x="270"/>
        <item x="87"/>
        <item x="244"/>
        <item x="433"/>
        <item x="190"/>
        <item x="499"/>
        <item x="173"/>
        <item x="342"/>
        <item x="388"/>
        <item x="410"/>
        <item x="219"/>
        <item x="262"/>
        <item x="364"/>
        <item x="323"/>
        <item x="156"/>
        <item x="31"/>
        <item x="96"/>
        <item x="283"/>
        <item x="299"/>
        <item x="85"/>
        <item x="488"/>
        <item x="508"/>
        <item x="418"/>
        <item x="134"/>
        <item x="86"/>
        <item x="60"/>
        <item x="29"/>
        <item x="189"/>
        <item x="474"/>
        <item x="306"/>
        <item x="386"/>
        <item x="350"/>
        <item x="17"/>
        <item x="491"/>
        <item x="409"/>
        <item x="261"/>
        <item x="374"/>
        <item x="432"/>
        <item x="216"/>
        <item x="271"/>
        <item x="497"/>
        <item x="105"/>
        <item x="417"/>
        <item x="32"/>
        <item x="170"/>
        <item x="539"/>
        <item x="75"/>
        <item x="424"/>
        <item x="13"/>
        <item x="187"/>
        <item x="543"/>
        <item x="143"/>
        <item x="128"/>
        <item x="215"/>
        <item x="254"/>
        <item x="126"/>
        <item x="15"/>
        <item x="51"/>
        <item x="135"/>
        <item x="399"/>
        <item x="7"/>
        <item x="469"/>
        <item x="148"/>
        <item x="272"/>
        <item x="59"/>
        <item x="431"/>
        <item x="349"/>
        <item x="338"/>
        <item x="453"/>
        <item x="547"/>
        <item x="269"/>
        <item x="473"/>
        <item x="366"/>
        <item x="518"/>
        <item x="528"/>
        <item x="305"/>
        <item x="268"/>
        <item x="104"/>
        <item x="408"/>
        <item x="137"/>
        <item x="317"/>
        <item x="373"/>
        <item x="527"/>
        <item x="315"/>
        <item x="327"/>
        <item x="542"/>
        <item x="337"/>
        <item x="280"/>
        <item x="426"/>
        <item x="77"/>
        <item x="318"/>
        <item x="82"/>
        <item x="169"/>
        <item x="425"/>
        <item x="206"/>
        <item x="52"/>
        <item x="147"/>
        <item x="172"/>
        <item x="297"/>
        <item x="466"/>
        <item x="442"/>
        <item x="168"/>
        <item x="178"/>
        <item x="12"/>
        <item x="92"/>
        <item x="372"/>
        <item x="103"/>
        <item x="133"/>
        <item x="472"/>
        <item x="296"/>
        <item x="340"/>
        <item x="6"/>
        <item x="348"/>
        <item x="460"/>
        <item x="292"/>
        <item x="430"/>
        <item x="240"/>
        <item x="58"/>
        <item x="141"/>
        <item x="407"/>
        <item x="304"/>
        <item x="191"/>
        <item x="397"/>
        <item x="171"/>
        <item x="233"/>
        <item x="517"/>
        <item x="245"/>
        <item x="224"/>
        <item x="157"/>
        <item x="174"/>
        <item x="298"/>
        <item x="16"/>
        <item x="213"/>
        <item x="81"/>
        <item x="301"/>
        <item x="419"/>
        <item x="102"/>
        <item x="468"/>
        <item x="314"/>
        <item x="117"/>
        <item x="88"/>
        <item x="509"/>
        <item x="339"/>
        <item x="371"/>
        <item x="406"/>
        <item x="511"/>
        <item x="204"/>
        <item x="303"/>
        <item x="429"/>
        <item x="57"/>
        <item x="33"/>
        <item x="159"/>
        <item x="423"/>
        <item x="471"/>
        <item x="347"/>
        <item x="23"/>
        <item x="80"/>
        <item x="242"/>
        <item x="452"/>
        <item x="136"/>
        <item x="544"/>
        <item x="241"/>
        <item x="218"/>
        <item x="188"/>
        <item x="28"/>
        <item x="486"/>
        <item x="217"/>
        <item x="326"/>
        <item x="195"/>
        <item x="541"/>
        <item x="345"/>
        <item x="489"/>
        <item x="465"/>
        <item x="284"/>
        <item x="405"/>
        <item x="443"/>
        <item x="260"/>
        <item x="276"/>
        <item x="302"/>
        <item x="234"/>
        <item x="101"/>
        <item x="278"/>
        <item x="428"/>
        <item x="14"/>
        <item x="322"/>
        <item x="253"/>
        <item x="266"/>
        <item x="346"/>
        <item x="470"/>
        <item x="370"/>
        <item x="56"/>
        <item x="100"/>
        <item x="34"/>
        <item x="118"/>
        <item x="95"/>
        <item x="225"/>
        <item x="36"/>
        <item x="227"/>
        <item x="120"/>
        <item x="158"/>
        <item x="329"/>
        <item x="510"/>
        <item x="236"/>
        <item x="445"/>
        <item x="256"/>
        <item x="205"/>
        <item x="455"/>
        <item x="180"/>
        <item x="286"/>
        <item x="398"/>
        <item x="520"/>
        <item x="150"/>
        <item x="9"/>
        <item x="54"/>
        <item x="530"/>
        <item x="76"/>
        <item x="127"/>
        <item x="365"/>
        <item x="498"/>
        <item x="387"/>
        <item x="0"/>
      </items>
    </pivotField>
    <pivotField showAll="0" defaultSubtotal="0"/>
    <pivotField numFmtId="10" showAll="0" defaultSubtotal="0"/>
  </pivotFields>
  <rowFields count="1">
    <field x="9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2">
    <field x="3"/>
    <field x="4"/>
  </colFields>
  <colItems count="4">
    <i>
      <x/>
    </i>
    <i>
      <x v="1"/>
    </i>
    <i>
      <x v="2"/>
    </i>
    <i>
      <x v="3"/>
    </i>
  </colItems>
  <dataFields count="1">
    <dataField name="Average of WTD_RET_ZSCORE" fld="10" subtotal="average" baseField="9" baseItem="5"/>
  </dataFields>
  <formats count="4">
    <format dxfId="6">
      <pivotArea collapsedLevelsAreSubtotals="1" fieldPosition="0">
        <references count="1">
          <reference field="9" count="8"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</formats>
  <chartFormats count="12">
    <chartFormat chart="7" format="607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7" format="608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7" format="609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7" format="610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9" format="637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9" format="638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9" format="639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9" format="640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9" format="6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6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6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" format="6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8 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1">
  <location ref="B3:D7" firstHeaderRow="0" firstDataRow="1" firstDataCol="1"/>
  <pivotFields count="13">
    <pivotField showAll="0" defaultSubtotal="0"/>
    <pivotField showAll="0" defaultSubtotal="0"/>
    <pivotField showAll="0" defaultSubtotal="0"/>
    <pivotField axis="axisRow" showAll="0" sortType="descending">
      <items count="5">
        <item sd="0" x="1"/>
        <item sd="0" x="3"/>
        <item sd="0" x="2"/>
        <item sd="0" x="0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 sortType="descending" defaultSubtotal="0">
      <items count="50">
        <item x="0"/>
        <item x="9"/>
        <item x="1"/>
        <item x="2"/>
        <item x="3"/>
        <item x="4"/>
        <item x="5"/>
        <item x="6"/>
        <item x="7"/>
        <item x="8"/>
        <item x="10"/>
        <item x="19"/>
        <item x="11"/>
        <item x="12"/>
        <item x="13"/>
        <item x="14"/>
        <item x="15"/>
        <item x="16"/>
        <item x="17"/>
        <item x="18"/>
        <item x="20"/>
        <item x="29"/>
        <item x="21"/>
        <item x="22"/>
        <item x="23"/>
        <item x="24"/>
        <item x="25"/>
        <item x="26"/>
        <item x="27"/>
        <item x="28"/>
        <item x="30"/>
        <item x="39"/>
        <item x="31"/>
        <item x="32"/>
        <item x="33"/>
        <item x="34"/>
        <item x="35"/>
        <item x="36"/>
        <item x="37"/>
        <item x="38"/>
        <item x="40"/>
        <item x="49"/>
        <item x="41"/>
        <item x="42"/>
        <item x="43"/>
        <item x="44"/>
        <item x="45"/>
        <item x="46"/>
        <item x="47"/>
        <item x="48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efaultSubtotal="0"/>
    <pivotField showAll="0"/>
    <pivotField showAll="0" defaultSubtotal="0"/>
    <pivotField dataField="1" numFmtId="10" showAll="0" defaultSubtotal="0"/>
    <pivotField numFmtId="3" showAll="0" defaultSubtotal="0"/>
    <pivotField showAll="0" defaultSubtotal="0"/>
    <pivotField showAll="0" defaultSubtotal="0"/>
    <pivotField dataField="1" numFmtId="10" showAll="0" defaultSubtotal="0"/>
  </pivotFields>
  <rowFields count="2">
    <field x="3"/>
    <field x="4"/>
  </rowFields>
  <rowItems count="4">
    <i>
      <x v="1"/>
    </i>
    <i>
      <x v="3"/>
    </i>
    <i>
      <x/>
    </i>
    <i>
      <x v="2"/>
    </i>
  </rowItems>
  <colFields count="1">
    <field x="-2"/>
  </colFields>
  <colItems count="2">
    <i>
      <x/>
    </i>
    <i i="1">
      <x v="1"/>
    </i>
  </colItems>
  <dataFields count="2">
    <dataField name="StdDev of D_RET" fld="12" subtotal="stdDev" baseField="9" baseItem="6" numFmtId="10"/>
    <dataField name="StdDev of WTD_RET" fld="8" subtotal="stdDev" baseField="0" baseItem="1313105512"/>
  </dataFields>
  <formats count="3"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chartFormats count="14">
    <chartFormat chart="7" format="607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7" format="608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7" format="609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7" format="610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8" format="619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8" format="620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8" format="621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8" format="622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9" format="627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9" format="628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9" format="629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9" format="630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10" format="69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69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8 2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Regime_tbl" displayName="Regime_tbl" ref="B2:C6" totalsRowShown="0">
  <tableColumns count="2">
    <tableColumn id="1" name="ID"/>
    <tableColumn id="2" name="NAM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Regime_0_Phase" displayName="Regime_0_Phase" ref="B9:F14" totalsRowShown="0">
  <tableColumns count="5">
    <tableColumn id="5" name="ID"/>
    <tableColumn id="1" name="PHASE"/>
    <tableColumn id="2" name="LENGTH"/>
    <tableColumn id="3" name="BEG_PHASE" dataDxfId="56">
      <calculatedColumnFormula>SUM($D$10:D10)-Regime_0_Phase[[#This Row],[LENGTH]]</calculatedColumnFormula>
    </tableColumn>
    <tableColumn id="4" name="END_PHASE" dataDxfId="55">
      <calculatedColumnFormula>Regime_0_Phase[[#This Row],[BEG_PHASE]]+Regime_0_Phase[[#This Row],[LENGTH]]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21" name="Regime_0_Rate" displayName="Regime_0_Rate" ref="B16:E28" totalsRowShown="0">
  <tableColumns count="4">
    <tableColumn id="1" name="ID"/>
    <tableColumn id="2" name="TYPE"/>
    <tableColumn id="3" name="NAME" dataDxfId="54">
      <calculatedColumnFormula>Regime_0_Rate[[#This Row],[TYPE]]&amp;"_"&amp;COUNTIFS($C$17:C17,Regime_0_Rate[[#This Row],[TYPE]])</calculatedColumnFormula>
    </tableColumn>
    <tableColumn id="4" name="RATE" dataDxfId="53">
      <calculatedColumnFormula>IF(Regime_0_Rate[[#This Row],[TYPE]]="UP",RANDBETWEEN(90000,140000)/100000,IF(Regime_0_Rate[[#This Row],[NAME]]="DOWN_1",$D$7,E16-RANDBETWEEN(4000,10000)/100000))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1" name="Regime_0_PhaseRate" displayName="Regime_0_PhaseRate" ref="B30:F42" totalsRowShown="0">
  <tableColumns count="5">
    <tableColumn id="1" name="ID"/>
    <tableColumn id="2" name="PHASE" dataDxfId="52">
      <calculatedColumnFormula>VLOOKUP(SUMIFS(Regime_0_Phase[ID],Regime_0_Phase[BEG_PHASE],"&lt;"&amp;Regime_0_PhaseRate[[#This Row],[ID]],Regime_0_Phase[END_PHASE],"&gt;="&amp;Regime_0_PhaseRate[[#This Row],[ID]]),Regime_0_Phase[[ID]:[PHASE]],2,0)</calculatedColumnFormula>
    </tableColumn>
    <tableColumn id="6" name="RATE_TYPE" dataDxfId="51">
      <calculatedColumnFormula>IF(LEFT(Regime_0_PhaseRate[[#This Row],[PHASE]],3)="ASC","UP",Regime_0_PhaseRate[[#This Row],[PHASE]])</calculatedColumnFormula>
    </tableColumn>
    <tableColumn id="4" name="RATE_NAME" dataDxfId="50">
      <calculatedColumnFormula>Regime_0_PhaseRate[[#This Row],[RATE_TYPE]]&amp;"_"&amp;COUNTIFS($D$31:D31,Regime_0_PhaseRate[[#This Row],[RATE_TYPE]])</calculatedColumnFormula>
    </tableColumn>
    <tableColumn id="5" name="RATE" dataDxfId="49">
      <calculatedColumnFormula>VLOOKUP(Regime_0_PhaseRate[[#This Row],[RATE_NAME]],Regime_0_Rate[[NAME]:[RATE]],2,0)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7" name="Regime_1_Output" displayName="Regime_1_Output" ref="B41:D54" totalsRowShown="0">
  <tableColumns count="3">
    <tableColumn id="3" name="ID"/>
    <tableColumn id="1" name="OUTPUT">
      <calculatedColumnFormula>"PRICE_"&amp;Regime_1_Output[[#This Row],[ID]]</calculatedColumnFormula>
    </tableColumn>
    <tableColumn id="2" name="VALUE" dataDxfId="48">
      <calculatedColumnFormula>IF(Regime_1_Output[[#This Row],[ID]]=0,$D$3,$D$3*VLOOKUP(Regime_1_Output[[#This Row],[ID]],Regime_1_PhaseRate[],5))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28" name="Regime_1_Params" displayName="Regime_1_Params" ref="B2:D5" totalsRowShown="0">
  <tableColumns count="3">
    <tableColumn id="3" name="ID"/>
    <tableColumn id="1" name="PARAMETER"/>
    <tableColumn id="2" name="VALU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29" name="Regime_1_Phase" displayName="Regime_1_Phase" ref="B7:F10" totalsRowShown="0">
  <tableColumns count="5">
    <tableColumn id="5" name="ID"/>
    <tableColumn id="1" name="PHASE"/>
    <tableColumn id="2" name="LENGTH"/>
    <tableColumn id="3" name="BEG_PHASE" dataDxfId="47">
      <calculatedColumnFormula>SUM($D$8:D8)-Regime_1_Phase[[#This Row],[LENGTH]]</calculatedColumnFormula>
    </tableColumn>
    <tableColumn id="4" name="END_PHASE" dataDxfId="46">
      <calculatedColumnFormula>Regime_1_Phase[[#This Row],[BEG_PHASE]]+Regime_1_Phase[[#This Row],[LENGTH]]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30" name="Regime_1_Rate" displayName="Regime_1_Rate" ref="B12:E24" totalsRowShown="0">
  <tableColumns count="4">
    <tableColumn id="1" name="ID"/>
    <tableColumn id="2" name="TYPE"/>
    <tableColumn id="3" name="NAME" dataDxfId="45">
      <calculatedColumnFormula>Regime_1_Rate[[#This Row],[TYPE]]&amp;"_"&amp;COUNTIFS($C13:C$13,Regime_1_Rate[[#This Row],[TYPE]])</calculatedColumnFormula>
    </tableColumn>
    <tableColumn id="4" name="RATE" dataDxfId="44">
      <calculatedColumnFormula>RANDBETWEEN(90000,140000)/100000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31" name="Regime_1_PhaseRate" displayName="Regime_1_PhaseRate" ref="B26:F38" totalsRowShown="0">
  <tableColumns count="5">
    <tableColumn id="1" name="ID"/>
    <tableColumn id="2" name="PHASE" dataDxfId="43">
      <calculatedColumnFormula>VLOOKUP(SUMIFS(Regime_1_Phase[ID],Regime_1_Phase[BEG_PHASE],"&lt;"&amp;Regime_1_PhaseRate[[#This Row],[ID]],Regime_1_Phase[END_PHASE],"&gt;="&amp;Regime_1_PhaseRate[[#This Row],[ID]]),Regime_1_Phase[[ID]:[PHASE]],2,0)</calculatedColumnFormula>
    </tableColumn>
    <tableColumn id="6" name="RATE_TYPE" dataDxfId="42">
      <calculatedColumnFormula>Regime_1_PhaseRate[[#This Row],[PHASE]]</calculatedColumnFormula>
    </tableColumn>
    <tableColumn id="4" name="RATE_NAME" dataDxfId="41">
      <calculatedColumnFormula>Regime_1_PhaseRate[[#This Row],[RATE_TYPE]]&amp;"_"&amp;COUNTIFS($D$27:D27,Regime_1_PhaseRate[[#This Row],[RATE_TYPE]])</calculatedColumnFormula>
    </tableColumn>
    <tableColumn id="5" name="RATE" dataDxfId="40">
      <calculatedColumnFormula>VLOOKUP(Regime_1_PhaseRate[[#This Row],[RATE_NAME]],Regime_1_Rate[[NAME]:[RATE]],2,0)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32" name="Regime_2_Output" displayName="Regime_2_Output" ref="B38:D51" totalsRowShown="0">
  <tableColumns count="3">
    <tableColumn id="3" name="ID"/>
    <tableColumn id="1" name="OUTPUT">
      <calculatedColumnFormula>"PRICE_"&amp;Regime_2_Output[[#This Row],[ID]]</calculatedColumnFormula>
    </tableColumn>
    <tableColumn id="2" name="VALUE" dataDxfId="39">
      <calculatedColumnFormula>IF(Regime_2_Output[[#This Row],[ID]]=0,$D$3,$D$3*VLOOKUP(Regime_2_Output[[#This Row],[ID]],Regime_2_PhaseRate[],5))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33" name="Regime_2_Params" displayName="Regime_2_Params" ref="B2:D4" totalsRowShown="0">
  <tableColumns count="3">
    <tableColumn id="3" name="ID"/>
    <tableColumn id="1" name="PARAMETER"/>
    <tableColumn id="2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Regime_ProbMtx" displayName="Regime_ProbMtx" ref="B9:G25" totalsRowShown="0">
  <tableColumns count="6">
    <tableColumn id="6" name="ID"/>
    <tableColumn id="1" name="PREV_REGIME"/>
    <tableColumn id="2" name="NEXT_REGIME"/>
    <tableColumn id="3" name="PROB" dataDxfId="62"/>
    <tableColumn id="4" name="BEG_INTERVAL" dataDxfId="61">
      <calculatedColumnFormula>(SUMIFS(Regime_ProbMtx[PROB],Regime_ProbMtx[PREV_REGIME],Regime_ProbMtx[[#This Row],[PREV_REGIME]],Regime_ProbMtx[NEXT_REGIME],"&lt;="&amp;Regime_ProbMtx[[#This Row],[NEXT_REGIME]])-Regime_ProbMtx[[#This Row],[PROB]])*100</calculatedColumnFormula>
    </tableColumn>
    <tableColumn id="5" name="END_INTERVAL" dataDxfId="60">
      <calculatedColumnFormula>(SUMIFS(Regime_ProbMtx[PROB],Regime_ProbMtx[PREV_REGIME],Regime_ProbMtx[[#This Row],[PREV_REGIME]],Regime_ProbMtx[NEXT_REGIME],"&lt;="&amp;Regime_ProbMtx[[#This Row],[NEXT_REGIME]]))*100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34" name="Regime_2_Phase" displayName="Regime_2_Phase" ref="B6:F7" totalsRowShown="0">
  <tableColumns count="5">
    <tableColumn id="5" name="ID"/>
    <tableColumn id="1" name="PHASE"/>
    <tableColumn id="2" name="LENGTH"/>
    <tableColumn id="3" name="BEG_PHASE" dataDxfId="38">
      <calculatedColumnFormula>SUM($D$7:D7)-Regime_2_Phase[[#This Row],[LENGTH]]</calculatedColumnFormula>
    </tableColumn>
    <tableColumn id="4" name="END_PHASE" dataDxfId="37">
      <calculatedColumnFormula>Regime_2_Phase[[#This Row],[BEG_PHASE]]+Regime_2_Phase[[#This Row],[LENGTH]]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35" name="Regime_2_Rate" displayName="Regime_2_Rate" ref="B9:E21" totalsRowShown="0">
  <tableColumns count="4">
    <tableColumn id="1" name="ID"/>
    <tableColumn id="2" name="TYPE"/>
    <tableColumn id="3" name="NAME" dataDxfId="36">
      <calculatedColumnFormula>Regime_2_Rate[[#This Row],[TYPE]]&amp;"_"&amp;COUNTIFS($C$10:C10,Regime_2_Rate[[#This Row],[TYPE]])</calculatedColumnFormula>
    </tableColumn>
    <tableColumn id="4" name="RATE" dataDxfId="35">
      <calculatedColumnFormula>$D$4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36" name="Regime_2_PhaseRate" displayName="Regime_2_PhaseRate" ref="B23:F35" totalsRowShown="0">
  <tableColumns count="5">
    <tableColumn id="1" name="ID"/>
    <tableColumn id="2" name="PHASE" dataDxfId="34">
      <calculatedColumnFormula>VLOOKUP(SUMIFS(Regime_2_Phase[ID],Regime_2_Phase[BEG_PHASE],"&lt;"&amp;Regime_2_PhaseRate[[#This Row],[ID]],Regime_2_Phase[END_PHASE],"&gt;="&amp;Regime_2_PhaseRate[[#This Row],[ID]]),Regime_2_Phase[[ID]:[PHASE]],2,0)</calculatedColumnFormula>
    </tableColumn>
    <tableColumn id="6" name="RATE_TYPE" dataDxfId="33">
      <calculatedColumnFormula>IF(LEFT(Regime_2_PhaseRate[[#This Row],[PHASE]],3)="ASC","UP","DOWN")</calculatedColumnFormula>
    </tableColumn>
    <tableColumn id="4" name="RATE_NAME" dataDxfId="32">
      <calculatedColumnFormula>Regime_2_PhaseRate[[#This Row],[RATE_TYPE]]&amp;"_"&amp;COUNTIFS($D$24:D24,Regime_2_PhaseRate[[#This Row],[RATE_TYPE]])</calculatedColumnFormula>
    </tableColumn>
    <tableColumn id="5" name="RATE" dataDxfId="31">
      <calculatedColumnFormula>VLOOKUP(Regime_2_PhaseRate[[#This Row],[RATE_NAME]],Regime_2_Rate[[NAME]:[RATE]],2,0)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37" name="Regime_3_Output" displayName="Regime_3_Output" ref="B42:D55" totalsRowShown="0">
  <tableColumns count="3">
    <tableColumn id="3" name="ID"/>
    <tableColumn id="1" name="OUTPUT">
      <calculatedColumnFormula>"PRICE_"&amp;Regime_3_Output[[#This Row],[ID]]</calculatedColumnFormula>
    </tableColumn>
    <tableColumn id="2" name="VALUE" dataDxfId="30">
      <calculatedColumnFormula>IF(Regime_3_Output[[#This Row],[ID]]=0,$D$3,$D$3*VLOOKUP(Regime_3_Output[[#This Row],[ID]],Regime_3_PhaseRate[],5))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38" name="Regime_3_Params" displayName="Regime_3_Params" ref="B2:D6" totalsRowShown="0">
  <tableColumns count="3">
    <tableColumn id="3" name="ID"/>
    <tableColumn id="1" name="PARAMETER"/>
    <tableColumn id="2" name="VALU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39" name="Regime_3_Phase" displayName="Regime_3_Phase" ref="B8:F11" totalsRowShown="0">
  <tableColumns count="5">
    <tableColumn id="5" name="ID"/>
    <tableColumn id="1" name="PHASE"/>
    <tableColumn id="2" name="LENGTH"/>
    <tableColumn id="3" name="BEG_PHASE" dataDxfId="29">
      <calculatedColumnFormula>SUM($D$9:D9)-Regime_3_Phase[[#This Row],[LENGTH]]</calculatedColumnFormula>
    </tableColumn>
    <tableColumn id="4" name="END_PHASE" dataDxfId="28">
      <calculatedColumnFormula>Regime_3_Phase[[#This Row],[BEG_PHASE]]+Regime_3_Phase[[#This Row],[LENGTH]]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40" name="Regime_3_Rate" displayName="Regime_3_Rate" ref="B13:E25" totalsRowShown="0">
  <tableColumns count="4">
    <tableColumn id="1" name="ID"/>
    <tableColumn id="2" name="TYPE"/>
    <tableColumn id="3" name="NAME" dataDxfId="27">
      <calculatedColumnFormula>Regime_3_Rate[[#This Row],[TYPE]]&amp;"_"&amp;COUNTIFS($C14:C$14,Regime_3_Rate[[#This Row],[TYPE]])</calculatedColumnFormula>
    </tableColumn>
    <tableColumn id="4" name="RATE" dataDxfId="26">
      <calculatedColumnFormula>RANDBETWEEN(90000,140000)/100000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41" name="Regime_3_PhaseRate" displayName="Regime_3_PhaseRate" ref="B27:F39" totalsRowShown="0">
  <tableColumns count="5">
    <tableColumn id="1" name="ID"/>
    <tableColumn id="2" name="PHASE" dataDxfId="25">
      <calculatedColumnFormula>VLOOKUP(SUMIFS(Regime_3_Phase[ID],Regime_3_Phase[BEG_PHASE],"&lt;"&amp;Regime_3_PhaseRate[[#This Row],[ID]],Regime_3_Phase[END_PHASE],"&gt;="&amp;Regime_3_PhaseRate[[#This Row],[ID]]),Regime_3_Phase[[ID]:[PHASE]],2,0)</calculatedColumnFormula>
    </tableColumn>
    <tableColumn id="6" name="RATE_TYPE" dataDxfId="24">
      <calculatedColumnFormula>Regime_3_PhaseRate[[#This Row],[PHASE]]</calculatedColumnFormula>
    </tableColumn>
    <tableColumn id="4" name="RATE_NAME" dataDxfId="23">
      <calculatedColumnFormula>Regime_3_PhaseRate[[#This Row],[RATE_TYPE]]&amp;"_"&amp;COUNTIFS($D$28:D28,Regime_3_PhaseRate[[#This Row],[RATE_TYPE]])</calculatedColumnFormula>
    </tableColumn>
    <tableColumn id="5" name="RATE" dataDxfId="22">
      <calculatedColumnFormula>VLOOKUP(Regime_3_PhaseRate[[#This Row],[RATE_NAME]],Regime_3_Rate[[NAME]:[RATE]],2,0)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6" name="Sim_Output" displayName="Sim_Output" ref="B3:N653" totalsRowShown="0">
  <autoFilter ref="B3:N653"/>
  <tableColumns count="13">
    <tableColumn id="1" name="SIM_ID"/>
    <tableColumn id="2" name="WEEK"/>
    <tableColumn id="16" name="OBS" dataDxfId="21">
      <calculatedColumnFormula>VALUE(RIGHT(Sim_Output[[#This Row],[OUTPUT]],LEN(Sim_Output[[#This Row],[OUTPUT]])-6))</calculatedColumnFormula>
    </tableColumn>
    <tableColumn id="3" name="REGIME"/>
    <tableColumn id="10" name="SIM_WK_REG_ID" dataDxfId="20">
      <calculatedColumnFormula>Sim_Output[[#This Row],[SIM_ID]]&amp;" - "&amp;Sim_Output[[#This Row],[WEEK]]&amp;" - "&amp;Sim_Output[[#This Row],[REGIME]]</calculatedColumnFormula>
    </tableColumn>
    <tableColumn id="4" name="OUTPUT"/>
    <tableColumn id="5" name="VALUE"/>
    <tableColumn id="6" name="PREV_REGIME" dataDxfId="19">
      <calculatedColumnFormula>IF(Sim_Output[[#This Row],[WEEK]]=1,Sim_Output[[#This Row],[REGIME]],SUMIFS(Sim_Output[REGIME],Sim_Output[SIM_ID],Sim_Output[[#This Row],[SIM_ID]],Sim_Output[WEEK],Sim_Output[[#This Row],[WEEK]]-1,Sim_Output[OUTPUT],Sim_Output[[#This Row],[OUTPUT]]))</calculatedColumnFormula>
    </tableColumn>
    <tableColumn id="7" name="WTD_RET" dataDxfId="18">
      <calculatedColumnFormula>Sim_Output[[#This Row],[VALUE]]/SUMIFS(Sim_Output[VALUE],Sim_Output[SIM_ID],Sim_Output[[#This Row],[SIM_ID]],Sim_Output[WEEK],Sim_Output[[#This Row],[WEEK]],Sim_Output[OUTPUT],"PRICE_0")-1</calculatedColumnFormula>
    </tableColumn>
    <tableColumn id="8" name="RANK_RET" dataDxfId="17">
      <calculatedColumnFormula>IF(Sim_Output[[#This Row],[OUTPUT]]="PRICE_0",0,_xlfn.RANK.EQ(Sim_Output[[#This Row],[WTD_RET]],OFFSET(Sim_Output[[#This Row],[WTD_RET]],-Sim_Output[[#This Row],[OBS]]+1,0,12)))</calculatedColumnFormula>
    </tableColumn>
    <tableColumn id="11" name="WTD_RET_ZSCORE" dataDxfId="16">
      <calculatedColumnFormula>IF(Sim_Output[[#This Row],[OUTPUT]]="PRICE_0","",(Sim_Output[[#This Row],[WTD_RET]]-AVERAGE(OFFSET(Sim_Output[[#This Row],[WTD_RET]],-Sim_Output[[#This Row],[OBS]]+1,0,12)))/_xlfn.STDEV.S(OFFSET(Sim_Output[[#This Row],[WTD_RET]],-Sim_Output[[#This Row],[OBS]]+1,0,12)))</calculatedColumnFormula>
    </tableColumn>
    <tableColumn id="13" name="WTD_RET_MINMAXSCALE" dataDxfId="15">
      <calculatedColumnFormula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calculatedColumnFormula>
    </tableColumn>
    <tableColumn id="18" name="D_RET" dataDxfId="14">
      <calculatedColumnFormula>IF(Sim_Output[[#This Row],[OBS]]=0,0,Sim_Output[[#This Row],[VALUE]]/SUMIFS(Sim_Output[VALUE],Sim_Output[SIM_ID],Sim_Output[[#This Row],[SIM_ID]],Sim_Output[WEEK],Sim_Output[[#This Row],[WEEK]],Sim_Output[OBS],Sim_Output[[#This Row],[OBS]]-1)-1)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Regime_Params" displayName="Regime_Params" ref="B28:D31" totalsRowShown="0">
  <tableColumns count="3">
    <tableColumn id="3" name="ID"/>
    <tableColumn id="1" name="PARAMETER"/>
    <tableColumn id="2" name="VALU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Regime_Output" displayName="Regime_Output" ref="B33:E34" totalsRowShown="0">
  <tableColumns count="4">
    <tableColumn id="3" name="ID"/>
    <tableColumn id="1" name="OUTPUT"/>
    <tableColumn id="2" name="VALUE" dataDxfId="59">
      <calculatedColumnFormula>SUMIFS(Regime_ProbMtx[NEXT_REGIME],Regime_ProbMtx[PREV_REGIME],D30,Regime_ProbMtx[BEG_INTERVAL],"&lt;="&amp;D31,Regime_ProbMtx[END_INTERVAL],"&gt;"&amp;D31)</calculatedColumnFormula>
    </tableColumn>
    <tableColumn id="4" name="TYPE">
      <calculatedColumnFormula>VLOOKUP(Regime_Output[VALUE],Regime_tbl[],2,0)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2" name="Regime_0_Output43" displayName="Regime_0_Output43" ref="B37:D50" totalsRowShown="0">
  <tableColumns count="3">
    <tableColumn id="3" name="ID"/>
    <tableColumn id="1" name="OUTPUT">
      <calculatedColumnFormula>"PRICE_"&amp;Regime_0_Output43[[#This Row],[ID]]</calculatedColumnFormula>
    </tableColumn>
    <tableColumn id="2" name="VALUE" dataDxfId="58">
      <calculatedColumnFormula>ROUNDUP(VLOOKUP(Regime_0_Output43[[#This Row],[ID]],INDIRECT("Regime_"&amp;Regime_Output[VALUE]&amp;"_Output"),3,0),0)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BasePrice_Params" displayName="BasePrice_Params" ref="B2:D3" totalsRowShown="0">
  <tableColumns count="3">
    <tableColumn id="3" name="ID"/>
    <tableColumn id="1" name="PARAMETER"/>
    <tableColumn id="2" name="VALUE">
      <calculatedColumnFormula>RANDBETWEEN(90,110)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BasePrice_Output" displayName="BasePrice_Output" ref="B5:D6" totalsRowShown="0">
  <tableColumns count="3">
    <tableColumn id="3" name="ID"/>
    <tableColumn id="1" name="OUTPUT"/>
    <tableColumn id="2" name="VALUE">
      <calculatedColumnFormula>BasePrice_Params[VALUE]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Regime_0_Output" displayName="Regime_0_Output" ref="B45:D58" totalsRowShown="0">
  <tableColumns count="3">
    <tableColumn id="3" name="ID"/>
    <tableColumn id="1" name="OUTPUT">
      <calculatedColumnFormula>"PRICE_"&amp;Regime_0_Output[[#This Row],[ID]]</calculatedColumnFormula>
    </tableColumn>
    <tableColumn id="2" name="VALUE" dataDxfId="57">
      <calculatedColumnFormula>IF(Regime_0_Output[[#This Row],[ID]]=0,$D$3,$D$3*VLOOKUP(Regime_0_Output[[#This Row],[ID]],Regime_0_PhaseRate[],5))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Regime_0_Params" displayName="Regime_0_Params" ref="B2:D7" totalsRowShown="0">
  <tableColumns count="3">
    <tableColumn id="3" name="ID"/>
    <tableColumn id="1" name="PARAMETER"/>
    <tableColumn id="2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6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7" Type="http://schemas.openxmlformats.org/officeDocument/2006/relationships/table" Target="../tables/table2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7" Type="http://schemas.openxmlformats.org/officeDocument/2006/relationships/table" Target="../tables/table27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6.xml"/><Relationship Id="rId5" Type="http://schemas.openxmlformats.org/officeDocument/2006/relationships/table" Target="../tables/table25.xml"/><Relationship Id="rId4" Type="http://schemas.openxmlformats.org/officeDocument/2006/relationships/table" Target="../tables/table2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2:G50"/>
  <sheetViews>
    <sheetView showGridLines="0" workbookViewId="0">
      <selection activeCell="B2" sqref="B2:C6"/>
    </sheetView>
  </sheetViews>
  <sheetFormatPr defaultRowHeight="15" x14ac:dyDescent="0.25"/>
  <cols>
    <col min="2" max="2" width="3" bestFit="1" customWidth="1"/>
    <col min="3" max="3" width="27.140625" customWidth="1"/>
    <col min="4" max="4" width="13.7109375" bestFit="1" customWidth="1"/>
    <col min="5" max="5" width="16.42578125" bestFit="1" customWidth="1"/>
    <col min="6" max="6" width="14.28515625" bestFit="1" customWidth="1"/>
    <col min="7" max="7" width="14.42578125" bestFit="1" customWidth="1"/>
  </cols>
  <sheetData>
    <row r="2" spans="2:7" x14ac:dyDescent="0.25">
      <c r="B2" t="s">
        <v>0</v>
      </c>
      <c r="C2" t="s">
        <v>3</v>
      </c>
    </row>
    <row r="3" spans="2:7" x14ac:dyDescent="0.25">
      <c r="B3">
        <v>0</v>
      </c>
      <c r="C3" t="s">
        <v>43</v>
      </c>
    </row>
    <row r="4" spans="2:7" x14ac:dyDescent="0.25">
      <c r="B4">
        <v>1</v>
      </c>
      <c r="C4" t="s">
        <v>1</v>
      </c>
    </row>
    <row r="5" spans="2:7" x14ac:dyDescent="0.25">
      <c r="B5">
        <v>2</v>
      </c>
      <c r="C5" t="s">
        <v>2</v>
      </c>
    </row>
    <row r="6" spans="2:7" x14ac:dyDescent="0.25">
      <c r="B6">
        <v>3</v>
      </c>
      <c r="C6" t="s">
        <v>42</v>
      </c>
    </row>
    <row r="9" spans="2:7" x14ac:dyDescent="0.25">
      <c r="B9" t="s">
        <v>0</v>
      </c>
      <c r="C9" t="s">
        <v>4</v>
      </c>
      <c r="D9" t="s">
        <v>5</v>
      </c>
      <c r="E9" t="s">
        <v>6</v>
      </c>
      <c r="F9" t="s">
        <v>7</v>
      </c>
      <c r="G9" t="s">
        <v>8</v>
      </c>
    </row>
    <row r="10" spans="2:7" x14ac:dyDescent="0.25">
      <c r="B10">
        <v>1</v>
      </c>
      <c r="C10">
        <v>0</v>
      </c>
      <c r="D10">
        <v>0</v>
      </c>
      <c r="E10" s="1">
        <v>0.2</v>
      </c>
      <c r="F10" s="4">
        <f>(SUMIFS(Regime_ProbMtx[PROB],Regime_ProbMtx[PREV_REGIME],Regime_ProbMtx[[#This Row],[PREV_REGIME]],Regime_ProbMtx[NEXT_REGIME],"&lt;="&amp;Regime_ProbMtx[[#This Row],[NEXT_REGIME]])-Regime_ProbMtx[[#This Row],[PROB]])*100</f>
        <v>0</v>
      </c>
      <c r="G10" s="4">
        <f>(SUMIFS(Regime_ProbMtx[PROB],Regime_ProbMtx[PREV_REGIME],Regime_ProbMtx[[#This Row],[PREV_REGIME]],Regime_ProbMtx[NEXT_REGIME],"&lt;="&amp;Regime_ProbMtx[[#This Row],[NEXT_REGIME]]))*100</f>
        <v>20</v>
      </c>
    </row>
    <row r="11" spans="2:7" x14ac:dyDescent="0.25">
      <c r="B11">
        <v>2</v>
      </c>
      <c r="C11">
        <v>0</v>
      </c>
      <c r="D11">
        <v>1</v>
      </c>
      <c r="E11" s="1">
        <v>0.3</v>
      </c>
      <c r="F11" s="4">
        <f>(SUMIFS(Regime_ProbMtx[PROB],Regime_ProbMtx[PREV_REGIME],Regime_ProbMtx[[#This Row],[PREV_REGIME]],Regime_ProbMtx[NEXT_REGIME],"&lt;="&amp;Regime_ProbMtx[[#This Row],[NEXT_REGIME]])-Regime_ProbMtx[[#This Row],[PROB]])*100</f>
        <v>20</v>
      </c>
      <c r="G11" s="4">
        <f>(SUMIFS(Regime_ProbMtx[PROB],Regime_ProbMtx[PREV_REGIME],Regime_ProbMtx[[#This Row],[PREV_REGIME]],Regime_ProbMtx[NEXT_REGIME],"&lt;="&amp;Regime_ProbMtx[[#This Row],[NEXT_REGIME]]))*100</f>
        <v>50</v>
      </c>
    </row>
    <row r="12" spans="2:7" x14ac:dyDescent="0.25">
      <c r="B12">
        <v>3</v>
      </c>
      <c r="C12">
        <v>0</v>
      </c>
      <c r="D12">
        <v>2</v>
      </c>
      <c r="E12" s="1">
        <v>0.15</v>
      </c>
      <c r="F12" s="4">
        <f>(SUMIFS(Regime_ProbMtx[PROB],Regime_ProbMtx[PREV_REGIME],Regime_ProbMtx[[#This Row],[PREV_REGIME]],Regime_ProbMtx[NEXT_REGIME],"&lt;="&amp;Regime_ProbMtx[[#This Row],[NEXT_REGIME]])-Regime_ProbMtx[[#This Row],[PROB]])*100</f>
        <v>50</v>
      </c>
      <c r="G12" s="4">
        <f>(SUMIFS(Regime_ProbMtx[PROB],Regime_ProbMtx[PREV_REGIME],Regime_ProbMtx[[#This Row],[PREV_REGIME]],Regime_ProbMtx[NEXT_REGIME],"&lt;="&amp;Regime_ProbMtx[[#This Row],[NEXT_REGIME]]))*100</f>
        <v>65</v>
      </c>
    </row>
    <row r="13" spans="2:7" x14ac:dyDescent="0.25">
      <c r="B13">
        <v>4</v>
      </c>
      <c r="C13">
        <v>0</v>
      </c>
      <c r="D13">
        <v>3</v>
      </c>
      <c r="E13" s="1">
        <v>0.35</v>
      </c>
      <c r="F13" s="4">
        <f>(SUMIFS(Regime_ProbMtx[PROB],Regime_ProbMtx[PREV_REGIME],Regime_ProbMtx[[#This Row],[PREV_REGIME]],Regime_ProbMtx[NEXT_REGIME],"&lt;="&amp;Regime_ProbMtx[[#This Row],[NEXT_REGIME]])-Regime_ProbMtx[[#This Row],[PROB]])*100</f>
        <v>65</v>
      </c>
      <c r="G13" s="4">
        <f>(SUMIFS(Regime_ProbMtx[PROB],Regime_ProbMtx[PREV_REGIME],Regime_ProbMtx[[#This Row],[PREV_REGIME]],Regime_ProbMtx[NEXT_REGIME],"&lt;="&amp;Regime_ProbMtx[[#This Row],[NEXT_REGIME]]))*100</f>
        <v>100</v>
      </c>
    </row>
    <row r="14" spans="2:7" x14ac:dyDescent="0.25">
      <c r="B14">
        <v>5</v>
      </c>
      <c r="C14">
        <v>1</v>
      </c>
      <c r="D14">
        <v>0</v>
      </c>
      <c r="E14" s="1">
        <v>0.5</v>
      </c>
      <c r="F14" s="4">
        <f>(SUMIFS(Regime_ProbMtx[PROB],Regime_ProbMtx[PREV_REGIME],Regime_ProbMtx[[#This Row],[PREV_REGIME]],Regime_ProbMtx[NEXT_REGIME],"&lt;="&amp;Regime_ProbMtx[[#This Row],[NEXT_REGIME]])-Regime_ProbMtx[[#This Row],[PROB]])*100</f>
        <v>0</v>
      </c>
      <c r="G14" s="4">
        <f>(SUMIFS(Regime_ProbMtx[PROB],Regime_ProbMtx[PREV_REGIME],Regime_ProbMtx[[#This Row],[PREV_REGIME]],Regime_ProbMtx[NEXT_REGIME],"&lt;="&amp;Regime_ProbMtx[[#This Row],[NEXT_REGIME]]))*100</f>
        <v>50</v>
      </c>
    </row>
    <row r="15" spans="2:7" x14ac:dyDescent="0.25">
      <c r="B15">
        <v>6</v>
      </c>
      <c r="C15">
        <v>1</v>
      </c>
      <c r="D15">
        <v>1</v>
      </c>
      <c r="E15" s="1">
        <v>0.05</v>
      </c>
      <c r="F15" s="4">
        <f>(SUMIFS(Regime_ProbMtx[PROB],Regime_ProbMtx[PREV_REGIME],Regime_ProbMtx[[#This Row],[PREV_REGIME]],Regime_ProbMtx[NEXT_REGIME],"&lt;="&amp;Regime_ProbMtx[[#This Row],[NEXT_REGIME]])-Regime_ProbMtx[[#This Row],[PROB]])*100</f>
        <v>50</v>
      </c>
      <c r="G15" s="4">
        <f>(SUMIFS(Regime_ProbMtx[PROB],Regime_ProbMtx[PREV_REGIME],Regime_ProbMtx[[#This Row],[PREV_REGIME]],Regime_ProbMtx[NEXT_REGIME],"&lt;="&amp;Regime_ProbMtx[[#This Row],[NEXT_REGIME]]))*100</f>
        <v>55.000000000000007</v>
      </c>
    </row>
    <row r="16" spans="2:7" x14ac:dyDescent="0.25">
      <c r="B16">
        <v>7</v>
      </c>
      <c r="C16">
        <v>1</v>
      </c>
      <c r="D16">
        <v>2</v>
      </c>
      <c r="E16" s="1">
        <v>0.2</v>
      </c>
      <c r="F16" s="4">
        <f>(SUMIFS(Regime_ProbMtx[PROB],Regime_ProbMtx[PREV_REGIME],Regime_ProbMtx[[#This Row],[PREV_REGIME]],Regime_ProbMtx[NEXT_REGIME],"&lt;="&amp;Regime_ProbMtx[[#This Row],[NEXT_REGIME]])-Regime_ProbMtx[[#This Row],[PROB]])*100</f>
        <v>55.000000000000007</v>
      </c>
      <c r="G16" s="4">
        <f>(SUMIFS(Regime_ProbMtx[PROB],Regime_ProbMtx[PREV_REGIME],Regime_ProbMtx[[#This Row],[PREV_REGIME]],Regime_ProbMtx[NEXT_REGIME],"&lt;="&amp;Regime_ProbMtx[[#This Row],[NEXT_REGIME]]))*100</f>
        <v>75</v>
      </c>
    </row>
    <row r="17" spans="2:7" x14ac:dyDescent="0.25">
      <c r="B17">
        <v>8</v>
      </c>
      <c r="C17">
        <v>1</v>
      </c>
      <c r="D17">
        <v>3</v>
      </c>
      <c r="E17" s="1">
        <v>0.25</v>
      </c>
      <c r="F17" s="4">
        <f>(SUMIFS(Regime_ProbMtx[PROB],Regime_ProbMtx[PREV_REGIME],Regime_ProbMtx[[#This Row],[PREV_REGIME]],Regime_ProbMtx[NEXT_REGIME],"&lt;="&amp;Regime_ProbMtx[[#This Row],[NEXT_REGIME]])-Regime_ProbMtx[[#This Row],[PROB]])*100</f>
        <v>75</v>
      </c>
      <c r="G17" s="4">
        <f>(SUMIFS(Regime_ProbMtx[PROB],Regime_ProbMtx[PREV_REGIME],Regime_ProbMtx[[#This Row],[PREV_REGIME]],Regime_ProbMtx[NEXT_REGIME],"&lt;="&amp;Regime_ProbMtx[[#This Row],[NEXT_REGIME]]))*100</f>
        <v>100</v>
      </c>
    </row>
    <row r="18" spans="2:7" x14ac:dyDescent="0.25">
      <c r="B18">
        <v>9</v>
      </c>
      <c r="C18">
        <v>2</v>
      </c>
      <c r="D18">
        <v>0</v>
      </c>
      <c r="E18" s="1">
        <v>0.25</v>
      </c>
      <c r="F18" s="4">
        <f>(SUMIFS(Regime_ProbMtx[PROB],Regime_ProbMtx[PREV_REGIME],Regime_ProbMtx[[#This Row],[PREV_REGIME]],Regime_ProbMtx[NEXT_REGIME],"&lt;="&amp;Regime_ProbMtx[[#This Row],[NEXT_REGIME]])-Regime_ProbMtx[[#This Row],[PROB]])*100</f>
        <v>0</v>
      </c>
      <c r="G18" s="4">
        <f>(SUMIFS(Regime_ProbMtx[PROB],Regime_ProbMtx[PREV_REGIME],Regime_ProbMtx[[#This Row],[PREV_REGIME]],Regime_ProbMtx[NEXT_REGIME],"&lt;="&amp;Regime_ProbMtx[[#This Row],[NEXT_REGIME]]))*100</f>
        <v>25</v>
      </c>
    </row>
    <row r="19" spans="2:7" x14ac:dyDescent="0.25">
      <c r="B19">
        <v>10</v>
      </c>
      <c r="C19">
        <v>2</v>
      </c>
      <c r="D19">
        <v>1</v>
      </c>
      <c r="E19" s="1">
        <v>0.45</v>
      </c>
      <c r="F19" s="4">
        <f>(SUMIFS(Regime_ProbMtx[PROB],Regime_ProbMtx[PREV_REGIME],Regime_ProbMtx[[#This Row],[PREV_REGIME]],Regime_ProbMtx[NEXT_REGIME],"&lt;="&amp;Regime_ProbMtx[[#This Row],[NEXT_REGIME]])-Regime_ProbMtx[[#This Row],[PROB]])*100</f>
        <v>24.999999999999993</v>
      </c>
      <c r="G19" s="4">
        <f>(SUMIFS(Regime_ProbMtx[PROB],Regime_ProbMtx[PREV_REGIME],Regime_ProbMtx[[#This Row],[PREV_REGIME]],Regime_ProbMtx[NEXT_REGIME],"&lt;="&amp;Regime_ProbMtx[[#This Row],[NEXT_REGIME]]))*100</f>
        <v>70</v>
      </c>
    </row>
    <row r="20" spans="2:7" x14ac:dyDescent="0.25">
      <c r="B20">
        <v>11</v>
      </c>
      <c r="C20">
        <v>2</v>
      </c>
      <c r="D20">
        <v>2</v>
      </c>
      <c r="E20" s="1">
        <v>0.05</v>
      </c>
      <c r="F20" s="4">
        <f>(SUMIFS(Regime_ProbMtx[PROB],Regime_ProbMtx[PREV_REGIME],Regime_ProbMtx[[#This Row],[PREV_REGIME]],Regime_ProbMtx[NEXT_REGIME],"&lt;="&amp;Regime_ProbMtx[[#This Row],[NEXT_REGIME]])-Regime_ProbMtx[[#This Row],[PROB]])*100</f>
        <v>70</v>
      </c>
      <c r="G20" s="4">
        <f>(SUMIFS(Regime_ProbMtx[PROB],Regime_ProbMtx[PREV_REGIME],Regime_ProbMtx[[#This Row],[PREV_REGIME]],Regime_ProbMtx[NEXT_REGIME],"&lt;="&amp;Regime_ProbMtx[[#This Row],[NEXT_REGIME]]))*100</f>
        <v>75</v>
      </c>
    </row>
    <row r="21" spans="2:7" x14ac:dyDescent="0.25">
      <c r="B21">
        <v>12</v>
      </c>
      <c r="C21">
        <v>2</v>
      </c>
      <c r="D21">
        <v>3</v>
      </c>
      <c r="E21" s="1">
        <v>0.25</v>
      </c>
      <c r="F21" s="4">
        <f>(SUMIFS(Regime_ProbMtx[PROB],Regime_ProbMtx[PREV_REGIME],Regime_ProbMtx[[#This Row],[PREV_REGIME]],Regime_ProbMtx[NEXT_REGIME],"&lt;="&amp;Regime_ProbMtx[[#This Row],[NEXT_REGIME]])-Regime_ProbMtx[[#This Row],[PROB]])*100</f>
        <v>75</v>
      </c>
      <c r="G21" s="4">
        <f>(SUMIFS(Regime_ProbMtx[PROB],Regime_ProbMtx[PREV_REGIME],Regime_ProbMtx[[#This Row],[PREV_REGIME]],Regime_ProbMtx[NEXT_REGIME],"&lt;="&amp;Regime_ProbMtx[[#This Row],[NEXT_REGIME]]))*100</f>
        <v>100</v>
      </c>
    </row>
    <row r="22" spans="2:7" x14ac:dyDescent="0.25">
      <c r="B22">
        <v>13</v>
      </c>
      <c r="C22">
        <v>3</v>
      </c>
      <c r="D22">
        <v>0</v>
      </c>
      <c r="E22" s="1">
        <v>0.45</v>
      </c>
      <c r="F22" s="4">
        <f>(SUMIFS(Regime_ProbMtx[PROB],Regime_ProbMtx[PREV_REGIME],Regime_ProbMtx[[#This Row],[PREV_REGIME]],Regime_ProbMtx[NEXT_REGIME],"&lt;="&amp;Regime_ProbMtx[[#This Row],[NEXT_REGIME]])-Regime_ProbMtx[[#This Row],[PROB]])*100</f>
        <v>0</v>
      </c>
      <c r="G22" s="4">
        <f>(SUMIFS(Regime_ProbMtx[PROB],Regime_ProbMtx[PREV_REGIME],Regime_ProbMtx[[#This Row],[PREV_REGIME]],Regime_ProbMtx[NEXT_REGIME],"&lt;="&amp;Regime_ProbMtx[[#This Row],[NEXT_REGIME]]))*100</f>
        <v>45</v>
      </c>
    </row>
    <row r="23" spans="2:7" x14ac:dyDescent="0.25">
      <c r="B23">
        <v>14</v>
      </c>
      <c r="C23">
        <v>3</v>
      </c>
      <c r="D23">
        <v>1</v>
      </c>
      <c r="E23" s="1">
        <v>0.25</v>
      </c>
      <c r="F23" s="4">
        <f>(SUMIFS(Regime_ProbMtx[PROB],Regime_ProbMtx[PREV_REGIME],Regime_ProbMtx[[#This Row],[PREV_REGIME]],Regime_ProbMtx[NEXT_REGIME],"&lt;="&amp;Regime_ProbMtx[[#This Row],[NEXT_REGIME]])-Regime_ProbMtx[[#This Row],[PROB]])*100</f>
        <v>44.999999999999993</v>
      </c>
      <c r="G23" s="4">
        <f>(SUMIFS(Regime_ProbMtx[PROB],Regime_ProbMtx[PREV_REGIME],Regime_ProbMtx[[#This Row],[PREV_REGIME]],Regime_ProbMtx[NEXT_REGIME],"&lt;="&amp;Regime_ProbMtx[[#This Row],[NEXT_REGIME]]))*100</f>
        <v>70</v>
      </c>
    </row>
    <row r="24" spans="2:7" x14ac:dyDescent="0.25">
      <c r="B24">
        <v>15</v>
      </c>
      <c r="C24">
        <v>3</v>
      </c>
      <c r="D24">
        <v>2</v>
      </c>
      <c r="E24" s="1">
        <v>0.15</v>
      </c>
      <c r="F24" s="4">
        <f>(SUMIFS(Regime_ProbMtx[PROB],Regime_ProbMtx[PREV_REGIME],Regime_ProbMtx[[#This Row],[PREV_REGIME]],Regime_ProbMtx[NEXT_REGIME],"&lt;="&amp;Regime_ProbMtx[[#This Row],[NEXT_REGIME]])-Regime_ProbMtx[[#This Row],[PROB]])*100</f>
        <v>70</v>
      </c>
      <c r="G24" s="4">
        <f>(SUMIFS(Regime_ProbMtx[PROB],Regime_ProbMtx[PREV_REGIME],Regime_ProbMtx[[#This Row],[PREV_REGIME]],Regime_ProbMtx[NEXT_REGIME],"&lt;="&amp;Regime_ProbMtx[[#This Row],[NEXT_REGIME]]))*100</f>
        <v>85</v>
      </c>
    </row>
    <row r="25" spans="2:7" x14ac:dyDescent="0.25">
      <c r="B25">
        <v>16</v>
      </c>
      <c r="C25">
        <v>3</v>
      </c>
      <c r="D25">
        <v>3</v>
      </c>
      <c r="E25" s="1">
        <v>0.15</v>
      </c>
      <c r="F25" s="4">
        <f>(SUMIFS(Regime_ProbMtx[PROB],Regime_ProbMtx[PREV_REGIME],Regime_ProbMtx[[#This Row],[PREV_REGIME]],Regime_ProbMtx[NEXT_REGIME],"&lt;="&amp;Regime_ProbMtx[[#This Row],[NEXT_REGIME]])-Regime_ProbMtx[[#This Row],[PROB]])*100</f>
        <v>85</v>
      </c>
      <c r="G25" s="4">
        <f>(SUMIFS(Regime_ProbMtx[PROB],Regime_ProbMtx[PREV_REGIME],Regime_ProbMtx[[#This Row],[PREV_REGIME]],Regime_ProbMtx[NEXT_REGIME],"&lt;="&amp;Regime_ProbMtx[[#This Row],[NEXT_REGIME]]))*100</f>
        <v>100</v>
      </c>
    </row>
    <row r="28" spans="2:7" x14ac:dyDescent="0.25">
      <c r="B28" t="s">
        <v>0</v>
      </c>
      <c r="C28" t="s">
        <v>10</v>
      </c>
      <c r="D28" t="s">
        <v>11</v>
      </c>
    </row>
    <row r="29" spans="2:7" x14ac:dyDescent="0.25">
      <c r="B29">
        <v>1</v>
      </c>
      <c r="C29" t="s">
        <v>13</v>
      </c>
      <c r="D29">
        <v>3</v>
      </c>
    </row>
    <row r="30" spans="2:7" x14ac:dyDescent="0.25">
      <c r="B30">
        <v>2</v>
      </c>
      <c r="C30" t="s">
        <v>4</v>
      </c>
      <c r="D30" s="2">
        <v>3</v>
      </c>
    </row>
    <row r="31" spans="2:7" x14ac:dyDescent="0.25">
      <c r="B31">
        <v>3</v>
      </c>
      <c r="C31" t="s">
        <v>18</v>
      </c>
      <c r="D31" s="5">
        <f ca="1">RANDBETWEEN(0,99)</f>
        <v>25</v>
      </c>
    </row>
    <row r="33" spans="2:5" x14ac:dyDescent="0.25">
      <c r="B33" t="s">
        <v>0</v>
      </c>
      <c r="C33" t="s">
        <v>9</v>
      </c>
      <c r="D33" t="s">
        <v>11</v>
      </c>
      <c r="E33" t="s">
        <v>14</v>
      </c>
    </row>
    <row r="34" spans="2:5" x14ac:dyDescent="0.25">
      <c r="B34">
        <v>1</v>
      </c>
      <c r="C34" t="s">
        <v>5</v>
      </c>
      <c r="D34" s="5">
        <f ca="1">SUMIFS(Regime_ProbMtx[NEXT_REGIME],Regime_ProbMtx[PREV_REGIME],D30,Regime_ProbMtx[BEG_INTERVAL],"&lt;="&amp;D31,Regime_ProbMtx[END_INTERVAL],"&gt;"&amp;D31)</f>
        <v>0</v>
      </c>
      <c r="E34" t="str">
        <f ca="1">VLOOKUP(Regime_Output[VALUE],Regime_tbl[],2,0)</f>
        <v>Oscillation</v>
      </c>
    </row>
    <row r="37" spans="2:5" x14ac:dyDescent="0.25">
      <c r="B37" t="s">
        <v>0</v>
      </c>
      <c r="C37" t="s">
        <v>9</v>
      </c>
      <c r="D37" t="s">
        <v>11</v>
      </c>
    </row>
    <row r="38" spans="2:5" x14ac:dyDescent="0.25">
      <c r="B38">
        <v>0</v>
      </c>
      <c r="C38" t="str">
        <f>"PRICE_"&amp;Regime_0_Output43[[#This Row],[ID]]</f>
        <v>PRICE_0</v>
      </c>
      <c r="D38" s="5">
        <f ca="1">ROUNDUP(VLOOKUP(Regime_0_Output43[[#This Row],[ID]],INDIRECT("Regime_"&amp;Regime_Output[VALUE]&amp;"_Output"),3,0),0)</f>
        <v>104</v>
      </c>
    </row>
    <row r="39" spans="2:5" x14ac:dyDescent="0.25">
      <c r="B39">
        <v>1</v>
      </c>
      <c r="C39" t="str">
        <f>"PRICE_"&amp;Regime_0_Output43[[#This Row],[ID]]</f>
        <v>PRICE_1</v>
      </c>
      <c r="D39" s="5">
        <f ca="1">ROUNDUP(VLOOKUP(Regime_0_Output43[[#This Row],[ID]],INDIRECT("Regime_"&amp;Regime_Output[VALUE]&amp;"_Output"),3,0),0)</f>
        <v>65</v>
      </c>
    </row>
    <row r="40" spans="2:5" x14ac:dyDescent="0.25">
      <c r="B40">
        <v>2</v>
      </c>
      <c r="C40" t="str">
        <f>"PRICE_"&amp;Regime_0_Output43[[#This Row],[ID]]</f>
        <v>PRICE_2</v>
      </c>
      <c r="D40" s="5">
        <f ca="1">ROUNDUP(VLOOKUP(Regime_0_Output43[[#This Row],[ID]],INDIRECT("Regime_"&amp;Regime_Output[VALUE]&amp;"_Output"),3,0),0)</f>
        <v>58</v>
      </c>
    </row>
    <row r="41" spans="2:5" x14ac:dyDescent="0.25">
      <c r="B41">
        <v>3</v>
      </c>
      <c r="C41" t="str">
        <f>"PRICE_"&amp;Regime_0_Output43[[#This Row],[ID]]</f>
        <v>PRICE_3</v>
      </c>
      <c r="D41" s="5">
        <f ca="1">ROUNDUP(VLOOKUP(Regime_0_Output43[[#This Row],[ID]],INDIRECT("Regime_"&amp;Regime_Output[VALUE]&amp;"_Output"),3,0),0)</f>
        <v>114</v>
      </c>
    </row>
    <row r="42" spans="2:5" x14ac:dyDescent="0.25">
      <c r="B42">
        <v>4</v>
      </c>
      <c r="C42" t="str">
        <f>"PRICE_"&amp;Regime_0_Output43[[#This Row],[ID]]</f>
        <v>PRICE_4</v>
      </c>
      <c r="D42" s="5">
        <f ca="1">ROUNDUP(VLOOKUP(Regime_0_Output43[[#This Row],[ID]],INDIRECT("Regime_"&amp;Regime_Output[VALUE]&amp;"_Output"),3,0),0)</f>
        <v>111</v>
      </c>
    </row>
    <row r="43" spans="2:5" x14ac:dyDescent="0.25">
      <c r="B43">
        <v>5</v>
      </c>
      <c r="C43" t="str">
        <f>"PRICE_"&amp;Regime_0_Output43[[#This Row],[ID]]</f>
        <v>PRICE_5</v>
      </c>
      <c r="D43" s="5">
        <f ca="1">ROUNDUP(VLOOKUP(Regime_0_Output43[[#This Row],[ID]],INDIRECT("Regime_"&amp;Regime_Output[VALUE]&amp;"_Output"),3,0),0)</f>
        <v>108</v>
      </c>
    </row>
    <row r="44" spans="2:5" x14ac:dyDescent="0.25">
      <c r="B44">
        <v>6</v>
      </c>
      <c r="C44" t="str">
        <f>"PRICE_"&amp;Regime_0_Output43[[#This Row],[ID]]</f>
        <v>PRICE_6</v>
      </c>
      <c r="D44" s="5">
        <f ca="1">ROUNDUP(VLOOKUP(Regime_0_Output43[[#This Row],[ID]],INDIRECT("Regime_"&amp;Regime_Output[VALUE]&amp;"_Output"),3,0),0)</f>
        <v>100</v>
      </c>
    </row>
    <row r="45" spans="2:5" x14ac:dyDescent="0.25">
      <c r="B45">
        <v>7</v>
      </c>
      <c r="C45" t="str">
        <f>"PRICE_"&amp;Regime_0_Output43[[#This Row],[ID]]</f>
        <v>PRICE_7</v>
      </c>
      <c r="D45" s="5">
        <f ca="1">ROUNDUP(VLOOKUP(Regime_0_Output43[[#This Row],[ID]],INDIRECT("Regime_"&amp;Regime_Output[VALUE]&amp;"_Output"),3,0),0)</f>
        <v>101</v>
      </c>
    </row>
    <row r="46" spans="2:5" x14ac:dyDescent="0.25">
      <c r="B46">
        <v>8</v>
      </c>
      <c r="C46" t="str">
        <f>"PRICE_"&amp;Regime_0_Output43[[#This Row],[ID]]</f>
        <v>PRICE_8</v>
      </c>
      <c r="D46" s="5">
        <f ca="1">ROUNDUP(VLOOKUP(Regime_0_Output43[[#This Row],[ID]],INDIRECT("Regime_"&amp;Regime_Output[VALUE]&amp;"_Output"),3,0),0)</f>
        <v>125</v>
      </c>
    </row>
    <row r="47" spans="2:5" x14ac:dyDescent="0.25">
      <c r="B47">
        <v>9</v>
      </c>
      <c r="C47" t="str">
        <f>"PRICE_"&amp;Regime_0_Output43[[#This Row],[ID]]</f>
        <v>PRICE_9</v>
      </c>
      <c r="D47" s="5">
        <f ca="1">ROUNDUP(VLOOKUP(Regime_0_Output43[[#This Row],[ID]],INDIRECT("Regime_"&amp;Regime_Output[VALUE]&amp;"_Output"),3,0),0)</f>
        <v>65</v>
      </c>
    </row>
    <row r="48" spans="2:5" x14ac:dyDescent="0.25">
      <c r="B48">
        <v>10</v>
      </c>
      <c r="C48" t="str">
        <f>"PRICE_"&amp;Regime_0_Output43[[#This Row],[ID]]</f>
        <v>PRICE_10</v>
      </c>
      <c r="D48" s="5">
        <f ca="1">ROUNDUP(VLOOKUP(Regime_0_Output43[[#This Row],[ID]],INDIRECT("Regime_"&amp;Regime_Output[VALUE]&amp;"_Output"),3,0),0)</f>
        <v>59</v>
      </c>
    </row>
    <row r="49" spans="2:4" x14ac:dyDescent="0.25">
      <c r="B49">
        <v>11</v>
      </c>
      <c r="C49" t="str">
        <f>"PRICE_"&amp;Regime_0_Output43[[#This Row],[ID]]</f>
        <v>PRICE_11</v>
      </c>
      <c r="D49" s="5">
        <f ca="1">ROUNDUP(VLOOKUP(Regime_0_Output43[[#This Row],[ID]],INDIRECT("Regime_"&amp;Regime_Output[VALUE]&amp;"_Output"),3,0),0)</f>
        <v>54</v>
      </c>
    </row>
    <row r="50" spans="2:4" x14ac:dyDescent="0.25">
      <c r="B50">
        <v>12</v>
      </c>
      <c r="C50" t="str">
        <f>"PRICE_"&amp;Regime_0_Output43[[#This Row],[ID]]</f>
        <v>PRICE_12</v>
      </c>
      <c r="D50" s="5">
        <f ca="1">ROUNDUP(VLOOKUP(Regime_0_Output43[[#This Row],[ID]],INDIRECT("Regime_"&amp;Regime_Output[VALUE]&amp;"_Output"),3,0),0)</f>
        <v>110</v>
      </c>
    </row>
  </sheetData>
  <pageMargins left="0.7" right="0.7" top="0.75" bottom="0.75" header="0.3" footer="0.3"/>
  <pageSetup orientation="portrait" horizontalDpi="4294967293" verticalDpi="4294967293" r:id="rId1"/>
  <drawing r:id="rId2"/>
  <tableParts count="5">
    <tablePart r:id="rId3"/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autoPageBreaks="0"/>
  </sheetPr>
  <dimension ref="B3:G14"/>
  <sheetViews>
    <sheetView showGridLines="0" zoomScale="85" zoomScaleNormal="85" workbookViewId="0">
      <selection activeCell="Y43" sqref="Y43"/>
    </sheetView>
  </sheetViews>
  <sheetFormatPr defaultRowHeight="15" x14ac:dyDescent="0.25"/>
  <cols>
    <col min="2" max="2" width="18.28515625" bestFit="1" customWidth="1"/>
    <col min="3" max="3" width="16.28515625" bestFit="1" customWidth="1"/>
    <col min="4" max="7" width="2.140625" bestFit="1" customWidth="1"/>
    <col min="8" max="15" width="4.85546875" customWidth="1"/>
    <col min="16" max="16" width="3.7109375" customWidth="1"/>
    <col min="17" max="21" width="4.85546875" customWidth="1"/>
    <col min="22" max="22" width="3.7109375" customWidth="1"/>
    <col min="23" max="40" width="4.85546875" customWidth="1"/>
    <col min="41" max="41" width="3.7109375" customWidth="1"/>
    <col min="42" max="44" width="4.85546875" customWidth="1"/>
    <col min="45" max="45" width="3.7109375" customWidth="1"/>
    <col min="46" max="47" width="4.85546875" customWidth="1"/>
    <col min="48" max="48" width="6" customWidth="1"/>
    <col min="49" max="50" width="4.85546875" customWidth="1"/>
    <col min="51" max="51" width="3.7109375" customWidth="1"/>
    <col min="52" max="52" width="4.85546875" customWidth="1"/>
    <col min="53" max="54" width="9" customWidth="1"/>
    <col min="55" max="55" width="8" customWidth="1"/>
    <col min="56" max="57" width="9" customWidth="1"/>
    <col min="58" max="58" width="8" customWidth="1"/>
    <col min="59" max="62" width="9" customWidth="1"/>
    <col min="63" max="63" width="10" customWidth="1"/>
    <col min="64" max="64" width="9" customWidth="1"/>
    <col min="65" max="65" width="10" customWidth="1"/>
    <col min="66" max="67" width="9" customWidth="1"/>
    <col min="68" max="68" width="8" customWidth="1"/>
    <col min="69" max="75" width="9" customWidth="1"/>
    <col min="76" max="76" width="8" customWidth="1"/>
    <col min="77" max="80" width="9" customWidth="1"/>
    <col min="81" max="81" width="8" customWidth="1"/>
    <col min="82" max="84" width="9" customWidth="1"/>
    <col min="85" max="85" width="8" customWidth="1"/>
    <col min="86" max="87" width="9" customWidth="1"/>
    <col min="88" max="92" width="10" customWidth="1"/>
    <col min="93" max="93" width="9" customWidth="1"/>
    <col min="94" max="94" width="8" customWidth="1"/>
    <col min="95" max="96" width="10" bestFit="1" customWidth="1"/>
    <col min="97" max="106" width="9" customWidth="1"/>
    <col min="107" max="107" width="8" customWidth="1"/>
    <col min="108" max="110" width="10" customWidth="1"/>
    <col min="111" max="112" width="9" customWidth="1"/>
    <col min="113" max="113" width="10" customWidth="1"/>
    <col min="114" max="115" width="9" customWidth="1"/>
    <col min="116" max="116" width="8" customWidth="1"/>
    <col min="117" max="118" width="9" customWidth="1"/>
    <col min="119" max="119" width="10" customWidth="1"/>
    <col min="120" max="120" width="8" customWidth="1"/>
    <col min="121" max="122" width="9" customWidth="1"/>
    <col min="123" max="123" width="8" customWidth="1"/>
    <col min="124" max="124" width="9" customWidth="1"/>
    <col min="125" max="128" width="8" customWidth="1"/>
    <col min="129" max="133" width="9" customWidth="1"/>
    <col min="134" max="137" width="8" customWidth="1"/>
    <col min="138" max="141" width="9" customWidth="1"/>
    <col min="142" max="142" width="10" bestFit="1" customWidth="1"/>
  </cols>
  <sheetData>
    <row r="3" spans="2:7" x14ac:dyDescent="0.25">
      <c r="B3" s="9" t="s">
        <v>63</v>
      </c>
      <c r="C3" s="9" t="s">
        <v>62</v>
      </c>
    </row>
    <row r="4" spans="2:7" x14ac:dyDescent="0.25">
      <c r="B4" s="9" t="s">
        <v>61</v>
      </c>
      <c r="C4">
        <v>1</v>
      </c>
      <c r="D4">
        <v>2</v>
      </c>
      <c r="E4">
        <v>3</v>
      </c>
      <c r="F4">
        <v>4</v>
      </c>
      <c r="G4">
        <v>5</v>
      </c>
    </row>
    <row r="5" spans="2:7" x14ac:dyDescent="0.25">
      <c r="B5" s="10">
        <v>1</v>
      </c>
      <c r="C5" s="8">
        <v>3</v>
      </c>
      <c r="D5" s="8">
        <v>3</v>
      </c>
      <c r="E5" s="8">
        <v>3</v>
      </c>
      <c r="F5" s="8">
        <v>3</v>
      </c>
      <c r="G5" s="8">
        <v>3</v>
      </c>
    </row>
    <row r="6" spans="2:7" x14ac:dyDescent="0.25">
      <c r="B6" s="10">
        <v>2</v>
      </c>
      <c r="C6" s="8">
        <v>0</v>
      </c>
      <c r="D6" s="8">
        <v>1</v>
      </c>
      <c r="E6" s="8">
        <v>3</v>
      </c>
      <c r="F6" s="8">
        <v>0</v>
      </c>
      <c r="G6" s="8">
        <v>3</v>
      </c>
    </row>
    <row r="7" spans="2:7" x14ac:dyDescent="0.25">
      <c r="B7" s="10">
        <v>3</v>
      </c>
      <c r="C7" s="8">
        <v>0</v>
      </c>
      <c r="D7" s="8">
        <v>0</v>
      </c>
      <c r="E7" s="8">
        <v>0</v>
      </c>
      <c r="F7" s="8">
        <v>2</v>
      </c>
      <c r="G7" s="8">
        <v>0</v>
      </c>
    </row>
    <row r="8" spans="2:7" x14ac:dyDescent="0.25">
      <c r="B8" s="10">
        <v>4</v>
      </c>
      <c r="C8" s="8">
        <v>3</v>
      </c>
      <c r="D8" s="8">
        <v>3</v>
      </c>
      <c r="E8" s="8">
        <v>3</v>
      </c>
      <c r="F8" s="8">
        <v>1</v>
      </c>
      <c r="G8" s="8">
        <v>2</v>
      </c>
    </row>
    <row r="9" spans="2:7" x14ac:dyDescent="0.25">
      <c r="B9" s="10">
        <v>5</v>
      </c>
      <c r="C9" s="8">
        <v>3</v>
      </c>
      <c r="D9" s="8">
        <v>1</v>
      </c>
      <c r="E9" s="8">
        <v>0</v>
      </c>
      <c r="F9" s="8">
        <v>2</v>
      </c>
      <c r="G9" s="8">
        <v>0</v>
      </c>
    </row>
    <row r="10" spans="2:7" x14ac:dyDescent="0.25">
      <c r="B10" s="10">
        <v>6</v>
      </c>
      <c r="C10" s="8">
        <v>2</v>
      </c>
      <c r="D10" s="8">
        <v>0</v>
      </c>
      <c r="E10" s="8">
        <v>0</v>
      </c>
      <c r="F10" s="8">
        <v>1</v>
      </c>
      <c r="G10" s="8">
        <v>1</v>
      </c>
    </row>
    <row r="11" spans="2:7" x14ac:dyDescent="0.25">
      <c r="B11" s="10">
        <v>7</v>
      </c>
      <c r="C11" s="8">
        <v>1</v>
      </c>
      <c r="D11" s="8">
        <v>3</v>
      </c>
      <c r="E11" s="8">
        <v>3</v>
      </c>
      <c r="F11" s="8">
        <v>1</v>
      </c>
      <c r="G11" s="8">
        <v>1</v>
      </c>
    </row>
    <row r="12" spans="2:7" x14ac:dyDescent="0.25">
      <c r="B12" s="10">
        <v>8</v>
      </c>
      <c r="C12" s="8">
        <v>0</v>
      </c>
      <c r="D12" s="8">
        <v>0</v>
      </c>
      <c r="E12" s="8">
        <v>0</v>
      </c>
      <c r="F12" s="8">
        <v>2</v>
      </c>
      <c r="G12" s="8">
        <v>3</v>
      </c>
    </row>
    <row r="13" spans="2:7" x14ac:dyDescent="0.25">
      <c r="B13" s="10">
        <v>9</v>
      </c>
      <c r="C13" s="8">
        <v>0</v>
      </c>
      <c r="D13" s="8">
        <v>1</v>
      </c>
      <c r="E13" s="8">
        <v>2</v>
      </c>
      <c r="F13" s="8">
        <v>0</v>
      </c>
      <c r="G13" s="8">
        <v>3</v>
      </c>
    </row>
    <row r="14" spans="2:7" x14ac:dyDescent="0.25">
      <c r="B14" s="10">
        <v>10</v>
      </c>
      <c r="C14" s="8">
        <v>2</v>
      </c>
      <c r="D14" s="8">
        <v>0</v>
      </c>
      <c r="E14" s="8">
        <v>0</v>
      </c>
      <c r="F14" s="8">
        <v>2</v>
      </c>
      <c r="G14" s="8">
        <v>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autoPageBreaks="0"/>
  </sheetPr>
  <dimension ref="B3:F17"/>
  <sheetViews>
    <sheetView showGridLines="0" topLeftCell="B16" zoomScaleNormal="100" workbookViewId="0">
      <selection activeCell="P33" sqref="P33"/>
    </sheetView>
  </sheetViews>
  <sheetFormatPr defaultRowHeight="15" x14ac:dyDescent="0.25"/>
  <cols>
    <col min="2" max="2" width="19.7109375" bestFit="1" customWidth="1"/>
    <col min="3" max="3" width="16.28515625" bestFit="1" customWidth="1"/>
    <col min="4" max="4" width="8.140625" bestFit="1" customWidth="1"/>
    <col min="5" max="6" width="7.85546875" bestFit="1" customWidth="1"/>
    <col min="7" max="13" width="8.140625" bestFit="1" customWidth="1"/>
    <col min="14" max="30" width="7.85546875" bestFit="1" customWidth="1"/>
    <col min="31" max="32" width="12.140625" customWidth="1"/>
    <col min="33" max="33" width="11.85546875" customWidth="1"/>
    <col min="34" max="34" width="11.5703125" customWidth="1"/>
    <col min="35" max="35" width="11.28515625" customWidth="1"/>
    <col min="36" max="38" width="11.85546875" customWidth="1"/>
    <col min="39" max="40" width="9.42578125" customWidth="1"/>
    <col min="41" max="41" width="11" customWidth="1"/>
    <col min="42" max="42" width="11.5703125" customWidth="1"/>
    <col min="43" max="43" width="11.28515625" customWidth="1"/>
    <col min="44" max="44" width="11.5703125" customWidth="1"/>
    <col min="45" max="45" width="12.140625" customWidth="1"/>
    <col min="46" max="46" width="11.85546875" customWidth="1"/>
    <col min="47" max="47" width="11.5703125" customWidth="1"/>
    <col min="48" max="49" width="12.140625" customWidth="1"/>
    <col min="50" max="50" width="11.85546875" customWidth="1"/>
    <col min="51" max="51" width="11.5703125" customWidth="1"/>
    <col min="52" max="52" width="11.28515625" customWidth="1"/>
    <col min="53" max="55" width="11.85546875" customWidth="1"/>
    <col min="56" max="56" width="9.42578125" customWidth="1"/>
    <col min="57" max="57" width="9" customWidth="1"/>
    <col min="58" max="58" width="8" customWidth="1"/>
    <col min="59" max="62" width="9" customWidth="1"/>
    <col min="63" max="63" width="10" customWidth="1"/>
    <col min="64" max="64" width="9" customWidth="1"/>
    <col min="65" max="65" width="10" customWidth="1"/>
    <col min="66" max="67" width="9" customWidth="1"/>
    <col min="68" max="68" width="8" customWidth="1"/>
    <col min="69" max="75" width="9" customWidth="1"/>
    <col min="76" max="76" width="8" customWidth="1"/>
    <col min="77" max="80" width="9" customWidth="1"/>
    <col min="81" max="81" width="8" customWidth="1"/>
    <col min="82" max="84" width="9" customWidth="1"/>
    <col min="85" max="85" width="8" customWidth="1"/>
    <col min="86" max="87" width="9" customWidth="1"/>
    <col min="88" max="92" width="10" customWidth="1"/>
    <col min="93" max="93" width="9" customWidth="1"/>
    <col min="94" max="94" width="8" customWidth="1"/>
    <col min="95" max="96" width="10" bestFit="1" customWidth="1"/>
    <col min="97" max="106" width="9" customWidth="1"/>
    <col min="107" max="107" width="8" customWidth="1"/>
    <col min="108" max="110" width="10" customWidth="1"/>
    <col min="111" max="112" width="9" customWidth="1"/>
    <col min="113" max="113" width="10" customWidth="1"/>
    <col min="114" max="115" width="9" customWidth="1"/>
    <col min="116" max="116" width="8" customWidth="1"/>
    <col min="117" max="118" width="9" customWidth="1"/>
    <col min="119" max="119" width="10" customWidth="1"/>
    <col min="120" max="120" width="8" customWidth="1"/>
    <col min="121" max="122" width="9" customWidth="1"/>
    <col min="123" max="123" width="8" customWidth="1"/>
    <col min="124" max="124" width="9" customWidth="1"/>
    <col min="125" max="128" width="8" customWidth="1"/>
    <col min="129" max="133" width="9" customWidth="1"/>
    <col min="134" max="137" width="8" customWidth="1"/>
    <col min="138" max="141" width="9" customWidth="1"/>
    <col min="142" max="142" width="10" bestFit="1" customWidth="1"/>
  </cols>
  <sheetData>
    <row r="3" spans="2:6" x14ac:dyDescent="0.25">
      <c r="B3" s="9" t="s">
        <v>66</v>
      </c>
      <c r="C3" s="9" t="s">
        <v>62</v>
      </c>
    </row>
    <row r="4" spans="2:6" x14ac:dyDescent="0.25">
      <c r="C4">
        <v>0</v>
      </c>
      <c r="D4">
        <v>1</v>
      </c>
      <c r="E4">
        <v>2</v>
      </c>
      <c r="F4">
        <v>3</v>
      </c>
    </row>
    <row r="5" spans="2:6" x14ac:dyDescent="0.25">
      <c r="B5" s="9" t="s">
        <v>61</v>
      </c>
    </row>
    <row r="6" spans="2:6" x14ac:dyDescent="0.25">
      <c r="B6" s="12">
        <v>1</v>
      </c>
      <c r="C6" s="7">
        <v>0.33062576641926261</v>
      </c>
      <c r="D6" s="7">
        <v>2.5020513618237725</v>
      </c>
      <c r="E6" s="7">
        <v>-0.12227857760833921</v>
      </c>
      <c r="F6" s="7">
        <v>0.69977902700711081</v>
      </c>
    </row>
    <row r="7" spans="2:6" x14ac:dyDescent="0.25">
      <c r="B7" s="12">
        <v>2</v>
      </c>
      <c r="C7" s="7">
        <v>0.29006867685286192</v>
      </c>
      <c r="D7" s="7">
        <v>0.85369875277474527</v>
      </c>
      <c r="E7" s="7">
        <v>-0.16274444091882956</v>
      </c>
      <c r="F7" s="7">
        <v>0.24687394718342756</v>
      </c>
    </row>
    <row r="8" spans="2:6" x14ac:dyDescent="0.25">
      <c r="B8" s="12">
        <v>3</v>
      </c>
      <c r="C8" s="7">
        <v>0.21202906165424285</v>
      </c>
      <c r="D8" s="7">
        <v>0.65175635347476502</v>
      </c>
      <c r="E8" s="7">
        <v>-0.20209786321548168</v>
      </c>
      <c r="F8" s="7">
        <v>6.1799013154922429E-2</v>
      </c>
    </row>
    <row r="9" spans="2:6" x14ac:dyDescent="0.25">
      <c r="B9" s="12">
        <v>4</v>
      </c>
      <c r="C9" s="7">
        <v>0.13319230525308606</v>
      </c>
      <c r="D9" s="7">
        <v>0.18530332467802707</v>
      </c>
      <c r="E9" s="7">
        <v>-0.24417485140777356</v>
      </c>
      <c r="F9" s="7">
        <v>-0.31951000018681053</v>
      </c>
    </row>
    <row r="10" spans="2:6" x14ac:dyDescent="0.25">
      <c r="B10" s="12">
        <v>5</v>
      </c>
      <c r="C10" s="7">
        <v>6.7873583475173901E-2</v>
      </c>
      <c r="D10" s="7">
        <v>5.8128260657333133E-2</v>
      </c>
      <c r="E10" s="7">
        <v>-0.28232430654063712</v>
      </c>
      <c r="F10" s="7">
        <v>-0.48955536928806265</v>
      </c>
    </row>
    <row r="11" spans="2:6" x14ac:dyDescent="0.25">
      <c r="B11" s="12">
        <v>6</v>
      </c>
      <c r="C11" s="7">
        <v>1.3500054007712405E-2</v>
      </c>
      <c r="D11" s="7">
        <v>-0.11996600558490049</v>
      </c>
      <c r="E11" s="7">
        <v>-0.32030254608875125</v>
      </c>
      <c r="F11" s="7">
        <v>-0.38456210918510908</v>
      </c>
    </row>
    <row r="12" spans="2:6" x14ac:dyDescent="0.25">
      <c r="B12" s="12">
        <v>7</v>
      </c>
      <c r="C12" s="7">
        <v>-4.5028641609960424E-2</v>
      </c>
      <c r="D12" s="7">
        <v>-0.15224696988453998</v>
      </c>
      <c r="E12" s="7">
        <v>-0.35442528906747167</v>
      </c>
      <c r="F12" s="7">
        <v>-0.43541992982036104</v>
      </c>
    </row>
    <row r="13" spans="2:6" x14ac:dyDescent="0.25">
      <c r="B13" s="12">
        <v>8</v>
      </c>
      <c r="C13" s="7">
        <v>-0.30659347224165007</v>
      </c>
      <c r="D13" s="7">
        <v>-0.19450961819128681</v>
      </c>
      <c r="E13" s="7">
        <v>-0.39898701474450099</v>
      </c>
      <c r="F13" s="7">
        <v>-0.44407637667771577</v>
      </c>
    </row>
    <row r="14" spans="2:6" x14ac:dyDescent="0.25">
      <c r="B14" s="12">
        <v>9</v>
      </c>
      <c r="C14" s="7"/>
      <c r="D14" s="7">
        <v>-0.22221581152846545</v>
      </c>
      <c r="E14" s="7">
        <v>-0.44004449669978357</v>
      </c>
      <c r="F14" s="7">
        <v>-0.45585572546606457</v>
      </c>
    </row>
    <row r="15" spans="2:6" x14ac:dyDescent="0.25">
      <c r="B15" s="12">
        <v>10</v>
      </c>
      <c r="C15" s="7">
        <v>-0.36870606433815445</v>
      </c>
      <c r="D15" s="7">
        <v>-0.28783755613938833</v>
      </c>
      <c r="E15" s="7">
        <v>-0.48213230475478752</v>
      </c>
      <c r="F15" s="7">
        <v>-0.50919012164325328</v>
      </c>
    </row>
    <row r="16" spans="2:6" x14ac:dyDescent="0.25">
      <c r="B16" s="12">
        <v>11</v>
      </c>
      <c r="C16" s="7">
        <v>-0.39578551412136281</v>
      </c>
      <c r="D16" s="7">
        <v>-0.3221031431703254</v>
      </c>
      <c r="E16" s="7">
        <v>-0.52142633377658598</v>
      </c>
      <c r="F16" s="7">
        <v>-0.53127857730132633</v>
      </c>
    </row>
    <row r="17" spans="2:6" x14ac:dyDescent="0.25">
      <c r="B17" s="12">
        <v>12</v>
      </c>
      <c r="C17" s="7">
        <v>-0.43966757587524152</v>
      </c>
      <c r="D17" s="7">
        <v>-0.43289935978440308</v>
      </c>
      <c r="E17" s="7">
        <v>-0.56081897241767065</v>
      </c>
      <c r="F17" s="7">
        <v>-0.58581393689856209</v>
      </c>
    </row>
  </sheetData>
  <pageMargins left="0.7" right="0.7" top="0.75" bottom="0.75" header="0.3" footer="0.3"/>
  <pageSetup orientation="portrait" horizontalDpi="4294967293" verticalDpi="4294967293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autoPageBreaks="0"/>
  </sheetPr>
  <dimension ref="B3:F17"/>
  <sheetViews>
    <sheetView showGridLines="0" topLeftCell="A16" zoomScaleNormal="100" workbookViewId="0">
      <selection activeCell="C6" sqref="C6:F17"/>
    </sheetView>
  </sheetViews>
  <sheetFormatPr defaultRowHeight="15" x14ac:dyDescent="0.25"/>
  <cols>
    <col min="2" max="2" width="16.5703125" bestFit="1" customWidth="1"/>
    <col min="3" max="3" width="16.28515625" customWidth="1"/>
    <col min="4" max="4" width="8.140625" customWidth="1"/>
    <col min="5" max="5" width="7.85546875" customWidth="1"/>
    <col min="6" max="6" width="8.140625" customWidth="1"/>
    <col min="7" max="7" width="19.7109375" bestFit="1" customWidth="1"/>
    <col min="8" max="8" width="13.140625" bestFit="1" customWidth="1"/>
    <col min="9" max="9" width="19.7109375" bestFit="1" customWidth="1"/>
    <col min="10" max="10" width="13.140625" bestFit="1" customWidth="1"/>
    <col min="11" max="13" width="8.140625" bestFit="1" customWidth="1"/>
    <col min="14" max="30" width="7.85546875" bestFit="1" customWidth="1"/>
    <col min="31" max="32" width="12.140625" customWidth="1"/>
    <col min="33" max="33" width="11.85546875" customWidth="1"/>
    <col min="34" max="34" width="11.5703125" customWidth="1"/>
    <col min="35" max="35" width="11.28515625" customWidth="1"/>
    <col min="36" max="38" width="11.85546875" customWidth="1"/>
    <col min="39" max="40" width="9.42578125" customWidth="1"/>
    <col min="41" max="41" width="11" customWidth="1"/>
    <col min="42" max="42" width="11.5703125" customWidth="1"/>
    <col min="43" max="43" width="11.28515625" customWidth="1"/>
    <col min="44" max="44" width="11.5703125" customWidth="1"/>
    <col min="45" max="45" width="12.140625" customWidth="1"/>
    <col min="46" max="46" width="11.85546875" customWidth="1"/>
    <col min="47" max="47" width="11.5703125" customWidth="1"/>
    <col min="48" max="49" width="12.140625" customWidth="1"/>
    <col min="50" max="50" width="11.85546875" customWidth="1"/>
    <col min="51" max="51" width="11.5703125" customWidth="1"/>
    <col min="52" max="52" width="11.28515625" customWidth="1"/>
    <col min="53" max="55" width="11.85546875" customWidth="1"/>
    <col min="56" max="56" width="9.42578125" customWidth="1"/>
    <col min="57" max="57" width="9" customWidth="1"/>
    <col min="58" max="58" width="8" customWidth="1"/>
    <col min="59" max="62" width="9" customWidth="1"/>
    <col min="63" max="63" width="10" customWidth="1"/>
    <col min="64" max="64" width="9" customWidth="1"/>
    <col min="65" max="65" width="10" customWidth="1"/>
    <col min="66" max="67" width="9" customWidth="1"/>
    <col min="68" max="68" width="8" customWidth="1"/>
    <col min="69" max="75" width="9" customWidth="1"/>
    <col min="76" max="76" width="8" customWidth="1"/>
    <col min="77" max="80" width="9" customWidth="1"/>
    <col min="81" max="81" width="8" customWidth="1"/>
    <col min="82" max="84" width="9" customWidth="1"/>
    <col min="85" max="85" width="8" customWidth="1"/>
    <col min="86" max="87" width="9" customWidth="1"/>
    <col min="88" max="92" width="10" customWidth="1"/>
    <col min="93" max="93" width="9" customWidth="1"/>
    <col min="94" max="94" width="8" customWidth="1"/>
    <col min="95" max="96" width="10" bestFit="1" customWidth="1"/>
    <col min="97" max="106" width="9" customWidth="1"/>
    <col min="107" max="107" width="8" customWidth="1"/>
    <col min="108" max="110" width="10" customWidth="1"/>
    <col min="111" max="112" width="9" customWidth="1"/>
    <col min="113" max="113" width="10" customWidth="1"/>
    <col min="114" max="115" width="9" customWidth="1"/>
    <col min="116" max="116" width="8" customWidth="1"/>
    <col min="117" max="118" width="9" customWidth="1"/>
    <col min="119" max="119" width="10" customWidth="1"/>
    <col min="120" max="120" width="8" customWidth="1"/>
    <col min="121" max="122" width="9" customWidth="1"/>
    <col min="123" max="123" width="8" customWidth="1"/>
    <col min="124" max="124" width="9" customWidth="1"/>
    <col min="125" max="128" width="8" customWidth="1"/>
    <col min="129" max="133" width="9" customWidth="1"/>
    <col min="134" max="137" width="8" customWidth="1"/>
    <col min="138" max="141" width="9" customWidth="1"/>
    <col min="142" max="142" width="10" bestFit="1" customWidth="1"/>
  </cols>
  <sheetData>
    <row r="3" spans="2:6" x14ac:dyDescent="0.25">
      <c r="B3" s="9" t="s">
        <v>77</v>
      </c>
      <c r="C3" s="9" t="s">
        <v>62</v>
      </c>
    </row>
    <row r="4" spans="2:6" x14ac:dyDescent="0.25">
      <c r="C4">
        <v>0</v>
      </c>
      <c r="D4">
        <v>1</v>
      </c>
      <c r="E4">
        <v>2</v>
      </c>
      <c r="F4">
        <v>3</v>
      </c>
    </row>
    <row r="5" spans="2:6" x14ac:dyDescent="0.25">
      <c r="B5" s="9" t="s">
        <v>61</v>
      </c>
    </row>
    <row r="6" spans="2:6" x14ac:dyDescent="0.25">
      <c r="B6" s="12">
        <v>1</v>
      </c>
      <c r="C6" s="7">
        <v>0.71797033935773269</v>
      </c>
      <c r="D6" s="7">
        <v>1.0000645102340531</v>
      </c>
      <c r="E6" s="7">
        <v>-0.12227857760833921</v>
      </c>
      <c r="F6" s="7">
        <v>2.1062813568997245</v>
      </c>
    </row>
    <row r="7" spans="2:6" x14ac:dyDescent="0.25">
      <c r="B7" s="12">
        <v>2</v>
      </c>
      <c r="C7" s="7">
        <v>0.39030554865577138</v>
      </c>
      <c r="D7" s="7">
        <v>0.22091584279442522</v>
      </c>
      <c r="E7" s="7">
        <v>-4.6086477534815096E-2</v>
      </c>
      <c r="F7" s="7">
        <v>0.60787597885829048</v>
      </c>
    </row>
    <row r="8" spans="2:6" x14ac:dyDescent="0.25">
      <c r="B8" s="12">
        <v>3</v>
      </c>
      <c r="C8" s="7">
        <v>0.25822390132042261</v>
      </c>
      <c r="D8" s="7">
        <v>-0.11553774195603712</v>
      </c>
      <c r="E8" s="7">
        <v>-4.7073837286563697E-2</v>
      </c>
      <c r="F8" s="7">
        <v>0.52054862085530573</v>
      </c>
    </row>
    <row r="9" spans="2:6" x14ac:dyDescent="0.25">
      <c r="B9" s="12">
        <v>4</v>
      </c>
      <c r="C9" s="7">
        <v>0.21938589454875701</v>
      </c>
      <c r="D9" s="7">
        <v>0.16601657868912478</v>
      </c>
      <c r="E9" s="7">
        <v>-5.2772047918590512E-2</v>
      </c>
      <c r="F9" s="7">
        <v>-7.0280498227069832E-2</v>
      </c>
    </row>
    <row r="10" spans="2:6" x14ac:dyDescent="0.25">
      <c r="B10" s="12">
        <v>5</v>
      </c>
      <c r="C10" s="7">
        <v>-7.1756514366308807E-3</v>
      </c>
      <c r="D10" s="7">
        <v>-5.1863434544342647E-2</v>
      </c>
      <c r="E10" s="7">
        <v>-5.0476082803969147E-2</v>
      </c>
      <c r="F10" s="7">
        <v>-0.27666066409055479</v>
      </c>
    </row>
    <row r="11" spans="2:6" x14ac:dyDescent="0.25">
      <c r="B11" s="12">
        <v>6</v>
      </c>
      <c r="C11" s="7">
        <v>0.11883701273730331</v>
      </c>
      <c r="D11" s="7">
        <v>-7.4163322167538154E-2</v>
      </c>
      <c r="E11" s="7">
        <v>-5.3019603281488845E-2</v>
      </c>
      <c r="F11" s="7">
        <v>-0.25694749022464602</v>
      </c>
    </row>
    <row r="12" spans="2:6" x14ac:dyDescent="0.25">
      <c r="B12" s="12">
        <v>7</v>
      </c>
      <c r="C12" s="7">
        <v>5.4615480836822911E-2</v>
      </c>
      <c r="D12" s="7">
        <v>5.3667176924994788E-3</v>
      </c>
      <c r="E12" s="7">
        <v>-5.0276167587250703E-2</v>
      </c>
      <c r="F12" s="7">
        <v>-0.16719786541516157</v>
      </c>
    </row>
    <row r="13" spans="2:6" x14ac:dyDescent="0.25">
      <c r="B13" s="12">
        <v>8</v>
      </c>
      <c r="C13" s="7">
        <v>-0.38796439620983053</v>
      </c>
      <c r="D13" s="7">
        <v>-6.6065696473281102E-2</v>
      </c>
      <c r="E13" s="7">
        <v>-6.9180751062691462E-2</v>
      </c>
      <c r="F13" s="7">
        <v>-0.11471722491073608</v>
      </c>
    </row>
    <row r="14" spans="2:6" x14ac:dyDescent="0.25">
      <c r="B14" s="12">
        <v>9</v>
      </c>
      <c r="C14" s="7"/>
      <c r="D14" s="7">
        <v>3.0932026853464099E-2</v>
      </c>
      <c r="E14" s="7">
        <v>-6.8303325014390598E-2</v>
      </c>
      <c r="F14" s="7">
        <v>-0.1143186077592761</v>
      </c>
    </row>
    <row r="15" spans="2:6" x14ac:dyDescent="0.25">
      <c r="B15" s="12">
        <v>10</v>
      </c>
      <c r="C15" s="7">
        <v>-9.4027924791458453E-2</v>
      </c>
      <c r="D15" s="7">
        <v>-6.0740220308557913E-2</v>
      </c>
      <c r="E15" s="7">
        <v>-7.5263844892976037E-2</v>
      </c>
      <c r="F15" s="7">
        <v>-0.17548210680842644</v>
      </c>
    </row>
    <row r="16" spans="2:6" x14ac:dyDescent="0.25">
      <c r="B16" s="12">
        <v>11</v>
      </c>
      <c r="C16" s="7">
        <v>-0.12340659438283851</v>
      </c>
      <c r="D16" s="7">
        <v>-0.16930715513961545</v>
      </c>
      <c r="E16" s="7">
        <v>-7.6004273924161286E-2</v>
      </c>
      <c r="F16" s="7">
        <v>-0.30238104306457325</v>
      </c>
    </row>
    <row r="17" spans="2:6" x14ac:dyDescent="0.25">
      <c r="B17" s="12">
        <v>12</v>
      </c>
      <c r="C17" s="7">
        <v>-0.10048855931567841</v>
      </c>
      <c r="D17" s="7">
        <v>-0.28500087650802997</v>
      </c>
      <c r="E17" s="7">
        <v>-8.2967745231760329E-2</v>
      </c>
      <c r="F17" s="7">
        <v>-0.3418690414287453</v>
      </c>
    </row>
  </sheetData>
  <pageMargins left="0.7" right="0.7" top="0.75" bottom="0.75" header="0.3" footer="0.3"/>
  <pageSetup orientation="portrait" horizontalDpi="4294967293" verticalDpi="4294967293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autoPageBreaks="0"/>
  </sheetPr>
  <dimension ref="B3:H17"/>
  <sheetViews>
    <sheetView showGridLines="0" zoomScale="55" zoomScaleNormal="55" workbookViewId="0">
      <selection activeCell="H9" sqref="H9"/>
    </sheetView>
  </sheetViews>
  <sheetFormatPr defaultRowHeight="15" x14ac:dyDescent="0.25"/>
  <cols>
    <col min="2" max="2" width="50.5703125" bestFit="1" customWidth="1"/>
    <col min="3" max="3" width="23.5703125" bestFit="1" customWidth="1"/>
    <col min="4" max="6" width="9.42578125" bestFit="1" customWidth="1"/>
    <col min="7" max="15" width="8.140625" bestFit="1" customWidth="1"/>
    <col min="16" max="16" width="11.5703125" customWidth="1"/>
    <col min="17" max="17" width="11.28515625" customWidth="1"/>
    <col min="18" max="20" width="11.85546875" customWidth="1"/>
    <col min="21" max="23" width="9.42578125" customWidth="1"/>
    <col min="24" max="24" width="11" customWidth="1"/>
    <col min="25" max="25" width="11.5703125" customWidth="1"/>
    <col min="26" max="26" width="11.28515625" customWidth="1"/>
    <col min="27" max="27" width="11.5703125" customWidth="1"/>
    <col min="28" max="28" width="12.140625" customWidth="1"/>
    <col min="29" max="29" width="11.85546875" customWidth="1"/>
    <col min="30" max="30" width="11.5703125" customWidth="1"/>
    <col min="31" max="32" width="12.140625" customWidth="1"/>
    <col min="33" max="33" width="11.85546875" customWidth="1"/>
    <col min="34" max="34" width="11.5703125" customWidth="1"/>
    <col min="35" max="35" width="11.28515625" customWidth="1"/>
    <col min="36" max="38" width="11.85546875" customWidth="1"/>
    <col min="39" max="40" width="9.42578125" customWidth="1"/>
    <col min="41" max="41" width="11" customWidth="1"/>
    <col min="42" max="42" width="11.5703125" customWidth="1"/>
    <col min="43" max="43" width="11.28515625" customWidth="1"/>
    <col min="44" max="44" width="11.5703125" customWidth="1"/>
    <col min="45" max="45" width="12.140625" customWidth="1"/>
    <col min="46" max="46" width="11.85546875" customWidth="1"/>
    <col min="47" max="47" width="11.5703125" customWidth="1"/>
    <col min="48" max="49" width="12.140625" customWidth="1"/>
    <col min="50" max="50" width="11.85546875" customWidth="1"/>
    <col min="51" max="51" width="11.5703125" customWidth="1"/>
    <col min="52" max="52" width="11.28515625" customWidth="1"/>
    <col min="53" max="55" width="11.85546875" customWidth="1"/>
    <col min="56" max="56" width="9.42578125" customWidth="1"/>
    <col min="57" max="57" width="9" customWidth="1"/>
    <col min="58" max="58" width="8" customWidth="1"/>
    <col min="59" max="62" width="9" customWidth="1"/>
    <col min="63" max="63" width="10" customWidth="1"/>
    <col min="64" max="64" width="9" customWidth="1"/>
    <col min="65" max="65" width="10" customWidth="1"/>
    <col min="66" max="67" width="9" customWidth="1"/>
    <col min="68" max="68" width="8" customWidth="1"/>
    <col min="69" max="75" width="9" customWidth="1"/>
    <col min="76" max="76" width="8" customWidth="1"/>
    <col min="77" max="80" width="9" customWidth="1"/>
    <col min="81" max="81" width="8" customWidth="1"/>
    <col min="82" max="84" width="9" customWidth="1"/>
    <col min="85" max="85" width="8" customWidth="1"/>
    <col min="86" max="87" width="9" customWidth="1"/>
    <col min="88" max="92" width="10" customWidth="1"/>
    <col min="93" max="93" width="9" customWidth="1"/>
    <col min="94" max="94" width="8" customWidth="1"/>
    <col min="95" max="96" width="10" bestFit="1" customWidth="1"/>
    <col min="97" max="106" width="9" customWidth="1"/>
    <col min="107" max="107" width="8" customWidth="1"/>
    <col min="108" max="110" width="10" customWidth="1"/>
    <col min="111" max="112" width="9" customWidth="1"/>
    <col min="113" max="113" width="10" customWidth="1"/>
    <col min="114" max="115" width="9" customWidth="1"/>
    <col min="116" max="116" width="8" customWidth="1"/>
    <col min="117" max="118" width="9" customWidth="1"/>
    <col min="119" max="119" width="10" customWidth="1"/>
    <col min="120" max="120" width="8" customWidth="1"/>
    <col min="121" max="122" width="9" customWidth="1"/>
    <col min="123" max="123" width="8" customWidth="1"/>
    <col min="124" max="124" width="9" customWidth="1"/>
    <col min="125" max="128" width="8" customWidth="1"/>
    <col min="129" max="133" width="9" customWidth="1"/>
    <col min="134" max="137" width="8" customWidth="1"/>
    <col min="138" max="141" width="9" customWidth="1"/>
    <col min="142" max="142" width="10" bestFit="1" customWidth="1"/>
  </cols>
  <sheetData>
    <row r="3" spans="2:8" x14ac:dyDescent="0.25">
      <c r="B3" s="9" t="s">
        <v>71</v>
      </c>
      <c r="C3" s="9" t="s">
        <v>62</v>
      </c>
    </row>
    <row r="4" spans="2:8" x14ac:dyDescent="0.25">
      <c r="C4">
        <v>0</v>
      </c>
      <c r="D4">
        <v>1</v>
      </c>
      <c r="E4">
        <v>2</v>
      </c>
      <c r="F4">
        <v>3</v>
      </c>
    </row>
    <row r="5" spans="2:8" x14ac:dyDescent="0.25">
      <c r="B5" s="9" t="s">
        <v>61</v>
      </c>
    </row>
    <row r="6" spans="2:8" x14ac:dyDescent="0.25">
      <c r="B6" s="12">
        <v>1</v>
      </c>
      <c r="C6" s="7">
        <v>1</v>
      </c>
      <c r="D6" s="7">
        <v>1</v>
      </c>
      <c r="E6" s="7">
        <v>1</v>
      </c>
      <c r="F6" s="7">
        <v>1</v>
      </c>
    </row>
    <row r="7" spans="2:8" x14ac:dyDescent="0.25">
      <c r="B7" s="12">
        <v>2</v>
      </c>
      <c r="C7" s="7">
        <v>0.94987200084588408</v>
      </c>
      <c r="D7" s="7">
        <v>0.48548440933342385</v>
      </c>
      <c r="E7" s="7">
        <v>0.90771750605863355</v>
      </c>
      <c r="F7" s="7">
        <v>0.65375620273002477</v>
      </c>
    </row>
    <row r="8" spans="2:8" x14ac:dyDescent="0.25">
      <c r="B8" s="12">
        <v>3</v>
      </c>
      <c r="C8" s="7">
        <v>0.84708587332057794</v>
      </c>
      <c r="D8" s="7">
        <v>0.41526406536577681</v>
      </c>
      <c r="E8" s="7">
        <v>0.81802547916994328</v>
      </c>
      <c r="F8" s="7">
        <v>0.51321681712935741</v>
      </c>
    </row>
    <row r="9" spans="2:8" x14ac:dyDescent="0.25">
      <c r="B9" s="12">
        <v>4</v>
      </c>
      <c r="C9" s="7">
        <v>0.7427844463698664</v>
      </c>
      <c r="D9" s="7">
        <v>0.22776667234881784</v>
      </c>
      <c r="E9" s="7">
        <v>0.72225604082909456</v>
      </c>
      <c r="F9" s="7">
        <v>0.1900016252305238</v>
      </c>
      <c r="H9" t="s">
        <v>76</v>
      </c>
    </row>
    <row r="10" spans="2:8" x14ac:dyDescent="0.25">
      <c r="B10" s="12">
        <v>5</v>
      </c>
      <c r="C10" s="7">
        <v>0.66004054633870368</v>
      </c>
      <c r="D10" s="7">
        <v>0.18379591219604083</v>
      </c>
      <c r="E10" s="7">
        <v>0.6351705645089113</v>
      </c>
      <c r="F10" s="7">
        <v>0.14487569762508262</v>
      </c>
    </row>
    <row r="11" spans="2:8" x14ac:dyDescent="0.25">
      <c r="B11" s="12">
        <v>6</v>
      </c>
      <c r="C11" s="7">
        <v>0.58186429520404925</v>
      </c>
      <c r="D11" s="7">
        <v>0.1184191760172361</v>
      </c>
      <c r="E11" s="7">
        <v>0.54857282508950855</v>
      </c>
      <c r="F11" s="7">
        <v>0.14742599304602214</v>
      </c>
    </row>
    <row r="12" spans="2:8" x14ac:dyDescent="0.25">
      <c r="B12" s="12">
        <v>7</v>
      </c>
      <c r="C12" s="7">
        <v>0.51121642920352084</v>
      </c>
      <c r="D12" s="7">
        <v>0.10193407902415394</v>
      </c>
      <c r="E12" s="7">
        <v>0.47071877253879268</v>
      </c>
      <c r="F12" s="7">
        <v>0.11877928601217771</v>
      </c>
    </row>
    <row r="13" spans="2:8" x14ac:dyDescent="0.25">
      <c r="B13" s="12">
        <v>8</v>
      </c>
      <c r="C13" s="7">
        <v>0.17326652171130572</v>
      </c>
      <c r="D13" s="7">
        <v>9.1983428460197747E-2</v>
      </c>
      <c r="E13" s="7">
        <v>0.36921550891469995</v>
      </c>
      <c r="F13" s="7">
        <v>0.11650386553817522</v>
      </c>
    </row>
    <row r="14" spans="2:8" x14ac:dyDescent="0.25">
      <c r="B14" s="12">
        <v>9</v>
      </c>
      <c r="C14" s="7"/>
      <c r="D14" s="7">
        <v>7.3842219481949731E-2</v>
      </c>
      <c r="E14" s="7">
        <v>0.27526537144206503</v>
      </c>
      <c r="F14" s="7">
        <v>9.0634179151263122E-2</v>
      </c>
    </row>
    <row r="15" spans="2:8" x14ac:dyDescent="0.25">
      <c r="B15" s="12">
        <v>10</v>
      </c>
      <c r="C15" s="7">
        <v>8.8461930816626566E-2</v>
      </c>
      <c r="D15" s="7">
        <v>5.5672126237784093E-2</v>
      </c>
      <c r="E15" s="7">
        <v>0.17933602160409542</v>
      </c>
      <c r="F15" s="7">
        <v>6.1301137785843778E-2</v>
      </c>
    </row>
    <row r="16" spans="2:8" x14ac:dyDescent="0.25">
      <c r="B16" s="12">
        <v>11</v>
      </c>
      <c r="C16" s="7">
        <v>6.2053749212745951E-2</v>
      </c>
      <c r="D16" s="7">
        <v>3.9022135268516556E-2</v>
      </c>
      <c r="E16" s="7">
        <v>8.961328218469268E-2</v>
      </c>
      <c r="F16" s="7">
        <v>3.3210027543230783E-2</v>
      </c>
    </row>
    <row r="17" spans="2:6" x14ac:dyDescent="0.25">
      <c r="B17" s="12">
        <v>12</v>
      </c>
      <c r="C17" s="7">
        <v>0</v>
      </c>
      <c r="D17" s="7">
        <v>0</v>
      </c>
      <c r="E17" s="7">
        <v>0</v>
      </c>
      <c r="F17" s="7">
        <v>0</v>
      </c>
    </row>
  </sheetData>
  <pageMargins left="0.7" right="0.7" top="0.75" bottom="0.75" header="0.3" footer="0.3"/>
  <pageSetup orientation="portrait" horizontalDpi="4294967293" verticalDpi="4294967293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autoPageBreaks="0"/>
  </sheetPr>
  <dimension ref="B3:H17"/>
  <sheetViews>
    <sheetView showGridLines="0" zoomScale="55" zoomScaleNormal="55" workbookViewId="0">
      <selection activeCell="C10" sqref="C10"/>
    </sheetView>
  </sheetViews>
  <sheetFormatPr defaultRowHeight="15" x14ac:dyDescent="0.25"/>
  <cols>
    <col min="2" max="2" width="41.140625" bestFit="1" customWidth="1"/>
    <col min="3" max="3" width="23.5703125" bestFit="1" customWidth="1"/>
    <col min="4" max="4" width="10" customWidth="1"/>
    <col min="5" max="6" width="9.42578125" customWidth="1"/>
    <col min="7" max="15" width="8.140625" bestFit="1" customWidth="1"/>
    <col min="16" max="16" width="11.5703125" customWidth="1"/>
    <col min="17" max="17" width="11.28515625" customWidth="1"/>
    <col min="18" max="20" width="11.85546875" customWidth="1"/>
    <col min="21" max="23" width="9.42578125" customWidth="1"/>
    <col min="24" max="24" width="11" customWidth="1"/>
    <col min="25" max="25" width="11.5703125" customWidth="1"/>
    <col min="26" max="26" width="11.28515625" customWidth="1"/>
    <col min="27" max="27" width="11.5703125" customWidth="1"/>
    <col min="28" max="28" width="12.140625" customWidth="1"/>
    <col min="29" max="29" width="11.85546875" customWidth="1"/>
    <col min="30" max="30" width="11.5703125" customWidth="1"/>
    <col min="31" max="32" width="12.140625" customWidth="1"/>
    <col min="33" max="33" width="11.85546875" customWidth="1"/>
    <col min="34" max="34" width="11.5703125" customWidth="1"/>
    <col min="35" max="35" width="11.28515625" customWidth="1"/>
    <col min="36" max="38" width="11.85546875" customWidth="1"/>
    <col min="39" max="40" width="9.42578125" customWidth="1"/>
    <col min="41" max="41" width="11" customWidth="1"/>
    <col min="42" max="42" width="11.5703125" customWidth="1"/>
    <col min="43" max="43" width="11.28515625" customWidth="1"/>
    <col min="44" max="44" width="11.5703125" customWidth="1"/>
    <col min="45" max="45" width="12.140625" customWidth="1"/>
    <col min="46" max="46" width="11.85546875" customWidth="1"/>
    <col min="47" max="47" width="11.5703125" customWidth="1"/>
    <col min="48" max="49" width="12.140625" customWidth="1"/>
    <col min="50" max="50" width="11.85546875" customWidth="1"/>
    <col min="51" max="51" width="11.5703125" customWidth="1"/>
    <col min="52" max="52" width="11.28515625" customWidth="1"/>
    <col min="53" max="55" width="11.85546875" customWidth="1"/>
    <col min="56" max="56" width="9.42578125" customWidth="1"/>
    <col min="57" max="57" width="9" customWidth="1"/>
    <col min="58" max="58" width="8" customWidth="1"/>
    <col min="59" max="62" width="9" customWidth="1"/>
    <col min="63" max="63" width="10" customWidth="1"/>
    <col min="64" max="64" width="9" customWidth="1"/>
    <col min="65" max="65" width="10" customWidth="1"/>
    <col min="66" max="67" width="9" customWidth="1"/>
    <col min="68" max="68" width="8" customWidth="1"/>
    <col min="69" max="75" width="9" customWidth="1"/>
    <col min="76" max="76" width="8" customWidth="1"/>
    <col min="77" max="80" width="9" customWidth="1"/>
    <col min="81" max="81" width="8" customWidth="1"/>
    <col min="82" max="84" width="9" customWidth="1"/>
    <col min="85" max="85" width="8" customWidth="1"/>
    <col min="86" max="87" width="9" customWidth="1"/>
    <col min="88" max="92" width="10" customWidth="1"/>
    <col min="93" max="93" width="9" customWidth="1"/>
    <col min="94" max="94" width="8" customWidth="1"/>
    <col min="95" max="96" width="10" bestFit="1" customWidth="1"/>
    <col min="97" max="106" width="9" customWidth="1"/>
    <col min="107" max="107" width="8" customWidth="1"/>
    <col min="108" max="110" width="10" customWidth="1"/>
    <col min="111" max="112" width="9" customWidth="1"/>
    <col min="113" max="113" width="10" customWidth="1"/>
    <col min="114" max="115" width="9" customWidth="1"/>
    <col min="116" max="116" width="8" customWidth="1"/>
    <col min="117" max="118" width="9" customWidth="1"/>
    <col min="119" max="119" width="10" customWidth="1"/>
    <col min="120" max="120" width="8" customWidth="1"/>
    <col min="121" max="122" width="9" customWidth="1"/>
    <col min="123" max="123" width="8" customWidth="1"/>
    <col min="124" max="124" width="9" customWidth="1"/>
    <col min="125" max="128" width="8" customWidth="1"/>
    <col min="129" max="133" width="9" customWidth="1"/>
    <col min="134" max="137" width="8" customWidth="1"/>
    <col min="138" max="141" width="9" customWidth="1"/>
    <col min="142" max="142" width="10" bestFit="1" customWidth="1"/>
  </cols>
  <sheetData>
    <row r="3" spans="2:8" x14ac:dyDescent="0.25">
      <c r="B3" s="9" t="s">
        <v>69</v>
      </c>
      <c r="C3" s="9" t="s">
        <v>62</v>
      </c>
    </row>
    <row r="4" spans="2:8" x14ac:dyDescent="0.25">
      <c r="C4">
        <v>0</v>
      </c>
      <c r="D4">
        <v>1</v>
      </c>
      <c r="E4">
        <v>2</v>
      </c>
      <c r="F4">
        <v>3</v>
      </c>
    </row>
    <row r="5" spans="2:8" x14ac:dyDescent="0.25">
      <c r="B5" s="9" t="s">
        <v>61</v>
      </c>
    </row>
    <row r="6" spans="2:8" x14ac:dyDescent="0.25">
      <c r="B6" s="12">
        <v>1</v>
      </c>
      <c r="C6" s="7">
        <v>1.3943521558638374</v>
      </c>
      <c r="D6" s="7">
        <v>2.6648683811728033</v>
      </c>
      <c r="E6" s="7">
        <v>1.5235187679012967</v>
      </c>
      <c r="F6" s="7">
        <v>2.4128187187997856</v>
      </c>
    </row>
    <row r="7" spans="2:8" x14ac:dyDescent="0.25">
      <c r="B7" s="12">
        <v>2</v>
      </c>
      <c r="C7" s="7">
        <v>1.2578411338390678</v>
      </c>
      <c r="D7" s="7">
        <v>0.85070743710677132</v>
      </c>
      <c r="E7" s="7">
        <v>1.2411475285255535</v>
      </c>
      <c r="F7" s="7">
        <v>1.2479376250390337</v>
      </c>
    </row>
    <row r="8" spans="2:8" x14ac:dyDescent="0.25">
      <c r="B8" s="12">
        <v>3</v>
      </c>
      <c r="C8" s="7">
        <v>0.97419201658484744</v>
      </c>
      <c r="D8" s="7">
        <v>0.60404148171297489</v>
      </c>
      <c r="E8" s="7">
        <v>0.96705996295428687</v>
      </c>
      <c r="F8" s="7">
        <v>0.78565501591294507</v>
      </c>
    </row>
    <row r="9" spans="2:8" x14ac:dyDescent="0.25">
      <c r="B9" s="12">
        <v>4</v>
      </c>
      <c r="C9" s="7">
        <v>0.68995194601820597</v>
      </c>
      <c r="D9" s="7">
        <v>-2.0459768898512126E-2</v>
      </c>
      <c r="E9" s="7">
        <v>0.6745988739641221</v>
      </c>
      <c r="F9" s="7">
        <v>-0.22349221232912181</v>
      </c>
      <c r="H9" t="s">
        <v>76</v>
      </c>
    </row>
    <row r="10" spans="2:8" x14ac:dyDescent="0.25">
      <c r="B10" s="12">
        <v>5</v>
      </c>
      <c r="C10" s="7">
        <v>0.46768670557407505</v>
      </c>
      <c r="D10" s="7">
        <v>-0.18260270455613728</v>
      </c>
      <c r="E10" s="7">
        <v>0.40890284520518749</v>
      </c>
      <c r="F10" s="7">
        <v>-0.33104623202793071</v>
      </c>
    </row>
    <row r="11" spans="2:8" x14ac:dyDescent="0.25">
      <c r="B11" s="12">
        <v>6</v>
      </c>
      <c r="C11" s="7">
        <v>0.26279744933662302</v>
      </c>
      <c r="D11" s="7">
        <v>-0.39764074424368068</v>
      </c>
      <c r="E11" s="7">
        <v>0.14400078005998046</v>
      </c>
      <c r="F11" s="7">
        <v>-0.37097147136327713</v>
      </c>
    </row>
    <row r="12" spans="2:8" x14ac:dyDescent="0.25">
      <c r="B12" s="12">
        <v>7</v>
      </c>
      <c r="C12" s="7">
        <v>7.1477617332045371E-2</v>
      </c>
      <c r="D12" s="7">
        <v>-0.43999190678571026</v>
      </c>
      <c r="E12" s="7">
        <v>-9.3778141011031324E-2</v>
      </c>
      <c r="F12" s="7">
        <v>-0.42928595417499821</v>
      </c>
    </row>
    <row r="13" spans="2:8" x14ac:dyDescent="0.25">
      <c r="B13" s="12">
        <v>8</v>
      </c>
      <c r="C13" s="7">
        <v>-0.83398147782112486</v>
      </c>
      <c r="D13" s="7">
        <v>-0.50399534591178929</v>
      </c>
      <c r="E13" s="7">
        <v>-0.40344029720416857</v>
      </c>
      <c r="F13" s="7">
        <v>-0.47457951169009338</v>
      </c>
    </row>
    <row r="14" spans="2:8" x14ac:dyDescent="0.25">
      <c r="B14" s="12">
        <v>9</v>
      </c>
      <c r="C14" s="7"/>
      <c r="D14" s="7">
        <v>-0.53840807603353436</v>
      </c>
      <c r="E14" s="7">
        <v>-0.69008431406889836</v>
      </c>
      <c r="F14" s="7">
        <v>-0.54709689905924264</v>
      </c>
    </row>
    <row r="15" spans="2:8" x14ac:dyDescent="0.25">
      <c r="B15" s="12">
        <v>10</v>
      </c>
      <c r="C15" s="7">
        <v>-1.0569861349218475</v>
      </c>
      <c r="D15" s="7">
        <v>-0.6213164102875337</v>
      </c>
      <c r="E15" s="7">
        <v>-0.98281254964282216</v>
      </c>
      <c r="F15" s="7">
        <v>-0.63271027853624939</v>
      </c>
    </row>
    <row r="16" spans="2:8" x14ac:dyDescent="0.25">
      <c r="B16" s="12">
        <v>11</v>
      </c>
      <c r="C16" s="7">
        <v>-1.142298061215113</v>
      </c>
      <c r="D16" s="7">
        <v>-0.66614548322232514</v>
      </c>
      <c r="E16" s="7">
        <v>-1.2574700687244742</v>
      </c>
      <c r="F16" s="7">
        <v>-0.77398267960622846</v>
      </c>
    </row>
    <row r="17" spans="2:6" x14ac:dyDescent="0.25">
      <c r="B17" s="12">
        <v>12</v>
      </c>
      <c r="C17" s="7">
        <v>-1.3032038914030608</v>
      </c>
      <c r="D17" s="7">
        <v>-0.80141215390836296</v>
      </c>
      <c r="E17" s="7">
        <v>-1.5316433879590328</v>
      </c>
      <c r="F17" s="7">
        <v>-0.82455764591452263</v>
      </c>
    </row>
  </sheetData>
  <pageMargins left="0.7" right="0.7" top="0.75" bottom="0.75" header="0.3" footer="0.3"/>
  <pageSetup orientation="portrait" horizontalDpi="4294967293" verticalDpi="4294967293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autoPageBreaks="0"/>
  </sheetPr>
  <dimension ref="B3:D42"/>
  <sheetViews>
    <sheetView showGridLines="0" zoomScale="85" zoomScaleNormal="85" workbookViewId="0">
      <selection activeCell="D12" sqref="D12"/>
    </sheetView>
  </sheetViews>
  <sheetFormatPr defaultRowHeight="15" x14ac:dyDescent="0.25"/>
  <cols>
    <col min="2" max="2" width="13.28515625" customWidth="1"/>
    <col min="3" max="3" width="15.5703125" customWidth="1"/>
    <col min="4" max="4" width="18.7109375" customWidth="1"/>
    <col min="5" max="5" width="16" customWidth="1"/>
    <col min="6" max="6" width="11.5703125" bestFit="1" customWidth="1"/>
    <col min="7" max="13" width="11.5703125" customWidth="1"/>
    <col min="14" max="14" width="13" customWidth="1"/>
    <col min="15" max="23" width="11.5703125" customWidth="1"/>
    <col min="24" max="24" width="13" customWidth="1"/>
    <col min="25" max="33" width="11.5703125" customWidth="1"/>
    <col min="34" max="34" width="13" customWidth="1"/>
    <col min="35" max="43" width="11.5703125" customWidth="1"/>
    <col min="44" max="44" width="13" customWidth="1"/>
    <col min="45" max="52" width="11.5703125" customWidth="1"/>
    <col min="53" max="55" width="11.85546875" customWidth="1"/>
    <col min="56" max="56" width="9.42578125" customWidth="1"/>
    <col min="57" max="57" width="9" customWidth="1"/>
    <col min="58" max="58" width="8" customWidth="1"/>
    <col min="59" max="62" width="9" customWidth="1"/>
    <col min="63" max="63" width="10" customWidth="1"/>
    <col min="64" max="64" width="9" customWidth="1"/>
    <col min="65" max="65" width="10" customWidth="1"/>
    <col min="66" max="67" width="9" customWidth="1"/>
    <col min="68" max="68" width="8" customWidth="1"/>
    <col min="69" max="75" width="9" customWidth="1"/>
    <col min="76" max="76" width="8" customWidth="1"/>
    <col min="77" max="80" width="9" customWidth="1"/>
    <col min="81" max="81" width="8" customWidth="1"/>
    <col min="82" max="84" width="9" customWidth="1"/>
    <col min="85" max="85" width="8" customWidth="1"/>
    <col min="86" max="87" width="9" customWidth="1"/>
    <col min="88" max="92" width="10" customWidth="1"/>
    <col min="93" max="93" width="9" customWidth="1"/>
    <col min="94" max="94" width="8" customWidth="1"/>
    <col min="95" max="96" width="10" bestFit="1" customWidth="1"/>
    <col min="97" max="106" width="9" customWidth="1"/>
    <col min="107" max="107" width="8" customWidth="1"/>
    <col min="108" max="110" width="10" customWidth="1"/>
    <col min="111" max="112" width="9" customWidth="1"/>
    <col min="113" max="113" width="10" customWidth="1"/>
    <col min="114" max="115" width="9" customWidth="1"/>
    <col min="116" max="116" width="8" customWidth="1"/>
    <col min="117" max="118" width="9" customWidth="1"/>
    <col min="119" max="119" width="10" customWidth="1"/>
    <col min="120" max="120" width="8" customWidth="1"/>
    <col min="121" max="122" width="9" customWidth="1"/>
    <col min="123" max="123" width="8" customWidth="1"/>
    <col min="124" max="124" width="9" customWidth="1"/>
    <col min="125" max="128" width="8" customWidth="1"/>
    <col min="129" max="133" width="9" customWidth="1"/>
    <col min="134" max="137" width="8" customWidth="1"/>
    <col min="138" max="141" width="9" customWidth="1"/>
    <col min="142" max="142" width="10" bestFit="1" customWidth="1"/>
  </cols>
  <sheetData>
    <row r="3" spans="2:4" x14ac:dyDescent="0.25">
      <c r="B3" s="9" t="s">
        <v>61</v>
      </c>
      <c r="C3" t="s">
        <v>74</v>
      </c>
      <c r="D3" t="s">
        <v>75</v>
      </c>
    </row>
    <row r="4" spans="2:4" x14ac:dyDescent="0.25">
      <c r="B4" s="10">
        <v>1</v>
      </c>
      <c r="C4" s="7">
        <v>0.45117273945220426</v>
      </c>
      <c r="D4" s="7">
        <v>0.80703241783816337</v>
      </c>
    </row>
    <row r="5" spans="2:4" x14ac:dyDescent="0.25">
      <c r="B5" s="10">
        <v>3</v>
      </c>
      <c r="C5" s="7">
        <v>0.74014749301198324</v>
      </c>
      <c r="D5" s="7">
        <v>0.38823438201751481</v>
      </c>
    </row>
    <row r="6" spans="2:4" x14ac:dyDescent="0.25">
      <c r="B6" s="10">
        <v>0</v>
      </c>
      <c r="C6" s="7">
        <v>0.42185017476172121</v>
      </c>
      <c r="D6" s="7">
        <v>0.26840878863891759</v>
      </c>
    </row>
    <row r="7" spans="2:4" x14ac:dyDescent="0.25">
      <c r="B7" s="10">
        <v>2</v>
      </c>
      <c r="C7" s="7">
        <v>2.9033261301229591E-2</v>
      </c>
      <c r="D7" s="7">
        <v>0.16238804867118789</v>
      </c>
    </row>
    <row r="33" spans="4:4" x14ac:dyDescent="0.25">
      <c r="D33" s="7"/>
    </row>
    <row r="42" spans="4:4" x14ac:dyDescent="0.25">
      <c r="D42" s="7"/>
    </row>
  </sheetData>
  <pageMargins left="0.7" right="0.7" top="0.75" bottom="0.75" header="0.3" footer="0.3"/>
  <pageSetup orientation="portrait" horizontalDpi="4294967293" vertic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2:D6"/>
  <sheetViews>
    <sheetView showGridLines="0" workbookViewId="0">
      <selection activeCell="G13" sqref="G13"/>
    </sheetView>
  </sheetViews>
  <sheetFormatPr defaultRowHeight="15" x14ac:dyDescent="0.25"/>
  <cols>
    <col min="2" max="2" width="2.85546875" bestFit="1" customWidth="1"/>
    <col min="3" max="3" width="20.5703125" bestFit="1" customWidth="1"/>
    <col min="4" max="4" width="6.85546875" customWidth="1"/>
  </cols>
  <sheetData>
    <row r="2" spans="2:4" x14ac:dyDescent="0.25">
      <c r="B2" t="s">
        <v>0</v>
      </c>
      <c r="C2" t="s">
        <v>10</v>
      </c>
      <c r="D2" t="s">
        <v>11</v>
      </c>
    </row>
    <row r="3" spans="2:4" x14ac:dyDescent="0.25">
      <c r="B3">
        <v>1</v>
      </c>
      <c r="C3" t="s">
        <v>19</v>
      </c>
      <c r="D3">
        <f ca="1">RANDBETWEEN(90,110)</f>
        <v>104</v>
      </c>
    </row>
    <row r="5" spans="2:4" x14ac:dyDescent="0.25">
      <c r="B5" t="s">
        <v>0</v>
      </c>
      <c r="C5" t="s">
        <v>9</v>
      </c>
      <c r="D5" t="s">
        <v>11</v>
      </c>
    </row>
    <row r="6" spans="2:4" x14ac:dyDescent="0.25">
      <c r="B6">
        <v>1</v>
      </c>
      <c r="C6" t="s">
        <v>12</v>
      </c>
      <c r="D6">
        <f ca="1">BasePrice_Params[VALUE]</f>
        <v>104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2:F58"/>
  <sheetViews>
    <sheetView showGridLines="0" workbookViewId="0">
      <selection activeCell="E17" sqref="E17"/>
    </sheetView>
  </sheetViews>
  <sheetFormatPr defaultRowHeight="15" x14ac:dyDescent="0.25"/>
  <cols>
    <col min="2" max="2" width="5" customWidth="1"/>
    <col min="3" max="3" width="34.42578125" bestFit="1" customWidth="1"/>
    <col min="4" max="4" width="18.42578125" bestFit="1" customWidth="1"/>
    <col min="5" max="5" width="12.85546875" bestFit="1" customWidth="1"/>
    <col min="6" max="6" width="11.7109375" bestFit="1" customWidth="1"/>
    <col min="7" max="7" width="8.140625" bestFit="1" customWidth="1"/>
  </cols>
  <sheetData>
    <row r="2" spans="2:6" x14ac:dyDescent="0.25">
      <c r="B2" t="s">
        <v>0</v>
      </c>
      <c r="C2" t="s">
        <v>10</v>
      </c>
      <c r="D2" t="s">
        <v>11</v>
      </c>
    </row>
    <row r="3" spans="2:6" x14ac:dyDescent="0.25">
      <c r="B3">
        <v>1</v>
      </c>
      <c r="C3" t="s">
        <v>12</v>
      </c>
      <c r="D3">
        <f ca="1">BasePrice_Output[VALUE]</f>
        <v>104</v>
      </c>
    </row>
    <row r="4" spans="2:6" x14ac:dyDescent="0.25">
      <c r="B4">
        <v>2</v>
      </c>
      <c r="C4" t="s">
        <v>20</v>
      </c>
      <c r="D4">
        <f ca="1">RANDBETWEEN(2,3)</f>
        <v>2</v>
      </c>
    </row>
    <row r="5" spans="2:6" x14ac:dyDescent="0.25">
      <c r="B5">
        <v>3</v>
      </c>
      <c r="C5" t="s">
        <v>21</v>
      </c>
      <c r="D5">
        <f ca="1">RANDBETWEEN(0,6)</f>
        <v>0</v>
      </c>
    </row>
    <row r="6" spans="2:6" x14ac:dyDescent="0.25">
      <c r="B6">
        <v>4</v>
      </c>
      <c r="C6" t="s">
        <v>22</v>
      </c>
      <c r="D6">
        <f ca="1">RANDBETWEEN(0,7-D5-1)</f>
        <v>1</v>
      </c>
    </row>
    <row r="7" spans="2:6" x14ac:dyDescent="0.25">
      <c r="B7">
        <v>5</v>
      </c>
      <c r="C7" t="s">
        <v>24</v>
      </c>
      <c r="D7" s="3">
        <f ca="1">RANDBETWEEN(60000,80000)/100000</f>
        <v>0.61590999999999996</v>
      </c>
    </row>
    <row r="9" spans="2:6" x14ac:dyDescent="0.25">
      <c r="B9" t="s">
        <v>0</v>
      </c>
      <c r="C9" t="s">
        <v>15</v>
      </c>
      <c r="D9" t="s">
        <v>29</v>
      </c>
      <c r="E9" t="s">
        <v>16</v>
      </c>
      <c r="F9" t="s">
        <v>17</v>
      </c>
    </row>
    <row r="10" spans="2:6" x14ac:dyDescent="0.25">
      <c r="B10">
        <v>1</v>
      </c>
      <c r="C10" t="s">
        <v>31</v>
      </c>
      <c r="D10">
        <f ca="1">D5</f>
        <v>0</v>
      </c>
      <c r="E10">
        <f ca="1">SUM($D$10:D10)-Regime_0_Phase[[#This Row],[LENGTH]]</f>
        <v>0</v>
      </c>
      <c r="F10">
        <f ca="1">Regime_0_Phase[[#This Row],[BEG_PHASE]]+Regime_0_Phase[[#This Row],[LENGTH]]</f>
        <v>0</v>
      </c>
    </row>
    <row r="11" spans="2:6" x14ac:dyDescent="0.25">
      <c r="B11">
        <v>2</v>
      </c>
      <c r="C11" t="s">
        <v>33</v>
      </c>
      <c r="D11">
        <f ca="1">D4</f>
        <v>2</v>
      </c>
      <c r="E11">
        <f ca="1">SUM($D$10:D11)-Regime_0_Phase[[#This Row],[LENGTH]]</f>
        <v>0</v>
      </c>
      <c r="F11">
        <f ca="1">Regime_0_Phase[[#This Row],[BEG_PHASE]]+Regime_0_Phase[[#This Row],[LENGTH]]</f>
        <v>2</v>
      </c>
    </row>
    <row r="12" spans="2:6" x14ac:dyDescent="0.25">
      <c r="B12">
        <v>3</v>
      </c>
      <c r="C12" t="s">
        <v>32</v>
      </c>
      <c r="D12">
        <f ca="1">7-D5-D6</f>
        <v>6</v>
      </c>
      <c r="E12">
        <f ca="1">SUM($D$10:D12)-Regime_0_Phase[[#This Row],[LENGTH]]</f>
        <v>2</v>
      </c>
      <c r="F12">
        <f ca="1">Regime_0_Phase[[#This Row],[BEG_PHASE]]+Regime_0_Phase[[#This Row],[LENGTH]]</f>
        <v>8</v>
      </c>
    </row>
    <row r="13" spans="2:6" x14ac:dyDescent="0.25">
      <c r="B13">
        <v>4</v>
      </c>
      <c r="C13" t="s">
        <v>34</v>
      </c>
      <c r="D13">
        <f ca="1">5-D4</f>
        <v>3</v>
      </c>
      <c r="E13">
        <f ca="1">SUM($D$10:D13)-Regime_0_Phase[[#This Row],[LENGTH]]</f>
        <v>8</v>
      </c>
      <c r="F13">
        <f ca="1">Regime_0_Phase[[#This Row],[BEG_PHASE]]+Regime_0_Phase[[#This Row],[LENGTH]]</f>
        <v>11</v>
      </c>
    </row>
    <row r="14" spans="2:6" x14ac:dyDescent="0.25">
      <c r="B14">
        <v>5</v>
      </c>
      <c r="C14" t="s">
        <v>35</v>
      </c>
      <c r="D14">
        <f ca="1">D6</f>
        <v>1</v>
      </c>
      <c r="E14">
        <f ca="1">SUM($D$10:D14)-Regime_0_Phase[[#This Row],[LENGTH]]</f>
        <v>11</v>
      </c>
      <c r="F14">
        <f ca="1">Regime_0_Phase[[#This Row],[BEG_PHASE]]+Regime_0_Phase[[#This Row],[LENGTH]]</f>
        <v>12</v>
      </c>
    </row>
    <row r="16" spans="2:6" x14ac:dyDescent="0.25">
      <c r="B16" t="s">
        <v>0</v>
      </c>
      <c r="C16" t="s">
        <v>14</v>
      </c>
      <c r="D16" t="s">
        <v>3</v>
      </c>
      <c r="E16" t="s">
        <v>23</v>
      </c>
    </row>
    <row r="17" spans="2:6" x14ac:dyDescent="0.25">
      <c r="B17">
        <v>1</v>
      </c>
      <c r="C17" t="s">
        <v>30</v>
      </c>
      <c r="D17" t="str">
        <f>Regime_0_Rate[[#This Row],[TYPE]]&amp;"_"&amp;COUNTIFS($C$17:C17,Regime_0_Rate[[#This Row],[TYPE]])</f>
        <v>UP_1</v>
      </c>
      <c r="E17" s="7">
        <f t="shared" ref="E17:E22" ca="1" si="0">RANDBETWEEN(90000,140000)/100000</f>
        <v>1.0900399999999999</v>
      </c>
    </row>
    <row r="18" spans="2:6" x14ac:dyDescent="0.25">
      <c r="B18">
        <v>2</v>
      </c>
      <c r="C18" t="s">
        <v>30</v>
      </c>
      <c r="D18" t="str">
        <f>Regime_0_Rate[[#This Row],[TYPE]]&amp;"_"&amp;COUNTIFS($C$17:C18,Regime_0_Rate[[#This Row],[TYPE]])</f>
        <v>UP_2</v>
      </c>
      <c r="E18" s="7">
        <f t="shared" ca="1" si="0"/>
        <v>1.0584800000000001</v>
      </c>
    </row>
    <row r="19" spans="2:6" x14ac:dyDescent="0.25">
      <c r="B19">
        <v>3</v>
      </c>
      <c r="C19" t="s">
        <v>30</v>
      </c>
      <c r="D19" t="str">
        <f>Regime_0_Rate[[#This Row],[TYPE]]&amp;"_"&amp;COUNTIFS($C$17:C19,Regime_0_Rate[[#This Row],[TYPE]])</f>
        <v>UP_3</v>
      </c>
      <c r="E19" s="7">
        <f t="shared" ca="1" si="0"/>
        <v>1.0352600000000001</v>
      </c>
    </row>
    <row r="20" spans="2:6" x14ac:dyDescent="0.25">
      <c r="B20">
        <v>4</v>
      </c>
      <c r="C20" t="s">
        <v>30</v>
      </c>
      <c r="D20" t="str">
        <f>Regime_0_Rate[[#This Row],[TYPE]]&amp;"_"&amp;COUNTIFS($C$17:C20,Regime_0_Rate[[#This Row],[TYPE]])</f>
        <v>UP_4</v>
      </c>
      <c r="E20" s="7">
        <f t="shared" ca="1" si="0"/>
        <v>0.95481000000000005</v>
      </c>
    </row>
    <row r="21" spans="2:6" x14ac:dyDescent="0.25">
      <c r="B21">
        <v>5</v>
      </c>
      <c r="C21" t="s">
        <v>30</v>
      </c>
      <c r="D21" t="str">
        <f>Regime_0_Rate[[#This Row],[TYPE]]&amp;"_"&amp;COUNTIFS($C$17:C21,Regime_0_Rate[[#This Row],[TYPE]])</f>
        <v>UP_5</v>
      </c>
      <c r="E21" s="7">
        <f t="shared" ca="1" si="0"/>
        <v>0.96894999999999998</v>
      </c>
    </row>
    <row r="22" spans="2:6" x14ac:dyDescent="0.25">
      <c r="B22">
        <v>6</v>
      </c>
      <c r="C22" t="s">
        <v>30</v>
      </c>
      <c r="D22" t="str">
        <f>Regime_0_Rate[[#This Row],[TYPE]]&amp;"_"&amp;COUNTIFS($C$17:C22,Regime_0_Rate[[#This Row],[TYPE]])</f>
        <v>UP_6</v>
      </c>
      <c r="E22" s="7">
        <f t="shared" ca="1" si="0"/>
        <v>1.1996100000000001</v>
      </c>
    </row>
    <row r="23" spans="2:6" x14ac:dyDescent="0.25">
      <c r="B23">
        <v>7</v>
      </c>
      <c r="C23" t="s">
        <v>30</v>
      </c>
      <c r="D23" t="str">
        <f>Regime_0_Rate[[#This Row],[TYPE]]&amp;"_"&amp;COUNTIFS($C$17:C23,Regime_0_Rate[[#This Row],[TYPE]])</f>
        <v>UP_7</v>
      </c>
      <c r="E23" s="7">
        <f ca="1">RANDBETWEEN(90000,140000)/100000</f>
        <v>1.0496000000000001</v>
      </c>
    </row>
    <row r="24" spans="2:6" x14ac:dyDescent="0.25">
      <c r="B24">
        <v>8</v>
      </c>
      <c r="C24" t="s">
        <v>33</v>
      </c>
      <c r="D24" t="str">
        <f>Regime_0_Rate[[#This Row],[TYPE]]&amp;"_"&amp;COUNTIFS($C$17:C24,Regime_0_Rate[[#This Row],[TYPE]])</f>
        <v>DESC_1_1</v>
      </c>
      <c r="E24" s="7">
        <f ca="1">$D$7</f>
        <v>0.61590999999999996</v>
      </c>
    </row>
    <row r="25" spans="2:6" x14ac:dyDescent="0.25">
      <c r="B25">
        <v>9</v>
      </c>
      <c r="C25" t="s">
        <v>33</v>
      </c>
      <c r="D25" t="str">
        <f>Regime_0_Rate[[#This Row],[TYPE]]&amp;"_"&amp;COUNTIFS($C$17:C25,Regime_0_Rate[[#This Row],[TYPE]])</f>
        <v>DESC_1_2</v>
      </c>
      <c r="E25" s="7">
        <f ca="1">E24-RANDBETWEEN(4000,10000)/100000</f>
        <v>0.55421999999999993</v>
      </c>
    </row>
    <row r="26" spans="2:6" x14ac:dyDescent="0.25">
      <c r="B26">
        <v>10</v>
      </c>
      <c r="C26" t="str">
        <f ca="1">IF(D4=2,"DESC_2","DESC_1")</f>
        <v>DESC_2</v>
      </c>
      <c r="D26" t="str">
        <f ca="1">Regime_0_Rate[[#This Row],[TYPE]]&amp;"_"&amp;COUNTIFS($C$17:C26,Regime_0_Rate[[#This Row],[TYPE]])</f>
        <v>DESC_2_1</v>
      </c>
      <c r="E26" s="7">
        <f ca="1">IF(Regime_0_Rate[[#This Row],[TYPE]]="DESC_1",E25-RANDBETWEEN(4000,10000)/100000,$D$7)</f>
        <v>0.61590999999999996</v>
      </c>
    </row>
    <row r="27" spans="2:6" x14ac:dyDescent="0.25">
      <c r="B27">
        <v>11</v>
      </c>
      <c r="C27" t="s">
        <v>34</v>
      </c>
      <c r="D27" t="str">
        <f ca="1">Regime_0_Rate[[#This Row],[TYPE]]&amp;"_"&amp;COUNTIFS($C$17:C27,Regime_0_Rate[[#This Row],[TYPE]])</f>
        <v>DESC_2_2</v>
      </c>
      <c r="E27" s="7">
        <f ca="1">IF($C$26="DESC_1",$D$7,E26-RANDBETWEEN(4000,10000)/100000)</f>
        <v>0.56246999999999991</v>
      </c>
    </row>
    <row r="28" spans="2:6" x14ac:dyDescent="0.25">
      <c r="B28">
        <v>12</v>
      </c>
      <c r="C28" t="s">
        <v>34</v>
      </c>
      <c r="D28" t="str">
        <f ca="1">Regime_0_Rate[[#This Row],[TYPE]]&amp;"_"&amp;COUNTIFS($C$17:C28,Regime_0_Rate[[#This Row],[TYPE]])</f>
        <v>DESC_2_3</v>
      </c>
      <c r="E28" s="7">
        <f ca="1">E27-RANDBETWEEN(4000,10000)/100000</f>
        <v>0.51793999999999996</v>
      </c>
    </row>
    <row r="30" spans="2:6" x14ac:dyDescent="0.25">
      <c r="B30" t="s">
        <v>0</v>
      </c>
      <c r="C30" t="s">
        <v>15</v>
      </c>
      <c r="D30" t="s">
        <v>38</v>
      </c>
      <c r="E30" t="s">
        <v>37</v>
      </c>
      <c r="F30" t="s">
        <v>23</v>
      </c>
    </row>
    <row r="31" spans="2:6" x14ac:dyDescent="0.25">
      <c r="B31">
        <v>1</v>
      </c>
      <c r="C31" t="str">
        <f ca="1">VLOOKUP(SUMIFS(Regime_0_Phase[ID],Regime_0_Phase[BEG_PHASE],"&lt;"&amp;Regime_0_PhaseRate[[#This Row],[ID]],Regime_0_Phase[END_PHASE],"&gt;="&amp;Regime_0_PhaseRate[[#This Row],[ID]]),Regime_0_Phase[[ID]:[PHASE]],2,0)</f>
        <v>DESC_1</v>
      </c>
      <c r="D31" s="7" t="str">
        <f ca="1">IF(LEFT(Regime_0_PhaseRate[[#This Row],[PHASE]],3)="ASC","UP",Regime_0_PhaseRate[[#This Row],[PHASE]])</f>
        <v>DESC_1</v>
      </c>
      <c r="E31" s="4" t="str">
        <f ca="1">Regime_0_PhaseRate[[#This Row],[RATE_TYPE]]&amp;"_"&amp;COUNTIFS($D$31:D31,Regime_0_PhaseRate[[#This Row],[RATE_TYPE]])</f>
        <v>DESC_1_1</v>
      </c>
      <c r="F31" s="7">
        <f ca="1">VLOOKUP(Regime_0_PhaseRate[[#This Row],[RATE_NAME]],Regime_0_Rate[[NAME]:[RATE]],2,0)</f>
        <v>0.61590999999999996</v>
      </c>
    </row>
    <row r="32" spans="2:6" x14ac:dyDescent="0.25">
      <c r="B32">
        <v>2</v>
      </c>
      <c r="C32" t="str">
        <f ca="1">VLOOKUP(SUMIFS(Regime_0_Phase[ID],Regime_0_Phase[BEG_PHASE],"&lt;"&amp;Regime_0_PhaseRate[[#This Row],[ID]],Regime_0_Phase[END_PHASE],"&gt;="&amp;Regime_0_PhaseRate[[#This Row],[ID]]),Regime_0_Phase[[ID]:[PHASE]],2,0)</f>
        <v>DESC_1</v>
      </c>
      <c r="D32" s="7" t="str">
        <f ca="1">IF(LEFT(Regime_0_PhaseRate[[#This Row],[PHASE]],3)="ASC","UP",Regime_0_PhaseRate[[#This Row],[PHASE]])</f>
        <v>DESC_1</v>
      </c>
      <c r="E32" s="4" t="str">
        <f ca="1">Regime_0_PhaseRate[[#This Row],[RATE_TYPE]]&amp;"_"&amp;COUNTIFS($D$31:D32,Regime_0_PhaseRate[[#This Row],[RATE_TYPE]])</f>
        <v>DESC_1_2</v>
      </c>
      <c r="F32" s="7">
        <f ca="1">VLOOKUP(Regime_0_PhaseRate[[#This Row],[RATE_NAME]],Regime_0_Rate[[NAME]:[RATE]],2,0)</f>
        <v>0.55421999999999993</v>
      </c>
    </row>
    <row r="33" spans="2:6" x14ac:dyDescent="0.25">
      <c r="B33">
        <v>3</v>
      </c>
      <c r="C33" t="str">
        <f ca="1">VLOOKUP(SUMIFS(Regime_0_Phase[ID],Regime_0_Phase[BEG_PHASE],"&lt;"&amp;Regime_0_PhaseRate[[#This Row],[ID]],Regime_0_Phase[END_PHASE],"&gt;="&amp;Regime_0_PhaseRate[[#This Row],[ID]]),Regime_0_Phase[[ID]:[PHASE]],2,0)</f>
        <v>ASC_2</v>
      </c>
      <c r="D33" s="7" t="str">
        <f ca="1">IF(LEFT(Regime_0_PhaseRate[[#This Row],[PHASE]],3)="ASC","UP",Regime_0_PhaseRate[[#This Row],[PHASE]])</f>
        <v>UP</v>
      </c>
      <c r="E33" s="4" t="str">
        <f ca="1">Regime_0_PhaseRate[[#This Row],[RATE_TYPE]]&amp;"_"&amp;COUNTIFS($D$31:D33,Regime_0_PhaseRate[[#This Row],[RATE_TYPE]])</f>
        <v>UP_1</v>
      </c>
      <c r="F33" s="7">
        <f ca="1">VLOOKUP(Regime_0_PhaseRate[[#This Row],[RATE_NAME]],Regime_0_Rate[[NAME]:[RATE]],2,0)</f>
        <v>1.0900399999999999</v>
      </c>
    </row>
    <row r="34" spans="2:6" x14ac:dyDescent="0.25">
      <c r="B34">
        <v>4</v>
      </c>
      <c r="C34" t="str">
        <f ca="1">VLOOKUP(SUMIFS(Regime_0_Phase[ID],Regime_0_Phase[BEG_PHASE],"&lt;"&amp;Regime_0_PhaseRate[[#This Row],[ID]],Regime_0_Phase[END_PHASE],"&gt;="&amp;Regime_0_PhaseRate[[#This Row],[ID]]),Regime_0_Phase[[ID]:[PHASE]],2,0)</f>
        <v>ASC_2</v>
      </c>
      <c r="D34" s="7" t="str">
        <f ca="1">IF(LEFT(Regime_0_PhaseRate[[#This Row],[PHASE]],3)="ASC","UP",Regime_0_PhaseRate[[#This Row],[PHASE]])</f>
        <v>UP</v>
      </c>
      <c r="E34" s="4" t="str">
        <f ca="1">Regime_0_PhaseRate[[#This Row],[RATE_TYPE]]&amp;"_"&amp;COUNTIFS($D$31:D34,Regime_0_PhaseRate[[#This Row],[RATE_TYPE]])</f>
        <v>UP_2</v>
      </c>
      <c r="F34" s="7">
        <f ca="1">VLOOKUP(Regime_0_PhaseRate[[#This Row],[RATE_NAME]],Regime_0_Rate[[NAME]:[RATE]],2,0)</f>
        <v>1.0584800000000001</v>
      </c>
    </row>
    <row r="35" spans="2:6" x14ac:dyDescent="0.25">
      <c r="B35">
        <v>5</v>
      </c>
      <c r="C35" t="str">
        <f ca="1">VLOOKUP(SUMIFS(Regime_0_Phase[ID],Regime_0_Phase[BEG_PHASE],"&lt;"&amp;Regime_0_PhaseRate[[#This Row],[ID]],Regime_0_Phase[END_PHASE],"&gt;="&amp;Regime_0_PhaseRate[[#This Row],[ID]]),Regime_0_Phase[[ID]:[PHASE]],2,0)</f>
        <v>ASC_2</v>
      </c>
      <c r="D35" s="7" t="str">
        <f ca="1">IF(LEFT(Regime_0_PhaseRate[[#This Row],[PHASE]],3)="ASC","UP",Regime_0_PhaseRate[[#This Row],[PHASE]])</f>
        <v>UP</v>
      </c>
      <c r="E35" s="4" t="str">
        <f ca="1">Regime_0_PhaseRate[[#This Row],[RATE_TYPE]]&amp;"_"&amp;COUNTIFS($D$31:D35,Regime_0_PhaseRate[[#This Row],[RATE_TYPE]])</f>
        <v>UP_3</v>
      </c>
      <c r="F35" s="7">
        <f ca="1">VLOOKUP(Regime_0_PhaseRate[[#This Row],[RATE_NAME]],Regime_0_Rate[[NAME]:[RATE]],2,0)</f>
        <v>1.0352600000000001</v>
      </c>
    </row>
    <row r="36" spans="2:6" x14ac:dyDescent="0.25">
      <c r="B36">
        <v>6</v>
      </c>
      <c r="C36" t="str">
        <f ca="1">VLOOKUP(SUMIFS(Regime_0_Phase[ID],Regime_0_Phase[BEG_PHASE],"&lt;"&amp;Regime_0_PhaseRate[[#This Row],[ID]],Regime_0_Phase[END_PHASE],"&gt;="&amp;Regime_0_PhaseRate[[#This Row],[ID]]),Regime_0_Phase[[ID]:[PHASE]],2,0)</f>
        <v>ASC_2</v>
      </c>
      <c r="D36" s="7" t="str">
        <f ca="1">IF(LEFT(Regime_0_PhaseRate[[#This Row],[PHASE]],3)="ASC","UP",Regime_0_PhaseRate[[#This Row],[PHASE]])</f>
        <v>UP</v>
      </c>
      <c r="E36" s="4" t="str">
        <f ca="1">Regime_0_PhaseRate[[#This Row],[RATE_TYPE]]&amp;"_"&amp;COUNTIFS($D$31:D36,Regime_0_PhaseRate[[#This Row],[RATE_TYPE]])</f>
        <v>UP_4</v>
      </c>
      <c r="F36" s="7">
        <f ca="1">VLOOKUP(Regime_0_PhaseRate[[#This Row],[RATE_NAME]],Regime_0_Rate[[NAME]:[RATE]],2,0)</f>
        <v>0.95481000000000005</v>
      </c>
    </row>
    <row r="37" spans="2:6" x14ac:dyDescent="0.25">
      <c r="B37">
        <v>7</v>
      </c>
      <c r="C37" t="str">
        <f ca="1">VLOOKUP(SUMIFS(Regime_0_Phase[ID],Regime_0_Phase[BEG_PHASE],"&lt;"&amp;Regime_0_PhaseRate[[#This Row],[ID]],Regime_0_Phase[END_PHASE],"&gt;="&amp;Regime_0_PhaseRate[[#This Row],[ID]]),Regime_0_Phase[[ID]:[PHASE]],2,0)</f>
        <v>ASC_2</v>
      </c>
      <c r="D37" s="7" t="str">
        <f ca="1">IF(LEFT(Regime_0_PhaseRate[[#This Row],[PHASE]],3)="ASC","UP",Regime_0_PhaseRate[[#This Row],[PHASE]])</f>
        <v>UP</v>
      </c>
      <c r="E37" s="4" t="str">
        <f ca="1">Regime_0_PhaseRate[[#This Row],[RATE_TYPE]]&amp;"_"&amp;COUNTIFS($D$31:D37,Regime_0_PhaseRate[[#This Row],[RATE_TYPE]])</f>
        <v>UP_5</v>
      </c>
      <c r="F37" s="7">
        <f ca="1">VLOOKUP(Regime_0_PhaseRate[[#This Row],[RATE_NAME]],Regime_0_Rate[[NAME]:[RATE]],2,0)</f>
        <v>0.96894999999999998</v>
      </c>
    </row>
    <row r="38" spans="2:6" x14ac:dyDescent="0.25">
      <c r="B38">
        <v>8</v>
      </c>
      <c r="C38" t="str">
        <f ca="1">VLOOKUP(SUMIFS(Regime_0_Phase[ID],Regime_0_Phase[BEG_PHASE],"&lt;"&amp;Regime_0_PhaseRate[[#This Row],[ID]],Regime_0_Phase[END_PHASE],"&gt;="&amp;Regime_0_PhaseRate[[#This Row],[ID]]),Regime_0_Phase[[ID]:[PHASE]],2,0)</f>
        <v>ASC_2</v>
      </c>
      <c r="D38" s="7" t="str">
        <f ca="1">IF(LEFT(Regime_0_PhaseRate[[#This Row],[PHASE]],3)="ASC","UP",Regime_0_PhaseRate[[#This Row],[PHASE]])</f>
        <v>UP</v>
      </c>
      <c r="E38" s="4" t="str">
        <f ca="1">Regime_0_PhaseRate[[#This Row],[RATE_TYPE]]&amp;"_"&amp;COUNTIFS($D$31:D38,Regime_0_PhaseRate[[#This Row],[RATE_TYPE]])</f>
        <v>UP_6</v>
      </c>
      <c r="F38" s="7">
        <f ca="1">VLOOKUP(Regime_0_PhaseRate[[#This Row],[RATE_NAME]],Regime_0_Rate[[NAME]:[RATE]],2,0)</f>
        <v>1.1996100000000001</v>
      </c>
    </row>
    <row r="39" spans="2:6" x14ac:dyDescent="0.25">
      <c r="B39">
        <v>9</v>
      </c>
      <c r="C39" t="str">
        <f ca="1">VLOOKUP(SUMIFS(Regime_0_Phase[ID],Regime_0_Phase[BEG_PHASE],"&lt;"&amp;Regime_0_PhaseRate[[#This Row],[ID]],Regime_0_Phase[END_PHASE],"&gt;="&amp;Regime_0_PhaseRate[[#This Row],[ID]]),Regime_0_Phase[[ID]:[PHASE]],2,0)</f>
        <v>DESC_2</v>
      </c>
      <c r="D39" s="7" t="str">
        <f ca="1">IF(LEFT(Regime_0_PhaseRate[[#This Row],[PHASE]],3)="ASC","UP",Regime_0_PhaseRate[[#This Row],[PHASE]])</f>
        <v>DESC_2</v>
      </c>
      <c r="E39" s="4" t="str">
        <f ca="1">Regime_0_PhaseRate[[#This Row],[RATE_TYPE]]&amp;"_"&amp;COUNTIFS($D$31:D39,Regime_0_PhaseRate[[#This Row],[RATE_TYPE]])</f>
        <v>DESC_2_1</v>
      </c>
      <c r="F39" s="7">
        <f ca="1">VLOOKUP(Regime_0_PhaseRate[[#This Row],[RATE_NAME]],Regime_0_Rate[[NAME]:[RATE]],2,0)</f>
        <v>0.61590999999999996</v>
      </c>
    </row>
    <row r="40" spans="2:6" x14ac:dyDescent="0.25">
      <c r="B40">
        <v>10</v>
      </c>
      <c r="C40" t="str">
        <f ca="1">VLOOKUP(SUMIFS(Regime_0_Phase[ID],Regime_0_Phase[BEG_PHASE],"&lt;"&amp;Regime_0_PhaseRate[[#This Row],[ID]],Regime_0_Phase[END_PHASE],"&gt;="&amp;Regime_0_PhaseRate[[#This Row],[ID]]),Regime_0_Phase[[ID]:[PHASE]],2,0)</f>
        <v>DESC_2</v>
      </c>
      <c r="D40" s="7" t="str">
        <f ca="1">IF(LEFT(Regime_0_PhaseRate[[#This Row],[PHASE]],3)="ASC","UP",Regime_0_PhaseRate[[#This Row],[PHASE]])</f>
        <v>DESC_2</v>
      </c>
      <c r="E40" s="4" t="str">
        <f ca="1">Regime_0_PhaseRate[[#This Row],[RATE_TYPE]]&amp;"_"&amp;COUNTIFS($D$31:D40,Regime_0_PhaseRate[[#This Row],[RATE_TYPE]])</f>
        <v>DESC_2_2</v>
      </c>
      <c r="F40" s="7">
        <f ca="1">VLOOKUP(Regime_0_PhaseRate[[#This Row],[RATE_NAME]],Regime_0_Rate[[NAME]:[RATE]],2,0)</f>
        <v>0.56246999999999991</v>
      </c>
    </row>
    <row r="41" spans="2:6" x14ac:dyDescent="0.25">
      <c r="B41">
        <v>11</v>
      </c>
      <c r="C41" t="str">
        <f ca="1">VLOOKUP(SUMIFS(Regime_0_Phase[ID],Regime_0_Phase[BEG_PHASE],"&lt;"&amp;Regime_0_PhaseRate[[#This Row],[ID]],Regime_0_Phase[END_PHASE],"&gt;="&amp;Regime_0_PhaseRate[[#This Row],[ID]]),Regime_0_Phase[[ID]:[PHASE]],2,0)</f>
        <v>DESC_2</v>
      </c>
      <c r="D41" s="7" t="str">
        <f ca="1">IF(LEFT(Regime_0_PhaseRate[[#This Row],[PHASE]],3)="ASC","UP",Regime_0_PhaseRate[[#This Row],[PHASE]])</f>
        <v>DESC_2</v>
      </c>
      <c r="E41" s="4" t="str">
        <f ca="1">Regime_0_PhaseRate[[#This Row],[RATE_TYPE]]&amp;"_"&amp;COUNTIFS($D$31:D41,Regime_0_PhaseRate[[#This Row],[RATE_TYPE]])</f>
        <v>DESC_2_3</v>
      </c>
      <c r="F41" s="7">
        <f ca="1">VLOOKUP(Regime_0_PhaseRate[[#This Row],[RATE_NAME]],Regime_0_Rate[[NAME]:[RATE]],2,0)</f>
        <v>0.51793999999999996</v>
      </c>
    </row>
    <row r="42" spans="2:6" x14ac:dyDescent="0.25">
      <c r="B42">
        <v>12</v>
      </c>
      <c r="C42" t="str">
        <f ca="1">VLOOKUP(SUMIFS(Regime_0_Phase[ID],Regime_0_Phase[BEG_PHASE],"&lt;"&amp;Regime_0_PhaseRate[[#This Row],[ID]],Regime_0_Phase[END_PHASE],"&gt;="&amp;Regime_0_PhaseRate[[#This Row],[ID]]),Regime_0_Phase[[ID]:[PHASE]],2,0)</f>
        <v>ASC_3</v>
      </c>
      <c r="D42" s="7" t="str">
        <f ca="1">IF(LEFT(Regime_0_PhaseRate[[#This Row],[PHASE]],3)="ASC","UP",Regime_0_PhaseRate[[#This Row],[PHASE]])</f>
        <v>UP</v>
      </c>
      <c r="E42" s="4" t="str">
        <f ca="1">Regime_0_PhaseRate[[#This Row],[RATE_TYPE]]&amp;"_"&amp;COUNTIFS($D$31:D42,Regime_0_PhaseRate[[#This Row],[RATE_TYPE]])</f>
        <v>UP_7</v>
      </c>
      <c r="F42" s="7">
        <f ca="1">VLOOKUP(Regime_0_PhaseRate[[#This Row],[RATE_NAME]],Regime_0_Rate[[NAME]:[RATE]],2,0)</f>
        <v>1.0496000000000001</v>
      </c>
    </row>
    <row r="45" spans="2:6" x14ac:dyDescent="0.25">
      <c r="B45" t="s">
        <v>0</v>
      </c>
      <c r="C45" t="s">
        <v>9</v>
      </c>
      <c r="D45" t="s">
        <v>11</v>
      </c>
    </row>
    <row r="46" spans="2:6" x14ac:dyDescent="0.25">
      <c r="B46">
        <v>0</v>
      </c>
      <c r="C46" t="str">
        <f>"PRICE_"&amp;Regime_0_Output[[#This Row],[ID]]</f>
        <v>PRICE_0</v>
      </c>
      <c r="D46">
        <f ca="1">IF(Regime_0_Output[[#This Row],[ID]]=0,$D$3,$D$3*VLOOKUP(Regime_0_Output[[#This Row],[ID]],Regime_0_PhaseRate[],5))</f>
        <v>104</v>
      </c>
    </row>
    <row r="47" spans="2:6" x14ac:dyDescent="0.25">
      <c r="B47">
        <v>1</v>
      </c>
      <c r="C47" t="str">
        <f>"PRICE_"&amp;Regime_0_Output[[#This Row],[ID]]</f>
        <v>PRICE_1</v>
      </c>
      <c r="D47" s="3">
        <f ca="1">IF(Regime_0_Output[[#This Row],[ID]]=0,$D$3,$D$3*VLOOKUP(Regime_0_Output[[#This Row],[ID]],Regime_0_PhaseRate[],5))</f>
        <v>64.054639999999992</v>
      </c>
    </row>
    <row r="48" spans="2:6" x14ac:dyDescent="0.25">
      <c r="B48">
        <v>2</v>
      </c>
      <c r="C48" t="str">
        <f>"PRICE_"&amp;Regime_0_Output[[#This Row],[ID]]</f>
        <v>PRICE_2</v>
      </c>
      <c r="D48" s="3">
        <f ca="1">IF(Regime_0_Output[[#This Row],[ID]]=0,$D$3,$D$3*VLOOKUP(Regime_0_Output[[#This Row],[ID]],Regime_0_PhaseRate[],5))</f>
        <v>57.638879999999993</v>
      </c>
    </row>
    <row r="49" spans="2:4" x14ac:dyDescent="0.25">
      <c r="B49">
        <v>3</v>
      </c>
      <c r="C49" t="str">
        <f>"PRICE_"&amp;Regime_0_Output[[#This Row],[ID]]</f>
        <v>PRICE_3</v>
      </c>
      <c r="D49" s="3">
        <f ca="1">IF(Regime_0_Output[[#This Row],[ID]]=0,$D$3,$D$3*VLOOKUP(Regime_0_Output[[#This Row],[ID]],Regime_0_PhaseRate[],5))</f>
        <v>113.36415999999998</v>
      </c>
    </row>
    <row r="50" spans="2:4" x14ac:dyDescent="0.25">
      <c r="B50">
        <v>4</v>
      </c>
      <c r="C50" t="str">
        <f>"PRICE_"&amp;Regime_0_Output[[#This Row],[ID]]</f>
        <v>PRICE_4</v>
      </c>
      <c r="D50" s="3">
        <f ca="1">IF(Regime_0_Output[[#This Row],[ID]]=0,$D$3,$D$3*VLOOKUP(Regime_0_Output[[#This Row],[ID]],Regime_0_PhaseRate[],5))</f>
        <v>110.08192000000001</v>
      </c>
    </row>
    <row r="51" spans="2:4" x14ac:dyDescent="0.25">
      <c r="B51">
        <v>5</v>
      </c>
      <c r="C51" t="str">
        <f>"PRICE_"&amp;Regime_0_Output[[#This Row],[ID]]</f>
        <v>PRICE_5</v>
      </c>
      <c r="D51" s="3">
        <f ca="1">IF(Regime_0_Output[[#This Row],[ID]]=0,$D$3,$D$3*VLOOKUP(Regime_0_Output[[#This Row],[ID]],Regime_0_PhaseRate[],5))</f>
        <v>107.66704000000001</v>
      </c>
    </row>
    <row r="52" spans="2:4" x14ac:dyDescent="0.25">
      <c r="B52">
        <v>6</v>
      </c>
      <c r="C52" t="str">
        <f>"PRICE_"&amp;Regime_0_Output[[#This Row],[ID]]</f>
        <v>PRICE_6</v>
      </c>
      <c r="D52" s="3">
        <f ca="1">IF(Regime_0_Output[[#This Row],[ID]]=0,$D$3,$D$3*VLOOKUP(Regime_0_Output[[#This Row],[ID]],Regime_0_PhaseRate[],5))</f>
        <v>99.300240000000002</v>
      </c>
    </row>
    <row r="53" spans="2:4" x14ac:dyDescent="0.25">
      <c r="B53">
        <v>7</v>
      </c>
      <c r="C53" t="str">
        <f>"PRICE_"&amp;Regime_0_Output[[#This Row],[ID]]</f>
        <v>PRICE_7</v>
      </c>
      <c r="D53" s="3">
        <f ca="1">IF(Regime_0_Output[[#This Row],[ID]]=0,$D$3,$D$3*VLOOKUP(Regime_0_Output[[#This Row],[ID]],Regime_0_PhaseRate[],5))</f>
        <v>100.77079999999999</v>
      </c>
    </row>
    <row r="54" spans="2:4" x14ac:dyDescent="0.25">
      <c r="B54">
        <v>8</v>
      </c>
      <c r="C54" t="str">
        <f>"PRICE_"&amp;Regime_0_Output[[#This Row],[ID]]</f>
        <v>PRICE_8</v>
      </c>
      <c r="D54" s="3">
        <f ca="1">IF(Regime_0_Output[[#This Row],[ID]]=0,$D$3,$D$3*VLOOKUP(Regime_0_Output[[#This Row],[ID]],Regime_0_PhaseRate[],5))</f>
        <v>124.75944000000001</v>
      </c>
    </row>
    <row r="55" spans="2:4" x14ac:dyDescent="0.25">
      <c r="B55">
        <v>9</v>
      </c>
      <c r="C55" t="str">
        <f>"PRICE_"&amp;Regime_0_Output[[#This Row],[ID]]</f>
        <v>PRICE_9</v>
      </c>
      <c r="D55" s="3">
        <f ca="1">IF(Regime_0_Output[[#This Row],[ID]]=0,$D$3,$D$3*VLOOKUP(Regime_0_Output[[#This Row],[ID]],Regime_0_PhaseRate[],5))</f>
        <v>64.054639999999992</v>
      </c>
    </row>
    <row r="56" spans="2:4" x14ac:dyDescent="0.25">
      <c r="B56">
        <v>10</v>
      </c>
      <c r="C56" t="str">
        <f>"PRICE_"&amp;Regime_0_Output[[#This Row],[ID]]</f>
        <v>PRICE_10</v>
      </c>
      <c r="D56" s="3">
        <f ca="1">IF(Regime_0_Output[[#This Row],[ID]]=0,$D$3,$D$3*VLOOKUP(Regime_0_Output[[#This Row],[ID]],Regime_0_PhaseRate[],5))</f>
        <v>58.49687999999999</v>
      </c>
    </row>
    <row r="57" spans="2:4" x14ac:dyDescent="0.25">
      <c r="B57">
        <v>11</v>
      </c>
      <c r="C57" t="str">
        <f>"PRICE_"&amp;Regime_0_Output[[#This Row],[ID]]</f>
        <v>PRICE_11</v>
      </c>
      <c r="D57" s="3">
        <f ca="1">IF(Regime_0_Output[[#This Row],[ID]]=0,$D$3,$D$3*VLOOKUP(Regime_0_Output[[#This Row],[ID]],Regime_0_PhaseRate[],5))</f>
        <v>53.865759999999995</v>
      </c>
    </row>
    <row r="58" spans="2:4" x14ac:dyDescent="0.25">
      <c r="B58">
        <v>12</v>
      </c>
      <c r="C58" t="str">
        <f>"PRICE_"&amp;Regime_0_Output[[#This Row],[ID]]</f>
        <v>PRICE_12</v>
      </c>
      <c r="D58" s="3">
        <f ca="1">IF(Regime_0_Output[[#This Row],[ID]]=0,$D$3,$D$3*VLOOKUP(Regime_0_Output[[#This Row],[ID]],Regime_0_PhaseRate[],5))</f>
        <v>109.15840000000001</v>
      </c>
    </row>
  </sheetData>
  <pageMargins left="0.7" right="0.7" top="0.75" bottom="0.75" header="0.3" footer="0.3"/>
  <pageSetup orientation="portrait" horizontalDpi="4294967293" verticalDpi="4294967293" r:id="rId1"/>
  <drawing r:id="rId2"/>
  <tableParts count="5"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2:F54"/>
  <sheetViews>
    <sheetView showGridLines="0" workbookViewId="0">
      <selection activeCell="E18" sqref="E18"/>
    </sheetView>
  </sheetViews>
  <sheetFormatPr defaultRowHeight="15" x14ac:dyDescent="0.25"/>
  <cols>
    <col min="2" max="2" width="5" customWidth="1"/>
    <col min="3" max="3" width="34.42578125" bestFit="1" customWidth="1"/>
    <col min="4" max="4" width="18.42578125" bestFit="1" customWidth="1"/>
    <col min="5" max="5" width="12.85546875" bestFit="1" customWidth="1"/>
    <col min="6" max="6" width="11.7109375" bestFit="1" customWidth="1"/>
    <col min="7" max="7" width="8.140625" bestFit="1" customWidth="1"/>
  </cols>
  <sheetData>
    <row r="2" spans="2:6" x14ac:dyDescent="0.25">
      <c r="B2" t="s">
        <v>0</v>
      </c>
      <c r="C2" t="s">
        <v>10</v>
      </c>
      <c r="D2" t="s">
        <v>11</v>
      </c>
    </row>
    <row r="3" spans="2:6" x14ac:dyDescent="0.25">
      <c r="B3">
        <v>1</v>
      </c>
      <c r="C3" t="s">
        <v>12</v>
      </c>
      <c r="D3">
        <f ca="1">BasePrice_Output[VALUE]</f>
        <v>104</v>
      </c>
    </row>
    <row r="4" spans="2:6" x14ac:dyDescent="0.25">
      <c r="B4">
        <v>2</v>
      </c>
      <c r="C4" t="s">
        <v>39</v>
      </c>
      <c r="D4">
        <f ca="1">RANDBETWEEN(1,7)</f>
        <v>2</v>
      </c>
    </row>
    <row r="5" spans="2:6" x14ac:dyDescent="0.25">
      <c r="B5">
        <v>3</v>
      </c>
      <c r="C5" t="s">
        <v>28</v>
      </c>
      <c r="D5" s="3">
        <f ca="1">RANDBETWEEN(85000,90000)/100000</f>
        <v>0.88368000000000002</v>
      </c>
    </row>
    <row r="7" spans="2:6" x14ac:dyDescent="0.25">
      <c r="B7" t="s">
        <v>0</v>
      </c>
      <c r="C7" t="s">
        <v>15</v>
      </c>
      <c r="D7" t="s">
        <v>29</v>
      </c>
      <c r="E7" t="s">
        <v>16</v>
      </c>
      <c r="F7" t="s">
        <v>17</v>
      </c>
    </row>
    <row r="8" spans="2:6" x14ac:dyDescent="0.25">
      <c r="B8">
        <v>1</v>
      </c>
      <c r="C8" t="s">
        <v>25</v>
      </c>
      <c r="D8">
        <f ca="1">D4-1</f>
        <v>1</v>
      </c>
      <c r="E8">
        <f ca="1">SUM($D$8:D8)-Regime_1_Phase[[#This Row],[LENGTH]]</f>
        <v>0</v>
      </c>
      <c r="F8">
        <f ca="1">Regime_1_Phase[[#This Row],[BEG_PHASE]]+Regime_1_Phase[[#This Row],[LENGTH]]</f>
        <v>1</v>
      </c>
    </row>
    <row r="9" spans="2:6" x14ac:dyDescent="0.25">
      <c r="B9">
        <v>2</v>
      </c>
      <c r="C9" t="s">
        <v>27</v>
      </c>
      <c r="D9">
        <v>5</v>
      </c>
      <c r="E9">
        <f ca="1">SUM($D$8:D9)-Regime_1_Phase[[#This Row],[LENGTH]]</f>
        <v>1</v>
      </c>
      <c r="F9">
        <f ca="1">Regime_1_Phase[[#This Row],[BEG_PHASE]]+Regime_1_Phase[[#This Row],[LENGTH]]</f>
        <v>6</v>
      </c>
    </row>
    <row r="10" spans="2:6" x14ac:dyDescent="0.25">
      <c r="B10">
        <v>3</v>
      </c>
      <c r="C10" t="s">
        <v>26</v>
      </c>
      <c r="D10">
        <f ca="1">8-D4</f>
        <v>6</v>
      </c>
      <c r="E10">
        <f ca="1">SUM($D$8:D10)-Regime_1_Phase[[#This Row],[LENGTH]]</f>
        <v>6</v>
      </c>
      <c r="F10">
        <f ca="1">Regime_1_Phase[[#This Row],[BEG_PHASE]]+Regime_1_Phase[[#This Row],[LENGTH]]</f>
        <v>12</v>
      </c>
    </row>
    <row r="12" spans="2:6" x14ac:dyDescent="0.25">
      <c r="B12" t="s">
        <v>0</v>
      </c>
      <c r="C12" t="s">
        <v>14</v>
      </c>
      <c r="D12" t="s">
        <v>3</v>
      </c>
      <c r="E12" t="s">
        <v>23</v>
      </c>
    </row>
    <row r="13" spans="2:6" x14ac:dyDescent="0.25">
      <c r="B13">
        <v>1</v>
      </c>
      <c r="C13" t="s">
        <v>27</v>
      </c>
      <c r="D13" t="str">
        <f>Regime_1_Rate[[#This Row],[TYPE]]&amp;"_"&amp;COUNTIFS($C13:C$13,Regime_1_Rate[[#This Row],[TYPE]])</f>
        <v>PEAK_1</v>
      </c>
      <c r="E13" s="7">
        <f t="shared" ref="E13:E17" ca="1" si="0">RANDBETWEEN(90000,140000)/100000</f>
        <v>1.2056199999999999</v>
      </c>
    </row>
    <row r="14" spans="2:6" x14ac:dyDescent="0.25">
      <c r="B14">
        <v>2</v>
      </c>
      <c r="C14" t="s">
        <v>27</v>
      </c>
      <c r="D14" t="str">
        <f>Regime_1_Rate[[#This Row],[TYPE]]&amp;"_"&amp;COUNTIFS($C$13:C14,Regime_1_Rate[[#This Row],[TYPE]])</f>
        <v>PEAK_2</v>
      </c>
      <c r="E14" s="7">
        <f ca="1">RANDBETWEEN(140000,200000)/100000</f>
        <v>1.84233</v>
      </c>
    </row>
    <row r="15" spans="2:6" x14ac:dyDescent="0.25">
      <c r="B15">
        <v>3</v>
      </c>
      <c r="C15" t="s">
        <v>27</v>
      </c>
      <c r="D15" t="str">
        <f>Regime_1_Rate[[#This Row],[TYPE]]&amp;"_"&amp;COUNTIFS($C$13:C15,Regime_1_Rate[[#This Row],[TYPE]])</f>
        <v>PEAK_3</v>
      </c>
      <c r="E15" s="7">
        <f ca="1">RANDBETWEEN(200000,600000)/100000</f>
        <v>5.9641900000000003</v>
      </c>
    </row>
    <row r="16" spans="2:6" x14ac:dyDescent="0.25">
      <c r="B16">
        <v>4</v>
      </c>
      <c r="C16" t="s">
        <v>27</v>
      </c>
      <c r="D16" t="str">
        <f>Regime_1_Rate[[#This Row],[TYPE]]&amp;"_"&amp;COUNTIFS($C$13:C16,Regime_1_Rate[[#This Row],[TYPE]])</f>
        <v>PEAK_4</v>
      </c>
      <c r="E16" s="7">
        <f ca="1">RANDBETWEEN(140000,200000)/100000</f>
        <v>1.9994799999999999</v>
      </c>
    </row>
    <row r="17" spans="2:6" x14ac:dyDescent="0.25">
      <c r="B17">
        <v>5</v>
      </c>
      <c r="C17" t="s">
        <v>27</v>
      </c>
      <c r="D17" t="str">
        <f>Regime_1_Rate[[#This Row],[TYPE]]&amp;"_"&amp;COUNTIFS($C$13:C17,Regime_1_Rate[[#This Row],[TYPE]])</f>
        <v>PEAK_5</v>
      </c>
      <c r="E17" s="7">
        <f t="shared" ca="1" si="0"/>
        <v>1.2188099999999999</v>
      </c>
    </row>
    <row r="18" spans="2:6" x14ac:dyDescent="0.25">
      <c r="B18">
        <v>6</v>
      </c>
      <c r="C18" t="str">
        <f ca="1">IF(SUMIFS(Regime_1_Phase[ID],Regime_1_Phase[BEG_PHASE],"&lt;"&amp;(Regime_1_Rate[[#This Row],[ID]]-5),Regime_1_Phase[END_PHASE],"&gt;="&amp;(Regime_1_Rate[[#This Row],[ID]]-5))=1,"PRE_PEAK","POST_PEAK")</f>
        <v>PRE_PEAK</v>
      </c>
      <c r="D18" t="str">
        <f ca="1">Regime_1_Rate[[#This Row],[TYPE]]&amp;"_"&amp;COUNTIFS($C$13:C18,Regime_1_Rate[[#This Row],[TYPE]])</f>
        <v>PRE_PEAK_1</v>
      </c>
      <c r="E18" s="7">
        <f ca="1">IF(Regime_1_Rate[[#This Row],[TYPE]]="PRE_PEAK",IF(Regime_1_Rate[[#This Row],[NAME]]="PRE_PEAK_1",$D$5,E17-RANDBETWEEN(3000,5000)/100000),RANDBETWEEN(40000,90000)/100000)</f>
        <v>0.88368000000000002</v>
      </c>
    </row>
    <row r="19" spans="2:6" x14ac:dyDescent="0.25">
      <c r="B19">
        <v>7</v>
      </c>
      <c r="C19" t="str">
        <f ca="1">IF(SUMIFS(Regime_1_Phase[ID],Regime_1_Phase[BEG_PHASE],"&lt;"&amp;(Regime_1_Rate[[#This Row],[ID]]-5),Regime_1_Phase[END_PHASE],"&gt;="&amp;(Regime_1_Rate[[#This Row],[ID]]-5))=1,"PRE_PEAK","POST_PEAK")</f>
        <v>POST_PEAK</v>
      </c>
      <c r="D19" t="str">
        <f ca="1">Regime_1_Rate[[#This Row],[TYPE]]&amp;"_"&amp;COUNTIFS($C$13:C19,Regime_1_Rate[[#This Row],[TYPE]])</f>
        <v>POST_PEAK_1</v>
      </c>
      <c r="E19" s="7">
        <f ca="1">IF(Regime_1_Rate[[#This Row],[TYPE]]="PRE_PEAK",IF(Regime_1_Rate[[#This Row],[NAME]]="PRE_PEAK_1",$D$5,E18-RANDBETWEEN(3000,5000)/100000),RANDBETWEEN(40000,90000)/100000)</f>
        <v>0.77168000000000003</v>
      </c>
    </row>
    <row r="20" spans="2:6" x14ac:dyDescent="0.25">
      <c r="B20">
        <v>8</v>
      </c>
      <c r="C20" t="str">
        <f ca="1">IF(SUMIFS(Regime_1_Phase[ID],Regime_1_Phase[BEG_PHASE],"&lt;"&amp;(Regime_1_Rate[[#This Row],[ID]]-5),Regime_1_Phase[END_PHASE],"&gt;="&amp;(Regime_1_Rate[[#This Row],[ID]]-5))=1,"PRE_PEAK","POST_PEAK")</f>
        <v>POST_PEAK</v>
      </c>
      <c r="D20" t="str">
        <f ca="1">Regime_1_Rate[[#This Row],[TYPE]]&amp;"_"&amp;COUNTIFS($C$13:C20,Regime_1_Rate[[#This Row],[TYPE]])</f>
        <v>POST_PEAK_2</v>
      </c>
      <c r="E20" s="7">
        <f ca="1">IF(Regime_1_Rate[[#This Row],[TYPE]]="PRE_PEAK",IF(Regime_1_Rate[[#This Row],[NAME]]="PRE_PEAK_1",$D$5,E19-RANDBETWEEN(3000,5000)/100000),RANDBETWEEN(40000,90000)/100000)</f>
        <v>0.65896999999999994</v>
      </c>
    </row>
    <row r="21" spans="2:6" x14ac:dyDescent="0.25">
      <c r="B21">
        <v>9</v>
      </c>
      <c r="C21" t="str">
        <f ca="1">IF(SUMIFS(Regime_1_Phase[ID],Regime_1_Phase[BEG_PHASE],"&lt;"&amp;(Regime_1_Rate[[#This Row],[ID]]-5),Regime_1_Phase[END_PHASE],"&gt;="&amp;(Regime_1_Rate[[#This Row],[ID]]-5))=1,"PRE_PEAK","POST_PEAK")</f>
        <v>POST_PEAK</v>
      </c>
      <c r="D21" t="str">
        <f ca="1">Regime_1_Rate[[#This Row],[TYPE]]&amp;"_"&amp;COUNTIFS($C$13:C21,Regime_1_Rate[[#This Row],[TYPE]])</f>
        <v>POST_PEAK_3</v>
      </c>
      <c r="E21" s="7">
        <f ca="1">IF(Regime_1_Rate[[#This Row],[TYPE]]="PRE_PEAK",IF(Regime_1_Rate[[#This Row],[NAME]]="PRE_PEAK_1",$D$5,E20-RANDBETWEEN(3000,5000)/100000),RANDBETWEEN(40000,90000)/100000)</f>
        <v>0.70084999999999997</v>
      </c>
    </row>
    <row r="22" spans="2:6" x14ac:dyDescent="0.25">
      <c r="B22">
        <v>10</v>
      </c>
      <c r="C22" t="str">
        <f ca="1">IF(SUMIFS(Regime_1_Phase[ID],Regime_1_Phase[BEG_PHASE],"&lt;"&amp;(Regime_1_Rate[[#This Row],[ID]]-5),Regime_1_Phase[END_PHASE],"&gt;="&amp;(Regime_1_Rate[[#This Row],[ID]]-5))=1,"PRE_PEAK","POST_PEAK")</f>
        <v>POST_PEAK</v>
      </c>
      <c r="D22" t="str">
        <f ca="1">Regime_1_Rate[[#This Row],[TYPE]]&amp;"_"&amp;COUNTIFS($C$13:C22,Regime_1_Rate[[#This Row],[TYPE]])</f>
        <v>POST_PEAK_4</v>
      </c>
      <c r="E22" s="7">
        <f ca="1">IF(Regime_1_Rate[[#This Row],[TYPE]]="PRE_PEAK",IF(Regime_1_Rate[[#This Row],[NAME]]="PRE_PEAK_1",$D$5,E21-RANDBETWEEN(3000,5000)/100000),RANDBETWEEN(40000,90000)/100000)</f>
        <v>0.61087999999999998</v>
      </c>
    </row>
    <row r="23" spans="2:6" x14ac:dyDescent="0.25">
      <c r="B23">
        <v>11</v>
      </c>
      <c r="C23" t="str">
        <f ca="1">IF(SUMIFS(Regime_1_Phase[ID],Regime_1_Phase[BEG_PHASE],"&lt;"&amp;(Regime_1_Rate[[#This Row],[ID]]-5),Regime_1_Phase[END_PHASE],"&gt;="&amp;(Regime_1_Rate[[#This Row],[ID]]-5))=1,"PRE_PEAK","POST_PEAK")</f>
        <v>POST_PEAK</v>
      </c>
      <c r="D23" t="str">
        <f ca="1">Regime_1_Rate[[#This Row],[TYPE]]&amp;"_"&amp;COUNTIFS($C$13:C23,Regime_1_Rate[[#This Row],[TYPE]])</f>
        <v>POST_PEAK_5</v>
      </c>
      <c r="E23" s="7">
        <f ca="1">IF(Regime_1_Rate[[#This Row],[TYPE]]="PRE_PEAK",IF(Regime_1_Rate[[#This Row],[NAME]]="PRE_PEAK_1",$D$5,E22-RANDBETWEEN(3000,5000)/100000),RANDBETWEEN(40000,90000)/100000)</f>
        <v>0.51295000000000002</v>
      </c>
    </row>
    <row r="24" spans="2:6" x14ac:dyDescent="0.25">
      <c r="B24">
        <v>12</v>
      </c>
      <c r="C24" t="str">
        <f ca="1">IF(SUMIFS(Regime_1_Phase[ID],Regime_1_Phase[BEG_PHASE],"&lt;"&amp;(Regime_1_Rate[[#This Row],[ID]]-5),Regime_1_Phase[END_PHASE],"&gt;="&amp;(Regime_1_Rate[[#This Row],[ID]]-5))=1,"PRE_PEAK","POST_PEAK")</f>
        <v>POST_PEAK</v>
      </c>
      <c r="D24" t="str">
        <f ca="1">Regime_1_Rate[[#This Row],[TYPE]]&amp;"_"&amp;COUNTIFS($C$13:C24,Regime_1_Rate[[#This Row],[TYPE]])</f>
        <v>POST_PEAK_6</v>
      </c>
      <c r="E24" s="7">
        <f ca="1">IF(Regime_1_Rate[[#This Row],[TYPE]]="PRE_PEAK",IF(Regime_1_Rate[[#This Row],[NAME]]="PRE_PEAK_1",$D$5,E23-RANDBETWEEN(3000,5000)/100000),RANDBETWEEN(40000,90000)/100000)</f>
        <v>0.72857000000000005</v>
      </c>
    </row>
    <row r="26" spans="2:6" x14ac:dyDescent="0.25">
      <c r="B26" t="s">
        <v>0</v>
      </c>
      <c r="C26" t="s">
        <v>15</v>
      </c>
      <c r="D26" t="s">
        <v>38</v>
      </c>
      <c r="E26" t="s">
        <v>37</v>
      </c>
      <c r="F26" t="s">
        <v>23</v>
      </c>
    </row>
    <row r="27" spans="2:6" x14ac:dyDescent="0.25">
      <c r="B27">
        <v>1</v>
      </c>
      <c r="C27" t="str">
        <f ca="1">VLOOKUP(SUMIFS(Regime_1_Phase[ID],Regime_1_Phase[BEG_PHASE],"&lt;"&amp;Regime_1_PhaseRate[[#This Row],[ID]],Regime_1_Phase[END_PHASE],"&gt;="&amp;Regime_1_PhaseRate[[#This Row],[ID]]),Regime_1_Phase[[ID]:[PHASE]],2,0)</f>
        <v>PRE_PEAK</v>
      </c>
      <c r="D27" s="7" t="str">
        <f ca="1">Regime_1_PhaseRate[[#This Row],[PHASE]]</f>
        <v>PRE_PEAK</v>
      </c>
      <c r="E27" s="4" t="str">
        <f ca="1">Regime_1_PhaseRate[[#This Row],[RATE_TYPE]]&amp;"_"&amp;COUNTIFS($D$27:D27,Regime_1_PhaseRate[[#This Row],[RATE_TYPE]])</f>
        <v>PRE_PEAK_1</v>
      </c>
      <c r="F27" s="7">
        <f ca="1">VLOOKUP(Regime_1_PhaseRate[[#This Row],[RATE_NAME]],Regime_1_Rate[[NAME]:[RATE]],2,0)</f>
        <v>0.88368000000000002</v>
      </c>
    </row>
    <row r="28" spans="2:6" x14ac:dyDescent="0.25">
      <c r="B28">
        <v>2</v>
      </c>
      <c r="C28" t="str">
        <f ca="1">VLOOKUP(SUMIFS(Regime_1_Phase[ID],Regime_1_Phase[BEG_PHASE],"&lt;"&amp;Regime_1_PhaseRate[[#This Row],[ID]],Regime_1_Phase[END_PHASE],"&gt;="&amp;Regime_1_PhaseRate[[#This Row],[ID]]),Regime_1_Phase[[ID]:[PHASE]],2,0)</f>
        <v>PEAK</v>
      </c>
      <c r="D28" s="7" t="str">
        <f ca="1">Regime_1_PhaseRate[[#This Row],[PHASE]]</f>
        <v>PEAK</v>
      </c>
      <c r="E28" s="4" t="str">
        <f ca="1">Regime_1_PhaseRate[[#This Row],[RATE_TYPE]]&amp;"_"&amp;COUNTIFS($D$27:D28,Regime_1_PhaseRate[[#This Row],[RATE_TYPE]])</f>
        <v>PEAK_1</v>
      </c>
      <c r="F28" s="7">
        <f ca="1">VLOOKUP(Regime_1_PhaseRate[[#This Row],[RATE_NAME]],Regime_1_Rate[[NAME]:[RATE]],2,0)</f>
        <v>1.2056199999999999</v>
      </c>
    </row>
    <row r="29" spans="2:6" x14ac:dyDescent="0.25">
      <c r="B29">
        <v>3</v>
      </c>
      <c r="C29" t="str">
        <f ca="1">VLOOKUP(SUMIFS(Regime_1_Phase[ID],Regime_1_Phase[BEG_PHASE],"&lt;"&amp;Regime_1_PhaseRate[[#This Row],[ID]],Regime_1_Phase[END_PHASE],"&gt;="&amp;Regime_1_PhaseRate[[#This Row],[ID]]),Regime_1_Phase[[ID]:[PHASE]],2,0)</f>
        <v>PEAK</v>
      </c>
      <c r="D29" s="7" t="str">
        <f ca="1">Regime_1_PhaseRate[[#This Row],[PHASE]]</f>
        <v>PEAK</v>
      </c>
      <c r="E29" s="4" t="str">
        <f ca="1">Regime_1_PhaseRate[[#This Row],[RATE_TYPE]]&amp;"_"&amp;COUNTIFS($D$27:D29,Regime_1_PhaseRate[[#This Row],[RATE_TYPE]])</f>
        <v>PEAK_2</v>
      </c>
      <c r="F29" s="7">
        <f ca="1">VLOOKUP(Regime_1_PhaseRate[[#This Row],[RATE_NAME]],Regime_1_Rate[[NAME]:[RATE]],2,0)</f>
        <v>1.84233</v>
      </c>
    </row>
    <row r="30" spans="2:6" x14ac:dyDescent="0.25">
      <c r="B30">
        <v>4</v>
      </c>
      <c r="C30" t="str">
        <f ca="1">VLOOKUP(SUMIFS(Regime_1_Phase[ID],Regime_1_Phase[BEG_PHASE],"&lt;"&amp;Regime_1_PhaseRate[[#This Row],[ID]],Regime_1_Phase[END_PHASE],"&gt;="&amp;Regime_1_PhaseRate[[#This Row],[ID]]),Regime_1_Phase[[ID]:[PHASE]],2,0)</f>
        <v>PEAK</v>
      </c>
      <c r="D30" s="7" t="str">
        <f ca="1">Regime_1_PhaseRate[[#This Row],[PHASE]]</f>
        <v>PEAK</v>
      </c>
      <c r="E30" s="4" t="str">
        <f ca="1">Regime_1_PhaseRate[[#This Row],[RATE_TYPE]]&amp;"_"&amp;COUNTIFS($D$27:D30,Regime_1_PhaseRate[[#This Row],[RATE_TYPE]])</f>
        <v>PEAK_3</v>
      </c>
      <c r="F30" s="7">
        <f ca="1">VLOOKUP(Regime_1_PhaseRate[[#This Row],[RATE_NAME]],Regime_1_Rate[[NAME]:[RATE]],2,0)</f>
        <v>5.9641900000000003</v>
      </c>
    </row>
    <row r="31" spans="2:6" x14ac:dyDescent="0.25">
      <c r="B31">
        <v>5</v>
      </c>
      <c r="C31" t="str">
        <f ca="1">VLOOKUP(SUMIFS(Regime_1_Phase[ID],Regime_1_Phase[BEG_PHASE],"&lt;"&amp;Regime_1_PhaseRate[[#This Row],[ID]],Regime_1_Phase[END_PHASE],"&gt;="&amp;Regime_1_PhaseRate[[#This Row],[ID]]),Regime_1_Phase[[ID]:[PHASE]],2,0)</f>
        <v>PEAK</v>
      </c>
      <c r="D31" s="7" t="str">
        <f ca="1">Regime_1_PhaseRate[[#This Row],[PHASE]]</f>
        <v>PEAK</v>
      </c>
      <c r="E31" s="4" t="str">
        <f ca="1">Regime_1_PhaseRate[[#This Row],[RATE_TYPE]]&amp;"_"&amp;COUNTIFS($D$27:D31,Regime_1_PhaseRate[[#This Row],[RATE_TYPE]])</f>
        <v>PEAK_4</v>
      </c>
      <c r="F31" s="7">
        <f ca="1">VLOOKUP(Regime_1_PhaseRate[[#This Row],[RATE_NAME]],Regime_1_Rate[[NAME]:[RATE]],2,0)</f>
        <v>1.9994799999999999</v>
      </c>
    </row>
    <row r="32" spans="2:6" x14ac:dyDescent="0.25">
      <c r="B32">
        <v>6</v>
      </c>
      <c r="C32" t="str">
        <f ca="1">VLOOKUP(SUMIFS(Regime_1_Phase[ID],Regime_1_Phase[BEG_PHASE],"&lt;"&amp;Regime_1_PhaseRate[[#This Row],[ID]],Regime_1_Phase[END_PHASE],"&gt;="&amp;Regime_1_PhaseRate[[#This Row],[ID]]),Regime_1_Phase[[ID]:[PHASE]],2,0)</f>
        <v>PEAK</v>
      </c>
      <c r="D32" s="7" t="str">
        <f ca="1">Regime_1_PhaseRate[[#This Row],[PHASE]]</f>
        <v>PEAK</v>
      </c>
      <c r="E32" s="4" t="str">
        <f ca="1">Regime_1_PhaseRate[[#This Row],[RATE_TYPE]]&amp;"_"&amp;COUNTIFS($D$27:D32,Regime_1_PhaseRate[[#This Row],[RATE_TYPE]])</f>
        <v>PEAK_5</v>
      </c>
      <c r="F32" s="7">
        <f ca="1">VLOOKUP(Regime_1_PhaseRate[[#This Row],[RATE_NAME]],Regime_1_Rate[[NAME]:[RATE]],2,0)</f>
        <v>1.2188099999999999</v>
      </c>
    </row>
    <row r="33" spans="2:6" x14ac:dyDescent="0.25">
      <c r="B33">
        <v>7</v>
      </c>
      <c r="C33" t="str">
        <f ca="1">VLOOKUP(SUMIFS(Regime_1_Phase[ID],Regime_1_Phase[BEG_PHASE],"&lt;"&amp;Regime_1_PhaseRate[[#This Row],[ID]],Regime_1_Phase[END_PHASE],"&gt;="&amp;Regime_1_PhaseRate[[#This Row],[ID]]),Regime_1_Phase[[ID]:[PHASE]],2,0)</f>
        <v>POST_PEAK</v>
      </c>
      <c r="D33" s="7" t="str">
        <f ca="1">Regime_1_PhaseRate[[#This Row],[PHASE]]</f>
        <v>POST_PEAK</v>
      </c>
      <c r="E33" s="4" t="str">
        <f ca="1">Regime_1_PhaseRate[[#This Row],[RATE_TYPE]]&amp;"_"&amp;COUNTIFS($D$27:D33,Regime_1_PhaseRate[[#This Row],[RATE_TYPE]])</f>
        <v>POST_PEAK_1</v>
      </c>
      <c r="F33" s="7">
        <f ca="1">VLOOKUP(Regime_1_PhaseRate[[#This Row],[RATE_NAME]],Regime_1_Rate[[NAME]:[RATE]],2,0)</f>
        <v>0.77168000000000003</v>
      </c>
    </row>
    <row r="34" spans="2:6" x14ac:dyDescent="0.25">
      <c r="B34">
        <v>8</v>
      </c>
      <c r="C34" t="str">
        <f ca="1">VLOOKUP(SUMIFS(Regime_1_Phase[ID],Regime_1_Phase[BEG_PHASE],"&lt;"&amp;Regime_1_PhaseRate[[#This Row],[ID]],Regime_1_Phase[END_PHASE],"&gt;="&amp;Regime_1_PhaseRate[[#This Row],[ID]]),Regime_1_Phase[[ID]:[PHASE]],2,0)</f>
        <v>POST_PEAK</v>
      </c>
      <c r="D34" s="7" t="str">
        <f ca="1">Regime_1_PhaseRate[[#This Row],[PHASE]]</f>
        <v>POST_PEAK</v>
      </c>
      <c r="E34" s="4" t="str">
        <f ca="1">Regime_1_PhaseRate[[#This Row],[RATE_TYPE]]&amp;"_"&amp;COUNTIFS($D$27:D34,Regime_1_PhaseRate[[#This Row],[RATE_TYPE]])</f>
        <v>POST_PEAK_2</v>
      </c>
      <c r="F34" s="7">
        <f ca="1">VLOOKUP(Regime_1_PhaseRate[[#This Row],[RATE_NAME]],Regime_1_Rate[[NAME]:[RATE]],2,0)</f>
        <v>0.65896999999999994</v>
      </c>
    </row>
    <row r="35" spans="2:6" x14ac:dyDescent="0.25">
      <c r="B35">
        <v>9</v>
      </c>
      <c r="C35" t="str">
        <f ca="1">VLOOKUP(SUMIFS(Regime_1_Phase[ID],Regime_1_Phase[BEG_PHASE],"&lt;"&amp;Regime_1_PhaseRate[[#This Row],[ID]],Regime_1_Phase[END_PHASE],"&gt;="&amp;Regime_1_PhaseRate[[#This Row],[ID]]),Regime_1_Phase[[ID]:[PHASE]],2,0)</f>
        <v>POST_PEAK</v>
      </c>
      <c r="D35" s="7" t="str">
        <f ca="1">Regime_1_PhaseRate[[#This Row],[PHASE]]</f>
        <v>POST_PEAK</v>
      </c>
      <c r="E35" s="4" t="str">
        <f ca="1">Regime_1_PhaseRate[[#This Row],[RATE_TYPE]]&amp;"_"&amp;COUNTIFS($D$27:D35,Regime_1_PhaseRate[[#This Row],[RATE_TYPE]])</f>
        <v>POST_PEAK_3</v>
      </c>
      <c r="F35" s="7">
        <f ca="1">VLOOKUP(Regime_1_PhaseRate[[#This Row],[RATE_NAME]],Regime_1_Rate[[NAME]:[RATE]],2,0)</f>
        <v>0.70084999999999997</v>
      </c>
    </row>
    <row r="36" spans="2:6" x14ac:dyDescent="0.25">
      <c r="B36">
        <v>10</v>
      </c>
      <c r="C36" t="str">
        <f ca="1">VLOOKUP(SUMIFS(Regime_1_Phase[ID],Regime_1_Phase[BEG_PHASE],"&lt;"&amp;Regime_1_PhaseRate[[#This Row],[ID]],Regime_1_Phase[END_PHASE],"&gt;="&amp;Regime_1_PhaseRate[[#This Row],[ID]]),Regime_1_Phase[[ID]:[PHASE]],2,0)</f>
        <v>POST_PEAK</v>
      </c>
      <c r="D36" s="7" t="str">
        <f ca="1">Regime_1_PhaseRate[[#This Row],[PHASE]]</f>
        <v>POST_PEAK</v>
      </c>
      <c r="E36" s="4" t="str">
        <f ca="1">Regime_1_PhaseRate[[#This Row],[RATE_TYPE]]&amp;"_"&amp;COUNTIFS($D$27:D36,Regime_1_PhaseRate[[#This Row],[RATE_TYPE]])</f>
        <v>POST_PEAK_4</v>
      </c>
      <c r="F36" s="7">
        <f ca="1">VLOOKUP(Regime_1_PhaseRate[[#This Row],[RATE_NAME]],Regime_1_Rate[[NAME]:[RATE]],2,0)</f>
        <v>0.61087999999999998</v>
      </c>
    </row>
    <row r="37" spans="2:6" x14ac:dyDescent="0.25">
      <c r="B37">
        <v>11</v>
      </c>
      <c r="C37" t="str">
        <f ca="1">VLOOKUP(SUMIFS(Regime_1_Phase[ID],Regime_1_Phase[BEG_PHASE],"&lt;"&amp;Regime_1_PhaseRate[[#This Row],[ID]],Regime_1_Phase[END_PHASE],"&gt;="&amp;Regime_1_PhaseRate[[#This Row],[ID]]),Regime_1_Phase[[ID]:[PHASE]],2,0)</f>
        <v>POST_PEAK</v>
      </c>
      <c r="D37" s="7" t="str">
        <f ca="1">Regime_1_PhaseRate[[#This Row],[PHASE]]</f>
        <v>POST_PEAK</v>
      </c>
      <c r="E37" s="4" t="str">
        <f ca="1">Regime_1_PhaseRate[[#This Row],[RATE_TYPE]]&amp;"_"&amp;COUNTIFS($D$27:D37,Regime_1_PhaseRate[[#This Row],[RATE_TYPE]])</f>
        <v>POST_PEAK_5</v>
      </c>
      <c r="F37" s="7">
        <f ca="1">VLOOKUP(Regime_1_PhaseRate[[#This Row],[RATE_NAME]],Regime_1_Rate[[NAME]:[RATE]],2,0)</f>
        <v>0.51295000000000002</v>
      </c>
    </row>
    <row r="38" spans="2:6" x14ac:dyDescent="0.25">
      <c r="B38">
        <v>12</v>
      </c>
      <c r="C38" t="str">
        <f ca="1">VLOOKUP(SUMIFS(Regime_1_Phase[ID],Regime_1_Phase[BEG_PHASE],"&lt;"&amp;Regime_1_PhaseRate[[#This Row],[ID]],Regime_1_Phase[END_PHASE],"&gt;="&amp;Regime_1_PhaseRate[[#This Row],[ID]]),Regime_1_Phase[[ID]:[PHASE]],2,0)</f>
        <v>POST_PEAK</v>
      </c>
      <c r="D38" s="7" t="str">
        <f ca="1">Regime_1_PhaseRate[[#This Row],[PHASE]]</f>
        <v>POST_PEAK</v>
      </c>
      <c r="E38" s="4" t="str">
        <f ca="1">Regime_1_PhaseRate[[#This Row],[RATE_TYPE]]&amp;"_"&amp;COUNTIFS($D$27:D38,Regime_1_PhaseRate[[#This Row],[RATE_TYPE]])</f>
        <v>POST_PEAK_6</v>
      </c>
      <c r="F38" s="7">
        <f ca="1">VLOOKUP(Regime_1_PhaseRate[[#This Row],[RATE_NAME]],Regime_1_Rate[[NAME]:[RATE]],2,0)</f>
        <v>0.72857000000000005</v>
      </c>
    </row>
    <row r="41" spans="2:6" x14ac:dyDescent="0.25">
      <c r="B41" t="s">
        <v>0</v>
      </c>
      <c r="C41" t="s">
        <v>9</v>
      </c>
      <c r="D41" t="s">
        <v>11</v>
      </c>
    </row>
    <row r="42" spans="2:6" x14ac:dyDescent="0.25">
      <c r="B42">
        <v>0</v>
      </c>
      <c r="C42" t="str">
        <f>"PRICE_"&amp;Regime_1_Output[[#This Row],[ID]]</f>
        <v>PRICE_0</v>
      </c>
      <c r="D42" s="3">
        <f ca="1">IF(Regime_1_Output[[#This Row],[ID]]=0,$D$3,$D$3*VLOOKUP(Regime_1_Output[[#This Row],[ID]],Regime_1_PhaseRate[],5))</f>
        <v>104</v>
      </c>
    </row>
    <row r="43" spans="2:6" x14ac:dyDescent="0.25">
      <c r="B43">
        <v>1</v>
      </c>
      <c r="C43" t="str">
        <f>"PRICE_"&amp;Regime_1_Output[[#This Row],[ID]]</f>
        <v>PRICE_1</v>
      </c>
      <c r="D43" s="3">
        <f ca="1">IF(Regime_1_Output[[#This Row],[ID]]=0,$D$3,$D$3*VLOOKUP(Regime_1_Output[[#This Row],[ID]],Regime_1_PhaseRate[],5))</f>
        <v>91.902720000000002</v>
      </c>
    </row>
    <row r="44" spans="2:6" x14ac:dyDescent="0.25">
      <c r="B44">
        <v>2</v>
      </c>
      <c r="C44" t="str">
        <f>"PRICE_"&amp;Regime_1_Output[[#This Row],[ID]]</f>
        <v>PRICE_2</v>
      </c>
      <c r="D44" s="3">
        <f ca="1">IF(Regime_1_Output[[#This Row],[ID]]=0,$D$3,$D$3*VLOOKUP(Regime_1_Output[[#This Row],[ID]],Regime_1_PhaseRate[],5))</f>
        <v>125.38448</v>
      </c>
    </row>
    <row r="45" spans="2:6" x14ac:dyDescent="0.25">
      <c r="B45">
        <v>3</v>
      </c>
      <c r="C45" t="str">
        <f>"PRICE_"&amp;Regime_1_Output[[#This Row],[ID]]</f>
        <v>PRICE_3</v>
      </c>
      <c r="D45" s="3">
        <f ca="1">IF(Regime_1_Output[[#This Row],[ID]]=0,$D$3,$D$3*VLOOKUP(Regime_1_Output[[#This Row],[ID]],Regime_1_PhaseRate[],5))</f>
        <v>191.60231999999999</v>
      </c>
    </row>
    <row r="46" spans="2:6" x14ac:dyDescent="0.25">
      <c r="B46">
        <v>4</v>
      </c>
      <c r="C46" t="str">
        <f>"PRICE_"&amp;Regime_1_Output[[#This Row],[ID]]</f>
        <v>PRICE_4</v>
      </c>
      <c r="D46" s="3">
        <f ca="1">IF(Regime_1_Output[[#This Row],[ID]]=0,$D$3,$D$3*VLOOKUP(Regime_1_Output[[#This Row],[ID]],Regime_1_PhaseRate[],5))</f>
        <v>620.27575999999999</v>
      </c>
    </row>
    <row r="47" spans="2:6" x14ac:dyDescent="0.25">
      <c r="B47">
        <v>5</v>
      </c>
      <c r="C47" t="str">
        <f>"PRICE_"&amp;Regime_1_Output[[#This Row],[ID]]</f>
        <v>PRICE_5</v>
      </c>
      <c r="D47" s="3">
        <f ca="1">IF(Regime_1_Output[[#This Row],[ID]]=0,$D$3,$D$3*VLOOKUP(Regime_1_Output[[#This Row],[ID]],Regime_1_PhaseRate[],5))</f>
        <v>207.94592</v>
      </c>
    </row>
    <row r="48" spans="2:6" x14ac:dyDescent="0.25">
      <c r="B48">
        <v>6</v>
      </c>
      <c r="C48" t="str">
        <f>"PRICE_"&amp;Regime_1_Output[[#This Row],[ID]]</f>
        <v>PRICE_6</v>
      </c>
      <c r="D48" s="3">
        <f ca="1">IF(Regime_1_Output[[#This Row],[ID]]=0,$D$3,$D$3*VLOOKUP(Regime_1_Output[[#This Row],[ID]],Regime_1_PhaseRate[],5))</f>
        <v>126.75623999999999</v>
      </c>
    </row>
    <row r="49" spans="2:4" x14ac:dyDescent="0.25">
      <c r="B49">
        <v>7</v>
      </c>
      <c r="C49" t="str">
        <f>"PRICE_"&amp;Regime_1_Output[[#This Row],[ID]]</f>
        <v>PRICE_7</v>
      </c>
      <c r="D49" s="3">
        <f ca="1">IF(Regime_1_Output[[#This Row],[ID]]=0,$D$3,$D$3*VLOOKUP(Regime_1_Output[[#This Row],[ID]],Regime_1_PhaseRate[],5))</f>
        <v>80.254720000000006</v>
      </c>
    </row>
    <row r="50" spans="2:4" x14ac:dyDescent="0.25">
      <c r="B50">
        <v>8</v>
      </c>
      <c r="C50" t="str">
        <f>"PRICE_"&amp;Regime_1_Output[[#This Row],[ID]]</f>
        <v>PRICE_8</v>
      </c>
      <c r="D50" s="3">
        <f ca="1">IF(Regime_1_Output[[#This Row],[ID]]=0,$D$3,$D$3*VLOOKUP(Regime_1_Output[[#This Row],[ID]],Regime_1_PhaseRate[],5))</f>
        <v>68.532879999999992</v>
      </c>
    </row>
    <row r="51" spans="2:4" x14ac:dyDescent="0.25">
      <c r="B51">
        <v>9</v>
      </c>
      <c r="C51" t="str">
        <f>"PRICE_"&amp;Regime_1_Output[[#This Row],[ID]]</f>
        <v>PRICE_9</v>
      </c>
      <c r="D51" s="3">
        <f ca="1">IF(Regime_1_Output[[#This Row],[ID]]=0,$D$3,$D$3*VLOOKUP(Regime_1_Output[[#This Row],[ID]],Regime_1_PhaseRate[],5))</f>
        <v>72.88839999999999</v>
      </c>
    </row>
    <row r="52" spans="2:4" x14ac:dyDescent="0.25">
      <c r="B52">
        <v>10</v>
      </c>
      <c r="C52" t="str">
        <f>"PRICE_"&amp;Regime_1_Output[[#This Row],[ID]]</f>
        <v>PRICE_10</v>
      </c>
      <c r="D52" s="3">
        <f ca="1">IF(Regime_1_Output[[#This Row],[ID]]=0,$D$3,$D$3*VLOOKUP(Regime_1_Output[[#This Row],[ID]],Regime_1_PhaseRate[],5))</f>
        <v>63.53152</v>
      </c>
    </row>
    <row r="53" spans="2:4" x14ac:dyDescent="0.25">
      <c r="B53">
        <v>11</v>
      </c>
      <c r="C53" t="str">
        <f>"PRICE_"&amp;Regime_1_Output[[#This Row],[ID]]</f>
        <v>PRICE_11</v>
      </c>
      <c r="D53" s="3">
        <f ca="1">IF(Regime_1_Output[[#This Row],[ID]]=0,$D$3,$D$3*VLOOKUP(Regime_1_Output[[#This Row],[ID]],Regime_1_PhaseRate[],5))</f>
        <v>53.346800000000002</v>
      </c>
    </row>
    <row r="54" spans="2:4" x14ac:dyDescent="0.25">
      <c r="B54">
        <v>12</v>
      </c>
      <c r="C54" t="str">
        <f>"PRICE_"&amp;Regime_1_Output[[#This Row],[ID]]</f>
        <v>PRICE_12</v>
      </c>
      <c r="D54" s="3">
        <f ca="1">IF(Regime_1_Output[[#This Row],[ID]]=0,$D$3,$D$3*VLOOKUP(Regime_1_Output[[#This Row],[ID]],Regime_1_PhaseRate[],5))</f>
        <v>75.771280000000004</v>
      </c>
    </row>
  </sheetData>
  <pageMargins left="0.7" right="0.7" top="0.75" bottom="0.75" header="0.3" footer="0.3"/>
  <pageSetup orientation="portrait" horizontalDpi="4294967293" verticalDpi="4294967293" r:id="rId1"/>
  <drawing r:id="rId2"/>
  <tableParts count="5"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2:F51"/>
  <sheetViews>
    <sheetView showGridLines="0" tabSelected="1" topLeftCell="A31" workbookViewId="0">
      <selection activeCell="D57" sqref="D57"/>
    </sheetView>
  </sheetViews>
  <sheetFormatPr defaultRowHeight="15" x14ac:dyDescent="0.25"/>
  <cols>
    <col min="2" max="2" width="5" customWidth="1"/>
    <col min="3" max="3" width="34.42578125" bestFit="1" customWidth="1"/>
    <col min="4" max="4" width="18.42578125" bestFit="1" customWidth="1"/>
    <col min="5" max="5" width="12.85546875" bestFit="1" customWidth="1"/>
    <col min="6" max="6" width="11.7109375" bestFit="1" customWidth="1"/>
    <col min="7" max="7" width="8.140625" bestFit="1" customWidth="1"/>
  </cols>
  <sheetData>
    <row r="2" spans="2:6" x14ac:dyDescent="0.25">
      <c r="B2" t="s">
        <v>0</v>
      </c>
      <c r="C2" t="s">
        <v>10</v>
      </c>
      <c r="D2" t="s">
        <v>11</v>
      </c>
    </row>
    <row r="3" spans="2:6" x14ac:dyDescent="0.25">
      <c r="B3">
        <v>1</v>
      </c>
      <c r="C3" t="s">
        <v>12</v>
      </c>
      <c r="D3">
        <f ca="1">BasePrice_Output[VALUE]</f>
        <v>104</v>
      </c>
    </row>
    <row r="4" spans="2:6" x14ac:dyDescent="0.25">
      <c r="B4">
        <v>2</v>
      </c>
      <c r="C4" t="s">
        <v>28</v>
      </c>
      <c r="D4" s="3">
        <f ca="1">RANDBETWEEN(85000,90000)/100000</f>
        <v>0.88768000000000002</v>
      </c>
    </row>
    <row r="6" spans="2:6" x14ac:dyDescent="0.25">
      <c r="B6" t="s">
        <v>0</v>
      </c>
      <c r="C6" t="s">
        <v>15</v>
      </c>
      <c r="D6" t="s">
        <v>29</v>
      </c>
      <c r="E6" t="s">
        <v>16</v>
      </c>
      <c r="F6" t="s">
        <v>17</v>
      </c>
    </row>
    <row r="7" spans="2:6" x14ac:dyDescent="0.25">
      <c r="B7">
        <v>1</v>
      </c>
      <c r="C7" t="s">
        <v>36</v>
      </c>
      <c r="D7">
        <v>12</v>
      </c>
      <c r="E7">
        <f>SUM($D$7:D7)-Regime_2_Phase[[#This Row],[LENGTH]]</f>
        <v>0</v>
      </c>
      <c r="F7">
        <f>Regime_2_Phase[[#This Row],[BEG_PHASE]]+Regime_2_Phase[[#This Row],[LENGTH]]</f>
        <v>12</v>
      </c>
    </row>
    <row r="9" spans="2:6" x14ac:dyDescent="0.25">
      <c r="B9" t="s">
        <v>0</v>
      </c>
      <c r="C9" t="s">
        <v>14</v>
      </c>
      <c r="D9" t="s">
        <v>3</v>
      </c>
      <c r="E9" t="s">
        <v>23</v>
      </c>
    </row>
    <row r="10" spans="2:6" x14ac:dyDescent="0.25">
      <c r="B10">
        <v>1</v>
      </c>
      <c r="C10" t="s">
        <v>36</v>
      </c>
      <c r="D10" t="str">
        <f>Regime_2_Rate[[#This Row],[TYPE]]&amp;"_"&amp;COUNTIFS($C$10:C10,Regime_2_Rate[[#This Row],[TYPE]])</f>
        <v>DOWN_1</v>
      </c>
      <c r="E10" s="6">
        <f t="shared" ref="E10" ca="1" si="0">$D$4</f>
        <v>0.88768000000000002</v>
      </c>
    </row>
    <row r="11" spans="2:6" x14ac:dyDescent="0.25">
      <c r="B11">
        <v>2</v>
      </c>
      <c r="C11" t="s">
        <v>36</v>
      </c>
      <c r="D11" t="str">
        <f>Regime_2_Rate[[#This Row],[TYPE]]&amp;"_"&amp;COUNTIFS($C$10:C11,Regime_2_Rate[[#This Row],[TYPE]])</f>
        <v>DOWN_2</v>
      </c>
      <c r="E11" s="6">
        <f ca="1">E10-RANDBETWEEN(3000,5000)/100000</f>
        <v>0.84267000000000003</v>
      </c>
    </row>
    <row r="12" spans="2:6" x14ac:dyDescent="0.25">
      <c r="B12">
        <v>3</v>
      </c>
      <c r="C12" t="s">
        <v>36</v>
      </c>
      <c r="D12" t="str">
        <f>Regime_2_Rate[[#This Row],[TYPE]]&amp;"_"&amp;COUNTIFS($C$10:C12,Regime_2_Rate[[#This Row],[TYPE]])</f>
        <v>DOWN_3</v>
      </c>
      <c r="E12" s="6">
        <f ca="1">E11-RANDBETWEEN(3000,5000)/100000</f>
        <v>0.80283000000000004</v>
      </c>
    </row>
    <row r="13" spans="2:6" x14ac:dyDescent="0.25">
      <c r="B13">
        <v>4</v>
      </c>
      <c r="C13" t="s">
        <v>36</v>
      </c>
      <c r="D13" t="str">
        <f>Regime_2_Rate[[#This Row],[TYPE]]&amp;"_"&amp;COUNTIFS($C$10:C13,Regime_2_Rate[[#This Row],[TYPE]])</f>
        <v>DOWN_4</v>
      </c>
      <c r="E13" s="6">
        <f t="shared" ref="E13:E21" ca="1" si="1">E12-RANDBETWEEN(3000,5000)/100000</f>
        <v>0.75552000000000008</v>
      </c>
    </row>
    <row r="14" spans="2:6" x14ac:dyDescent="0.25">
      <c r="B14">
        <v>5</v>
      </c>
      <c r="C14" t="s">
        <v>36</v>
      </c>
      <c r="D14" t="str">
        <f>Regime_2_Rate[[#This Row],[TYPE]]&amp;"_"&amp;COUNTIFS($C$10:C14,Regime_2_Rate[[#This Row],[TYPE]])</f>
        <v>DOWN_5</v>
      </c>
      <c r="E14" s="6">
        <f t="shared" ca="1" si="1"/>
        <v>0.71317000000000008</v>
      </c>
    </row>
    <row r="15" spans="2:6" x14ac:dyDescent="0.25">
      <c r="B15">
        <v>6</v>
      </c>
      <c r="C15" t="s">
        <v>36</v>
      </c>
      <c r="D15" t="str">
        <f>Regime_2_Rate[[#This Row],[TYPE]]&amp;"_"&amp;COUNTIFS($C$10:C15,Regime_2_Rate[[#This Row],[TYPE]])</f>
        <v>DOWN_6</v>
      </c>
      <c r="E15" s="6">
        <f t="shared" ca="1" si="1"/>
        <v>0.67879000000000012</v>
      </c>
    </row>
    <row r="16" spans="2:6" x14ac:dyDescent="0.25">
      <c r="B16">
        <v>7</v>
      </c>
      <c r="C16" t="s">
        <v>36</v>
      </c>
      <c r="D16" t="str">
        <f>Regime_2_Rate[[#This Row],[TYPE]]&amp;"_"&amp;COUNTIFS($C$10:C16,Regime_2_Rate[[#This Row],[TYPE]])</f>
        <v>DOWN_7</v>
      </c>
      <c r="E16" s="6">
        <f t="shared" ca="1" si="1"/>
        <v>0.64721000000000006</v>
      </c>
    </row>
    <row r="17" spans="2:6" x14ac:dyDescent="0.25">
      <c r="B17">
        <v>8</v>
      </c>
      <c r="C17" t="s">
        <v>36</v>
      </c>
      <c r="D17" t="str">
        <f>Regime_2_Rate[[#This Row],[TYPE]]&amp;"_"&amp;COUNTIFS($C$10:C17,Regime_2_Rate[[#This Row],[TYPE]])</f>
        <v>DOWN_8</v>
      </c>
      <c r="E17" s="6">
        <f t="shared" ca="1" si="1"/>
        <v>0.60001000000000004</v>
      </c>
    </row>
    <row r="18" spans="2:6" x14ac:dyDescent="0.25">
      <c r="B18">
        <v>9</v>
      </c>
      <c r="C18" t="s">
        <v>36</v>
      </c>
      <c r="D18" t="str">
        <f>Regime_2_Rate[[#This Row],[TYPE]]&amp;"_"&amp;COUNTIFS($C$10:C18,Regime_2_Rate[[#This Row],[TYPE]])</f>
        <v>DOWN_9</v>
      </c>
      <c r="E18" s="6">
        <f t="shared" ca="1" si="1"/>
        <v>0.56737000000000004</v>
      </c>
    </row>
    <row r="19" spans="2:6" x14ac:dyDescent="0.25">
      <c r="B19">
        <v>10</v>
      </c>
      <c r="C19" t="s">
        <v>36</v>
      </c>
      <c r="D19" t="str">
        <f>Regime_2_Rate[[#This Row],[TYPE]]&amp;"_"&amp;COUNTIFS($C$10:C19,Regime_2_Rate[[#This Row],[TYPE]])</f>
        <v>DOWN_10</v>
      </c>
      <c r="E19" s="6">
        <f t="shared" ca="1" si="1"/>
        <v>0.53725000000000001</v>
      </c>
    </row>
    <row r="20" spans="2:6" x14ac:dyDescent="0.25">
      <c r="B20">
        <v>11</v>
      </c>
      <c r="C20" t="s">
        <v>36</v>
      </c>
      <c r="D20" t="str">
        <f>Regime_2_Rate[[#This Row],[TYPE]]&amp;"_"&amp;COUNTIFS($C$10:C20,Regime_2_Rate[[#This Row],[TYPE]])</f>
        <v>DOWN_11</v>
      </c>
      <c r="E20" s="6">
        <f t="shared" ca="1" si="1"/>
        <v>0.49126000000000003</v>
      </c>
    </row>
    <row r="21" spans="2:6" x14ac:dyDescent="0.25">
      <c r="B21">
        <v>12</v>
      </c>
      <c r="C21" t="s">
        <v>36</v>
      </c>
      <c r="D21" t="str">
        <f>Regime_2_Rate[[#This Row],[TYPE]]&amp;"_"&amp;COUNTIFS($C$10:C21,Regime_2_Rate[[#This Row],[TYPE]])</f>
        <v>DOWN_12</v>
      </c>
      <c r="E21" s="6">
        <f t="shared" ca="1" si="1"/>
        <v>0.44197000000000003</v>
      </c>
    </row>
    <row r="23" spans="2:6" x14ac:dyDescent="0.25">
      <c r="B23" t="s">
        <v>0</v>
      </c>
      <c r="C23" t="s">
        <v>15</v>
      </c>
      <c r="D23" t="s">
        <v>38</v>
      </c>
      <c r="E23" t="s">
        <v>37</v>
      </c>
      <c r="F23" t="s">
        <v>23</v>
      </c>
    </row>
    <row r="24" spans="2:6" x14ac:dyDescent="0.25">
      <c r="B24">
        <v>1</v>
      </c>
      <c r="C24" t="str">
        <f>VLOOKUP(SUMIFS(Regime_2_Phase[ID],Regime_2_Phase[BEG_PHASE],"&lt;"&amp;Regime_2_PhaseRate[[#This Row],[ID]],Regime_2_Phase[END_PHASE],"&gt;="&amp;Regime_2_PhaseRate[[#This Row],[ID]]),Regime_2_Phase[[ID]:[PHASE]],2,0)</f>
        <v>DOWN</v>
      </c>
      <c r="D24" s="7" t="str">
        <f>IF(LEFT(Regime_2_PhaseRate[[#This Row],[PHASE]],3)="ASC","UP","DOWN")</f>
        <v>DOWN</v>
      </c>
      <c r="E24" s="4" t="str">
        <f>Regime_2_PhaseRate[[#This Row],[RATE_TYPE]]&amp;"_"&amp;COUNTIFS($D$24:D24,Regime_2_PhaseRate[[#This Row],[RATE_TYPE]])</f>
        <v>DOWN_1</v>
      </c>
      <c r="F24" s="7">
        <f ca="1">VLOOKUP(Regime_2_PhaseRate[[#This Row],[RATE_NAME]],Regime_2_Rate[[NAME]:[RATE]],2,0)</f>
        <v>0.88768000000000002</v>
      </c>
    </row>
    <row r="25" spans="2:6" x14ac:dyDescent="0.25">
      <c r="B25">
        <v>2</v>
      </c>
      <c r="C25" t="str">
        <f>VLOOKUP(SUMIFS(Regime_2_Phase[ID],Regime_2_Phase[BEG_PHASE],"&lt;"&amp;Regime_2_PhaseRate[[#This Row],[ID]],Regime_2_Phase[END_PHASE],"&gt;="&amp;Regime_2_PhaseRate[[#This Row],[ID]]),Regime_2_Phase[[ID]:[PHASE]],2,0)</f>
        <v>DOWN</v>
      </c>
      <c r="D25" s="7" t="str">
        <f>IF(LEFT(Regime_2_PhaseRate[[#This Row],[PHASE]],3)="ASC","UP","DOWN")</f>
        <v>DOWN</v>
      </c>
      <c r="E25" s="4" t="str">
        <f>Regime_2_PhaseRate[[#This Row],[RATE_TYPE]]&amp;"_"&amp;COUNTIFS($D$24:D25,Regime_2_PhaseRate[[#This Row],[RATE_TYPE]])</f>
        <v>DOWN_2</v>
      </c>
      <c r="F25" s="7">
        <f ca="1">VLOOKUP(Regime_2_PhaseRate[[#This Row],[RATE_NAME]],Regime_2_Rate[[NAME]:[RATE]],2,0)</f>
        <v>0.84267000000000003</v>
      </c>
    </row>
    <row r="26" spans="2:6" x14ac:dyDescent="0.25">
      <c r="B26">
        <v>3</v>
      </c>
      <c r="C26" t="str">
        <f>VLOOKUP(SUMIFS(Regime_2_Phase[ID],Regime_2_Phase[BEG_PHASE],"&lt;"&amp;Regime_2_PhaseRate[[#This Row],[ID]],Regime_2_Phase[END_PHASE],"&gt;="&amp;Regime_2_PhaseRate[[#This Row],[ID]]),Regime_2_Phase[[ID]:[PHASE]],2,0)</f>
        <v>DOWN</v>
      </c>
      <c r="D26" s="7" t="str">
        <f>IF(LEFT(Regime_2_PhaseRate[[#This Row],[PHASE]],3)="ASC","UP","DOWN")</f>
        <v>DOWN</v>
      </c>
      <c r="E26" s="4" t="str">
        <f>Regime_2_PhaseRate[[#This Row],[RATE_TYPE]]&amp;"_"&amp;COUNTIFS($D$24:D26,Regime_2_PhaseRate[[#This Row],[RATE_TYPE]])</f>
        <v>DOWN_3</v>
      </c>
      <c r="F26" s="7">
        <f ca="1">VLOOKUP(Regime_2_PhaseRate[[#This Row],[RATE_NAME]],Regime_2_Rate[[NAME]:[RATE]],2,0)</f>
        <v>0.80283000000000004</v>
      </c>
    </row>
    <row r="27" spans="2:6" x14ac:dyDescent="0.25">
      <c r="B27">
        <v>4</v>
      </c>
      <c r="C27" t="str">
        <f>VLOOKUP(SUMIFS(Regime_2_Phase[ID],Regime_2_Phase[BEG_PHASE],"&lt;"&amp;Regime_2_PhaseRate[[#This Row],[ID]],Regime_2_Phase[END_PHASE],"&gt;="&amp;Regime_2_PhaseRate[[#This Row],[ID]]),Regime_2_Phase[[ID]:[PHASE]],2,0)</f>
        <v>DOWN</v>
      </c>
      <c r="D27" s="7" t="str">
        <f>IF(LEFT(Regime_2_PhaseRate[[#This Row],[PHASE]],3)="ASC","UP","DOWN")</f>
        <v>DOWN</v>
      </c>
      <c r="E27" s="4" t="str">
        <f>Regime_2_PhaseRate[[#This Row],[RATE_TYPE]]&amp;"_"&amp;COUNTIFS($D$24:D27,Regime_2_PhaseRate[[#This Row],[RATE_TYPE]])</f>
        <v>DOWN_4</v>
      </c>
      <c r="F27" s="7">
        <f ca="1">VLOOKUP(Regime_2_PhaseRate[[#This Row],[RATE_NAME]],Regime_2_Rate[[NAME]:[RATE]],2,0)</f>
        <v>0.75552000000000008</v>
      </c>
    </row>
    <row r="28" spans="2:6" x14ac:dyDescent="0.25">
      <c r="B28">
        <v>5</v>
      </c>
      <c r="C28" t="str">
        <f>VLOOKUP(SUMIFS(Regime_2_Phase[ID],Regime_2_Phase[BEG_PHASE],"&lt;"&amp;Regime_2_PhaseRate[[#This Row],[ID]],Regime_2_Phase[END_PHASE],"&gt;="&amp;Regime_2_PhaseRate[[#This Row],[ID]]),Regime_2_Phase[[ID]:[PHASE]],2,0)</f>
        <v>DOWN</v>
      </c>
      <c r="D28" s="7" t="str">
        <f>IF(LEFT(Regime_2_PhaseRate[[#This Row],[PHASE]],3)="ASC","UP","DOWN")</f>
        <v>DOWN</v>
      </c>
      <c r="E28" s="4" t="str">
        <f>Regime_2_PhaseRate[[#This Row],[RATE_TYPE]]&amp;"_"&amp;COUNTIFS($D$24:D28,Regime_2_PhaseRate[[#This Row],[RATE_TYPE]])</f>
        <v>DOWN_5</v>
      </c>
      <c r="F28" s="7">
        <f ca="1">VLOOKUP(Regime_2_PhaseRate[[#This Row],[RATE_NAME]],Regime_2_Rate[[NAME]:[RATE]],2,0)</f>
        <v>0.71317000000000008</v>
      </c>
    </row>
    <row r="29" spans="2:6" x14ac:dyDescent="0.25">
      <c r="B29">
        <v>6</v>
      </c>
      <c r="C29" t="str">
        <f>VLOOKUP(SUMIFS(Regime_2_Phase[ID],Regime_2_Phase[BEG_PHASE],"&lt;"&amp;Regime_2_PhaseRate[[#This Row],[ID]],Regime_2_Phase[END_PHASE],"&gt;="&amp;Regime_2_PhaseRate[[#This Row],[ID]]),Regime_2_Phase[[ID]:[PHASE]],2,0)</f>
        <v>DOWN</v>
      </c>
      <c r="D29" s="7" t="str">
        <f>IF(LEFT(Regime_2_PhaseRate[[#This Row],[PHASE]],3)="ASC","UP","DOWN")</f>
        <v>DOWN</v>
      </c>
      <c r="E29" s="4" t="str">
        <f>Regime_2_PhaseRate[[#This Row],[RATE_TYPE]]&amp;"_"&amp;COUNTIFS($D$24:D29,Regime_2_PhaseRate[[#This Row],[RATE_TYPE]])</f>
        <v>DOWN_6</v>
      </c>
      <c r="F29" s="7">
        <f ca="1">VLOOKUP(Regime_2_PhaseRate[[#This Row],[RATE_NAME]],Regime_2_Rate[[NAME]:[RATE]],2,0)</f>
        <v>0.67879000000000012</v>
      </c>
    </row>
    <row r="30" spans="2:6" x14ac:dyDescent="0.25">
      <c r="B30">
        <v>7</v>
      </c>
      <c r="C30" t="str">
        <f>VLOOKUP(SUMIFS(Regime_2_Phase[ID],Regime_2_Phase[BEG_PHASE],"&lt;"&amp;Regime_2_PhaseRate[[#This Row],[ID]],Regime_2_Phase[END_PHASE],"&gt;="&amp;Regime_2_PhaseRate[[#This Row],[ID]]),Regime_2_Phase[[ID]:[PHASE]],2,0)</f>
        <v>DOWN</v>
      </c>
      <c r="D30" s="7" t="str">
        <f>IF(LEFT(Regime_2_PhaseRate[[#This Row],[PHASE]],3)="ASC","UP","DOWN")</f>
        <v>DOWN</v>
      </c>
      <c r="E30" s="4" t="str">
        <f>Regime_2_PhaseRate[[#This Row],[RATE_TYPE]]&amp;"_"&amp;COUNTIFS($D$24:D30,Regime_2_PhaseRate[[#This Row],[RATE_TYPE]])</f>
        <v>DOWN_7</v>
      </c>
      <c r="F30" s="7">
        <f ca="1">VLOOKUP(Regime_2_PhaseRate[[#This Row],[RATE_NAME]],Regime_2_Rate[[NAME]:[RATE]],2,0)</f>
        <v>0.64721000000000006</v>
      </c>
    </row>
    <row r="31" spans="2:6" x14ac:dyDescent="0.25">
      <c r="B31">
        <v>8</v>
      </c>
      <c r="C31" t="str">
        <f>VLOOKUP(SUMIFS(Regime_2_Phase[ID],Regime_2_Phase[BEG_PHASE],"&lt;"&amp;Regime_2_PhaseRate[[#This Row],[ID]],Regime_2_Phase[END_PHASE],"&gt;="&amp;Regime_2_PhaseRate[[#This Row],[ID]]),Regime_2_Phase[[ID]:[PHASE]],2,0)</f>
        <v>DOWN</v>
      </c>
      <c r="D31" s="7" t="str">
        <f>IF(LEFT(Regime_2_PhaseRate[[#This Row],[PHASE]],3)="ASC","UP","DOWN")</f>
        <v>DOWN</v>
      </c>
      <c r="E31" s="4" t="str">
        <f>Regime_2_PhaseRate[[#This Row],[RATE_TYPE]]&amp;"_"&amp;COUNTIFS($D$24:D31,Regime_2_PhaseRate[[#This Row],[RATE_TYPE]])</f>
        <v>DOWN_8</v>
      </c>
      <c r="F31" s="7">
        <f ca="1">VLOOKUP(Regime_2_PhaseRate[[#This Row],[RATE_NAME]],Regime_2_Rate[[NAME]:[RATE]],2,0)</f>
        <v>0.60001000000000004</v>
      </c>
    </row>
    <row r="32" spans="2:6" x14ac:dyDescent="0.25">
      <c r="B32">
        <v>9</v>
      </c>
      <c r="C32" t="str">
        <f>VLOOKUP(SUMIFS(Regime_2_Phase[ID],Regime_2_Phase[BEG_PHASE],"&lt;"&amp;Regime_2_PhaseRate[[#This Row],[ID]],Regime_2_Phase[END_PHASE],"&gt;="&amp;Regime_2_PhaseRate[[#This Row],[ID]]),Regime_2_Phase[[ID]:[PHASE]],2,0)</f>
        <v>DOWN</v>
      </c>
      <c r="D32" s="7" t="str">
        <f>IF(LEFT(Regime_2_PhaseRate[[#This Row],[PHASE]],3)="ASC","UP","DOWN")</f>
        <v>DOWN</v>
      </c>
      <c r="E32" s="4" t="str">
        <f>Regime_2_PhaseRate[[#This Row],[RATE_TYPE]]&amp;"_"&amp;COUNTIFS($D$24:D32,Regime_2_PhaseRate[[#This Row],[RATE_TYPE]])</f>
        <v>DOWN_9</v>
      </c>
      <c r="F32" s="7">
        <f ca="1">VLOOKUP(Regime_2_PhaseRate[[#This Row],[RATE_NAME]],Regime_2_Rate[[NAME]:[RATE]],2,0)</f>
        <v>0.56737000000000004</v>
      </c>
    </row>
    <row r="33" spans="2:6" x14ac:dyDescent="0.25">
      <c r="B33">
        <v>10</v>
      </c>
      <c r="C33" t="str">
        <f>VLOOKUP(SUMIFS(Regime_2_Phase[ID],Regime_2_Phase[BEG_PHASE],"&lt;"&amp;Regime_2_PhaseRate[[#This Row],[ID]],Regime_2_Phase[END_PHASE],"&gt;="&amp;Regime_2_PhaseRate[[#This Row],[ID]]),Regime_2_Phase[[ID]:[PHASE]],2,0)</f>
        <v>DOWN</v>
      </c>
      <c r="D33" s="7" t="str">
        <f>IF(LEFT(Regime_2_PhaseRate[[#This Row],[PHASE]],3)="ASC","UP","DOWN")</f>
        <v>DOWN</v>
      </c>
      <c r="E33" s="4" t="str">
        <f>Regime_2_PhaseRate[[#This Row],[RATE_TYPE]]&amp;"_"&amp;COUNTIFS($D$24:D33,Regime_2_PhaseRate[[#This Row],[RATE_TYPE]])</f>
        <v>DOWN_10</v>
      </c>
      <c r="F33" s="7">
        <f ca="1">VLOOKUP(Regime_2_PhaseRate[[#This Row],[RATE_NAME]],Regime_2_Rate[[NAME]:[RATE]],2,0)</f>
        <v>0.53725000000000001</v>
      </c>
    </row>
    <row r="34" spans="2:6" x14ac:dyDescent="0.25">
      <c r="B34">
        <v>11</v>
      </c>
      <c r="C34" t="str">
        <f>VLOOKUP(SUMIFS(Regime_2_Phase[ID],Regime_2_Phase[BEG_PHASE],"&lt;"&amp;Regime_2_PhaseRate[[#This Row],[ID]],Regime_2_Phase[END_PHASE],"&gt;="&amp;Regime_2_PhaseRate[[#This Row],[ID]]),Regime_2_Phase[[ID]:[PHASE]],2,0)</f>
        <v>DOWN</v>
      </c>
      <c r="D34" s="7" t="str">
        <f>IF(LEFT(Regime_2_PhaseRate[[#This Row],[PHASE]],3)="ASC","UP","DOWN")</f>
        <v>DOWN</v>
      </c>
      <c r="E34" s="4" t="str">
        <f>Regime_2_PhaseRate[[#This Row],[RATE_TYPE]]&amp;"_"&amp;COUNTIFS($D$24:D34,Regime_2_PhaseRate[[#This Row],[RATE_TYPE]])</f>
        <v>DOWN_11</v>
      </c>
      <c r="F34" s="7">
        <f ca="1">VLOOKUP(Regime_2_PhaseRate[[#This Row],[RATE_NAME]],Regime_2_Rate[[NAME]:[RATE]],2,0)</f>
        <v>0.49126000000000003</v>
      </c>
    </row>
    <row r="35" spans="2:6" x14ac:dyDescent="0.25">
      <c r="B35">
        <v>12</v>
      </c>
      <c r="C35" t="str">
        <f>VLOOKUP(SUMIFS(Regime_2_Phase[ID],Regime_2_Phase[BEG_PHASE],"&lt;"&amp;Regime_2_PhaseRate[[#This Row],[ID]],Regime_2_Phase[END_PHASE],"&gt;="&amp;Regime_2_PhaseRate[[#This Row],[ID]]),Regime_2_Phase[[ID]:[PHASE]],2,0)</f>
        <v>DOWN</v>
      </c>
      <c r="D35" s="7" t="str">
        <f>IF(LEFT(Regime_2_PhaseRate[[#This Row],[PHASE]],3)="ASC","UP","DOWN")</f>
        <v>DOWN</v>
      </c>
      <c r="E35" s="4" t="str">
        <f>Regime_2_PhaseRate[[#This Row],[RATE_TYPE]]&amp;"_"&amp;COUNTIFS($D$24:D35,Regime_2_PhaseRate[[#This Row],[RATE_TYPE]])</f>
        <v>DOWN_12</v>
      </c>
      <c r="F35" s="7">
        <f ca="1">VLOOKUP(Regime_2_PhaseRate[[#This Row],[RATE_NAME]],Regime_2_Rate[[NAME]:[RATE]],2,0)</f>
        <v>0.44197000000000003</v>
      </c>
    </row>
    <row r="38" spans="2:6" x14ac:dyDescent="0.25">
      <c r="B38" t="s">
        <v>0</v>
      </c>
      <c r="C38" t="s">
        <v>9</v>
      </c>
      <c r="D38" t="s">
        <v>11</v>
      </c>
    </row>
    <row r="39" spans="2:6" x14ac:dyDescent="0.25">
      <c r="B39">
        <v>0</v>
      </c>
      <c r="C39" t="str">
        <f>"PRICE_"&amp;Regime_2_Output[[#This Row],[ID]]</f>
        <v>PRICE_0</v>
      </c>
      <c r="D39">
        <f ca="1">IF(Regime_2_Output[[#This Row],[ID]]=0,$D$3,$D$3*VLOOKUP(Regime_2_Output[[#This Row],[ID]],Regime_2_PhaseRate[],5))</f>
        <v>104</v>
      </c>
    </row>
    <row r="40" spans="2:6" x14ac:dyDescent="0.25">
      <c r="B40">
        <v>1</v>
      </c>
      <c r="C40" t="str">
        <f>"PRICE_"&amp;Regime_2_Output[[#This Row],[ID]]</f>
        <v>PRICE_1</v>
      </c>
      <c r="D40" s="3">
        <f ca="1">IF(Regime_2_Output[[#This Row],[ID]]=0,$D$3,$D$3*VLOOKUP(Regime_2_Output[[#This Row],[ID]],Regime_2_PhaseRate[],5))</f>
        <v>92.318719999999999</v>
      </c>
    </row>
    <row r="41" spans="2:6" x14ac:dyDescent="0.25">
      <c r="B41">
        <v>2</v>
      </c>
      <c r="C41" t="str">
        <f>"PRICE_"&amp;Regime_2_Output[[#This Row],[ID]]</f>
        <v>PRICE_2</v>
      </c>
      <c r="D41" s="3">
        <f ca="1">IF(Regime_2_Output[[#This Row],[ID]]=0,$D$3,$D$3*VLOOKUP(Regime_2_Output[[#This Row],[ID]],Regime_2_PhaseRate[],5))</f>
        <v>87.637680000000003</v>
      </c>
    </row>
    <row r="42" spans="2:6" x14ac:dyDescent="0.25">
      <c r="B42">
        <v>3</v>
      </c>
      <c r="C42" t="str">
        <f>"PRICE_"&amp;Regime_2_Output[[#This Row],[ID]]</f>
        <v>PRICE_3</v>
      </c>
      <c r="D42" s="3">
        <f ca="1">IF(Regime_2_Output[[#This Row],[ID]]=0,$D$3,$D$3*VLOOKUP(Regime_2_Output[[#This Row],[ID]],Regime_2_PhaseRate[],5))</f>
        <v>83.494320000000002</v>
      </c>
    </row>
    <row r="43" spans="2:6" x14ac:dyDescent="0.25">
      <c r="B43">
        <v>4</v>
      </c>
      <c r="C43" t="str">
        <f>"PRICE_"&amp;Regime_2_Output[[#This Row],[ID]]</f>
        <v>PRICE_4</v>
      </c>
      <c r="D43" s="3">
        <f ca="1">IF(Regime_2_Output[[#This Row],[ID]]=0,$D$3,$D$3*VLOOKUP(Regime_2_Output[[#This Row],[ID]],Regime_2_PhaseRate[],5))</f>
        <v>78.574080000000009</v>
      </c>
    </row>
    <row r="44" spans="2:6" x14ac:dyDescent="0.25">
      <c r="B44">
        <v>5</v>
      </c>
      <c r="C44" t="str">
        <f>"PRICE_"&amp;Regime_2_Output[[#This Row],[ID]]</f>
        <v>PRICE_5</v>
      </c>
      <c r="D44" s="3">
        <f ca="1">IF(Regime_2_Output[[#This Row],[ID]]=0,$D$3,$D$3*VLOOKUP(Regime_2_Output[[#This Row],[ID]],Regime_2_PhaseRate[],5))</f>
        <v>74.169680000000014</v>
      </c>
    </row>
    <row r="45" spans="2:6" x14ac:dyDescent="0.25">
      <c r="B45">
        <v>6</v>
      </c>
      <c r="C45" t="str">
        <f>"PRICE_"&amp;Regime_2_Output[[#This Row],[ID]]</f>
        <v>PRICE_6</v>
      </c>
      <c r="D45" s="3">
        <f ca="1">IF(Regime_2_Output[[#This Row],[ID]]=0,$D$3,$D$3*VLOOKUP(Regime_2_Output[[#This Row],[ID]],Regime_2_PhaseRate[],5))</f>
        <v>70.594160000000016</v>
      </c>
    </row>
    <row r="46" spans="2:6" x14ac:dyDescent="0.25">
      <c r="B46">
        <v>7</v>
      </c>
      <c r="C46" t="str">
        <f>"PRICE_"&amp;Regime_2_Output[[#This Row],[ID]]</f>
        <v>PRICE_7</v>
      </c>
      <c r="D46" s="3">
        <f ca="1">IF(Regime_2_Output[[#This Row],[ID]]=0,$D$3,$D$3*VLOOKUP(Regime_2_Output[[#This Row],[ID]],Regime_2_PhaseRate[],5))</f>
        <v>67.309840000000008</v>
      </c>
    </row>
    <row r="47" spans="2:6" x14ac:dyDescent="0.25">
      <c r="B47">
        <v>8</v>
      </c>
      <c r="C47" t="str">
        <f>"PRICE_"&amp;Regime_2_Output[[#This Row],[ID]]</f>
        <v>PRICE_8</v>
      </c>
      <c r="D47" s="3">
        <f ca="1">IF(Regime_2_Output[[#This Row],[ID]]=0,$D$3,$D$3*VLOOKUP(Regime_2_Output[[#This Row],[ID]],Regime_2_PhaseRate[],5))</f>
        <v>62.401040000000002</v>
      </c>
    </row>
    <row r="48" spans="2:6" x14ac:dyDescent="0.25">
      <c r="B48">
        <v>9</v>
      </c>
      <c r="C48" t="str">
        <f>"PRICE_"&amp;Regime_2_Output[[#This Row],[ID]]</f>
        <v>PRICE_9</v>
      </c>
      <c r="D48" s="3">
        <f ca="1">IF(Regime_2_Output[[#This Row],[ID]]=0,$D$3,$D$3*VLOOKUP(Regime_2_Output[[#This Row],[ID]],Regime_2_PhaseRate[],5))</f>
        <v>59.006480000000003</v>
      </c>
    </row>
    <row r="49" spans="2:4" x14ac:dyDescent="0.25">
      <c r="B49">
        <v>10</v>
      </c>
      <c r="C49" t="str">
        <f>"PRICE_"&amp;Regime_2_Output[[#This Row],[ID]]</f>
        <v>PRICE_10</v>
      </c>
      <c r="D49" s="3">
        <f ca="1">IF(Regime_2_Output[[#This Row],[ID]]=0,$D$3,$D$3*VLOOKUP(Regime_2_Output[[#This Row],[ID]],Regime_2_PhaseRate[],5))</f>
        <v>55.874000000000002</v>
      </c>
    </row>
    <row r="50" spans="2:4" x14ac:dyDescent="0.25">
      <c r="B50">
        <v>11</v>
      </c>
      <c r="C50" t="str">
        <f>"PRICE_"&amp;Regime_2_Output[[#This Row],[ID]]</f>
        <v>PRICE_11</v>
      </c>
      <c r="D50" s="3">
        <f ca="1">IF(Regime_2_Output[[#This Row],[ID]]=0,$D$3,$D$3*VLOOKUP(Regime_2_Output[[#This Row],[ID]],Regime_2_PhaseRate[],5))</f>
        <v>51.091040000000007</v>
      </c>
    </row>
    <row r="51" spans="2:4" x14ac:dyDescent="0.25">
      <c r="B51">
        <v>12</v>
      </c>
      <c r="C51" t="str">
        <f>"PRICE_"&amp;Regime_2_Output[[#This Row],[ID]]</f>
        <v>PRICE_12</v>
      </c>
      <c r="D51" s="3">
        <f ca="1">IF(Regime_2_Output[[#This Row],[ID]]=0,$D$3,$D$3*VLOOKUP(Regime_2_Output[[#This Row],[ID]],Regime_2_PhaseRate[],5))</f>
        <v>45.964880000000001</v>
      </c>
    </row>
  </sheetData>
  <pageMargins left="0.7" right="0.7" top="0.75" bottom="0.75" header="0.3" footer="0.3"/>
  <pageSetup orientation="portrait" horizontalDpi="4294967293" verticalDpi="4294967293" r:id="rId1"/>
  <drawing r:id="rId2"/>
  <tableParts count="5"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2:F55"/>
  <sheetViews>
    <sheetView showGridLines="0" topLeftCell="A37" workbookViewId="0">
      <selection activeCell="J12" sqref="J12"/>
    </sheetView>
  </sheetViews>
  <sheetFormatPr defaultRowHeight="15" x14ac:dyDescent="0.25"/>
  <cols>
    <col min="2" max="2" width="5" customWidth="1"/>
    <col min="3" max="3" width="34.42578125" bestFit="1" customWidth="1"/>
    <col min="4" max="4" width="18.42578125" bestFit="1" customWidth="1"/>
    <col min="5" max="5" width="12.85546875" bestFit="1" customWidth="1"/>
    <col min="6" max="6" width="11.7109375" bestFit="1" customWidth="1"/>
    <col min="7" max="7" width="8.140625" bestFit="1" customWidth="1"/>
  </cols>
  <sheetData>
    <row r="2" spans="2:6" x14ac:dyDescent="0.25">
      <c r="B2" t="s">
        <v>0</v>
      </c>
      <c r="C2" t="s">
        <v>10</v>
      </c>
      <c r="D2" t="s">
        <v>11</v>
      </c>
    </row>
    <row r="3" spans="2:6" x14ac:dyDescent="0.25">
      <c r="B3">
        <v>1</v>
      </c>
      <c r="C3" t="s">
        <v>12</v>
      </c>
      <c r="D3">
        <f ca="1">BasePrice_Output[VALUE]</f>
        <v>104</v>
      </c>
    </row>
    <row r="4" spans="2:6" x14ac:dyDescent="0.25">
      <c r="B4">
        <v>2</v>
      </c>
      <c r="C4" t="s">
        <v>39</v>
      </c>
      <c r="D4">
        <f ca="1">RANDBETWEEN(1,7)</f>
        <v>2</v>
      </c>
    </row>
    <row r="5" spans="2:6" x14ac:dyDescent="0.25">
      <c r="B5">
        <v>3</v>
      </c>
      <c r="C5" t="s">
        <v>40</v>
      </c>
      <c r="D5" s="3">
        <f ca="1">RANDBETWEEN(40000,90000)/100000</f>
        <v>0.60150999999999999</v>
      </c>
    </row>
    <row r="6" spans="2:6" x14ac:dyDescent="0.25">
      <c r="B6">
        <v>4</v>
      </c>
      <c r="C6" t="s">
        <v>41</v>
      </c>
      <c r="D6" s="3">
        <f ca="1">RANDBETWEEN(140000,200000)/100000</f>
        <v>1.81656</v>
      </c>
    </row>
    <row r="8" spans="2:6" x14ac:dyDescent="0.25">
      <c r="B8" t="s">
        <v>0</v>
      </c>
      <c r="C8" t="s">
        <v>15</v>
      </c>
      <c r="D8" t="s">
        <v>29</v>
      </c>
      <c r="E8" t="s">
        <v>16</v>
      </c>
      <c r="F8" t="s">
        <v>17</v>
      </c>
    </row>
    <row r="9" spans="2:6" x14ac:dyDescent="0.25">
      <c r="B9">
        <v>1</v>
      </c>
      <c r="C9" t="s">
        <v>25</v>
      </c>
      <c r="D9">
        <f ca="1">D4-1</f>
        <v>1</v>
      </c>
      <c r="E9">
        <f ca="1">SUM($D$9:D9)-Regime_3_Phase[[#This Row],[LENGTH]]</f>
        <v>0</v>
      </c>
      <c r="F9">
        <f ca="1">Regime_3_Phase[[#This Row],[BEG_PHASE]]+Regime_3_Phase[[#This Row],[LENGTH]]</f>
        <v>1</v>
      </c>
    </row>
    <row r="10" spans="2:6" x14ac:dyDescent="0.25">
      <c r="B10">
        <v>2</v>
      </c>
      <c r="C10" t="s">
        <v>27</v>
      </c>
      <c r="D10">
        <v>5</v>
      </c>
      <c r="E10">
        <f ca="1">SUM($D$9:D10)-Regime_3_Phase[[#This Row],[LENGTH]]</f>
        <v>1</v>
      </c>
      <c r="F10">
        <f ca="1">Regime_3_Phase[[#This Row],[BEG_PHASE]]+Regime_3_Phase[[#This Row],[LENGTH]]</f>
        <v>6</v>
      </c>
    </row>
    <row r="11" spans="2:6" x14ac:dyDescent="0.25">
      <c r="B11">
        <v>3</v>
      </c>
      <c r="C11" t="s">
        <v>26</v>
      </c>
      <c r="D11">
        <f ca="1">8-D4</f>
        <v>6</v>
      </c>
      <c r="E11">
        <f ca="1">SUM($D$9:D11)-Regime_3_Phase[[#This Row],[LENGTH]]</f>
        <v>6</v>
      </c>
      <c r="F11">
        <f ca="1">Regime_3_Phase[[#This Row],[BEG_PHASE]]+Regime_3_Phase[[#This Row],[LENGTH]]</f>
        <v>12</v>
      </c>
    </row>
    <row r="13" spans="2:6" x14ac:dyDescent="0.25">
      <c r="B13" t="s">
        <v>0</v>
      </c>
      <c r="C13" t="s">
        <v>14</v>
      </c>
      <c r="D13" t="s">
        <v>3</v>
      </c>
      <c r="E13" t="s">
        <v>23</v>
      </c>
    </row>
    <row r="14" spans="2:6" x14ac:dyDescent="0.25">
      <c r="B14">
        <v>1</v>
      </c>
      <c r="C14" t="s">
        <v>27</v>
      </c>
      <c r="D14" t="str">
        <f>Regime_3_Rate[[#This Row],[TYPE]]&amp;"_"&amp;COUNTIFS($C14:C$14,Regime_3_Rate[[#This Row],[TYPE]])</f>
        <v>PEAK_1</v>
      </c>
      <c r="E14" s="7">
        <f t="shared" ref="E14:E15" ca="1" si="0">RANDBETWEEN(90000,140000)/100000</f>
        <v>1.2822499999999999</v>
      </c>
    </row>
    <row r="15" spans="2:6" x14ac:dyDescent="0.25">
      <c r="B15">
        <v>2</v>
      </c>
      <c r="C15" t="s">
        <v>27</v>
      </c>
      <c r="D15" t="str">
        <f>Regime_3_Rate[[#This Row],[TYPE]]&amp;"_"&amp;COUNTIFS($C$14:C15,Regime_3_Rate[[#This Row],[TYPE]])</f>
        <v>PEAK_2</v>
      </c>
      <c r="E15" s="7">
        <f t="shared" ca="1" si="0"/>
        <v>0.96279000000000003</v>
      </c>
    </row>
    <row r="16" spans="2:6" x14ac:dyDescent="0.25">
      <c r="B16">
        <v>3</v>
      </c>
      <c r="C16" t="s">
        <v>27</v>
      </c>
      <c r="D16" t="str">
        <f>Regime_3_Rate[[#This Row],[TYPE]]&amp;"_"&amp;COUNTIFS($C$14:C16,Regime_3_Rate[[#This Row],[TYPE]])</f>
        <v>PEAK_3</v>
      </c>
      <c r="E16" s="7">
        <f ca="1">RANDBETWEEN(140000,$D$6*100000)/100000-1</f>
        <v>0.74899000000000004</v>
      </c>
    </row>
    <row r="17" spans="2:6" x14ac:dyDescent="0.25">
      <c r="B17">
        <v>4</v>
      </c>
      <c r="C17" t="s">
        <v>27</v>
      </c>
      <c r="D17" t="str">
        <f>Regime_3_Rate[[#This Row],[TYPE]]&amp;"_"&amp;COUNTIFS($C$14:C17,Regime_3_Rate[[#This Row],[TYPE]])</f>
        <v>PEAK_4</v>
      </c>
      <c r="E17" s="7">
        <f ca="1">D6</f>
        <v>1.81656</v>
      </c>
    </row>
    <row r="18" spans="2:6" x14ac:dyDescent="0.25">
      <c r="B18">
        <v>5</v>
      </c>
      <c r="C18" t="s">
        <v>27</v>
      </c>
      <c r="D18" t="str">
        <f>Regime_3_Rate[[#This Row],[TYPE]]&amp;"_"&amp;COUNTIFS($C$14:C18,Regime_3_Rate[[#This Row],[TYPE]])</f>
        <v>PEAK_5</v>
      </c>
      <c r="E18" s="7">
        <f ca="1">RANDBETWEEN(140000,$D$6*100000)/100000-1</f>
        <v>0.53648000000000007</v>
      </c>
    </row>
    <row r="19" spans="2:6" x14ac:dyDescent="0.25">
      <c r="B19">
        <v>6</v>
      </c>
      <c r="C19" t="str">
        <f ca="1">IF(SUMIFS(Regime_3_Phase[ID],Regime_3_Phase[BEG_PHASE],"&lt;"&amp;(Regime_3_Rate[[#This Row],[ID]]-5),Regime_3_Phase[END_PHASE],"&gt;="&amp;(Regime_3_Rate[[#This Row],[ID]]-5))=1,"PRE_PEAK","POST_PEAK")</f>
        <v>PRE_PEAK</v>
      </c>
      <c r="D19" t="str">
        <f ca="1">Regime_3_Rate[[#This Row],[TYPE]]&amp;"_"&amp;COUNTIFS($C$14:C19,Regime_3_Rate[[#This Row],[TYPE]])</f>
        <v>PRE_PEAK_1</v>
      </c>
      <c r="E19" s="7">
        <f ca="1">IF(Regime_3_Rate[[#This Row],[TYPE]]="PRE_PEAK",IF(Regime_3_Rate[[#This Row],[NAME]]="PRE_PEAK_1",$D$5,E18-RANDBETWEEN(3000,5000)/100000),IF(Regime_3_Rate[[#This Row],[NAME]]="POST_PEAK_1",$D$5,E18-RANDBETWEEN(3000,5000)/100000))</f>
        <v>0.60150999999999999</v>
      </c>
    </row>
    <row r="20" spans="2:6" x14ac:dyDescent="0.25">
      <c r="B20">
        <v>7</v>
      </c>
      <c r="C20" t="str">
        <f ca="1">IF(SUMIFS(Regime_3_Phase[ID],Regime_3_Phase[BEG_PHASE],"&lt;"&amp;(Regime_3_Rate[[#This Row],[ID]]-5),Regime_3_Phase[END_PHASE],"&gt;="&amp;(Regime_3_Rate[[#This Row],[ID]]-5))=1,"PRE_PEAK","POST_PEAK")</f>
        <v>POST_PEAK</v>
      </c>
      <c r="D20" t="str">
        <f ca="1">Regime_3_Rate[[#This Row],[TYPE]]&amp;"_"&amp;COUNTIFS($C$14:C20,Regime_3_Rate[[#This Row],[TYPE]])</f>
        <v>POST_PEAK_1</v>
      </c>
      <c r="E20" s="7">
        <f ca="1">IF(Regime_3_Rate[[#This Row],[TYPE]]="PRE_PEAK",IF(Regime_3_Rate[[#This Row],[NAME]]="PRE_PEAK_1",$D$5,E19-RANDBETWEEN(3000,5000)/100000),IF(Regime_3_Rate[[#This Row],[NAME]]="POST_PEAK_1",$D$5,E19-RANDBETWEEN(3000,5000)/100000))</f>
        <v>0.60150999999999999</v>
      </c>
    </row>
    <row r="21" spans="2:6" x14ac:dyDescent="0.25">
      <c r="B21">
        <v>8</v>
      </c>
      <c r="C21" t="str">
        <f ca="1">IF(SUMIFS(Regime_3_Phase[ID],Regime_3_Phase[BEG_PHASE],"&lt;"&amp;(Regime_3_Rate[[#This Row],[ID]]-5),Regime_3_Phase[END_PHASE],"&gt;="&amp;(Regime_3_Rate[[#This Row],[ID]]-5))=1,"PRE_PEAK","POST_PEAK")</f>
        <v>POST_PEAK</v>
      </c>
      <c r="D21" t="str">
        <f ca="1">Regime_3_Rate[[#This Row],[TYPE]]&amp;"_"&amp;COUNTIFS($C$14:C21,Regime_3_Rate[[#This Row],[TYPE]])</f>
        <v>POST_PEAK_2</v>
      </c>
      <c r="E21" s="7">
        <f ca="1">IF(Regime_3_Rate[[#This Row],[TYPE]]="PRE_PEAK",IF(Regime_3_Rate[[#This Row],[NAME]]="PRE_PEAK_1",$D$5,E20-RANDBETWEEN(3000,5000)/100000),IF(Regime_3_Rate[[#This Row],[NAME]]="POST_PEAK_1",$D$5,E20-RANDBETWEEN(3000,5000)/100000))</f>
        <v>0.56198000000000004</v>
      </c>
    </row>
    <row r="22" spans="2:6" x14ac:dyDescent="0.25">
      <c r="B22">
        <v>9</v>
      </c>
      <c r="C22" t="str">
        <f ca="1">IF(SUMIFS(Regime_3_Phase[ID],Regime_3_Phase[BEG_PHASE],"&lt;"&amp;(Regime_3_Rate[[#This Row],[ID]]-5),Regime_3_Phase[END_PHASE],"&gt;="&amp;(Regime_3_Rate[[#This Row],[ID]]-5))=1,"PRE_PEAK","POST_PEAK")</f>
        <v>POST_PEAK</v>
      </c>
      <c r="D22" t="str">
        <f ca="1">Regime_3_Rate[[#This Row],[TYPE]]&amp;"_"&amp;COUNTIFS($C$14:C22,Regime_3_Rate[[#This Row],[TYPE]])</f>
        <v>POST_PEAK_3</v>
      </c>
      <c r="E22" s="7">
        <f ca="1">IF(Regime_3_Rate[[#This Row],[TYPE]]="PRE_PEAK",IF(Regime_3_Rate[[#This Row],[NAME]]="PRE_PEAK_1",$D$5,E21-RANDBETWEEN(3000,5000)/100000),IF(Regime_3_Rate[[#This Row],[NAME]]="POST_PEAK_1",$D$5,E21-RANDBETWEEN(3000,5000)/100000))</f>
        <v>0.52362000000000009</v>
      </c>
    </row>
    <row r="23" spans="2:6" x14ac:dyDescent="0.25">
      <c r="B23">
        <v>10</v>
      </c>
      <c r="C23" t="str">
        <f ca="1">IF(SUMIFS(Regime_3_Phase[ID],Regime_3_Phase[BEG_PHASE],"&lt;"&amp;(Regime_3_Rate[[#This Row],[ID]]-5),Regime_3_Phase[END_PHASE],"&gt;="&amp;(Regime_3_Rate[[#This Row],[ID]]-5))=1,"PRE_PEAK","POST_PEAK")</f>
        <v>POST_PEAK</v>
      </c>
      <c r="D23" t="str">
        <f ca="1">Regime_3_Rate[[#This Row],[TYPE]]&amp;"_"&amp;COUNTIFS($C$14:C23,Regime_3_Rate[[#This Row],[TYPE]])</f>
        <v>POST_PEAK_4</v>
      </c>
      <c r="E23" s="7">
        <f ca="1">IF(Regime_3_Rate[[#This Row],[TYPE]]="PRE_PEAK",IF(Regime_3_Rate[[#This Row],[NAME]]="PRE_PEAK_1",$D$5,E22-RANDBETWEEN(3000,5000)/100000),IF(Regime_3_Rate[[#This Row],[NAME]]="POST_PEAK_1",$D$5,E22-RANDBETWEEN(3000,5000)/100000))</f>
        <v>0.48938000000000009</v>
      </c>
    </row>
    <row r="24" spans="2:6" x14ac:dyDescent="0.25">
      <c r="B24">
        <v>11</v>
      </c>
      <c r="C24" t="str">
        <f ca="1">IF(SUMIFS(Regime_3_Phase[ID],Regime_3_Phase[BEG_PHASE],"&lt;"&amp;(Regime_3_Rate[[#This Row],[ID]]-5),Regime_3_Phase[END_PHASE],"&gt;="&amp;(Regime_3_Rate[[#This Row],[ID]]-5))=1,"PRE_PEAK","POST_PEAK")</f>
        <v>POST_PEAK</v>
      </c>
      <c r="D24" t="str">
        <f ca="1">Regime_3_Rate[[#This Row],[TYPE]]&amp;"_"&amp;COUNTIFS($C$14:C24,Regime_3_Rate[[#This Row],[TYPE]])</f>
        <v>POST_PEAK_5</v>
      </c>
      <c r="E24" s="7">
        <f ca="1">IF(Regime_3_Rate[[#This Row],[TYPE]]="PRE_PEAK",IF(Regime_3_Rate[[#This Row],[NAME]]="PRE_PEAK_1",$D$5,E23-RANDBETWEEN(3000,5000)/100000),IF(Regime_3_Rate[[#This Row],[NAME]]="POST_PEAK_1",$D$5,E23-RANDBETWEEN(3000,5000)/100000))</f>
        <v>0.44306000000000012</v>
      </c>
    </row>
    <row r="25" spans="2:6" x14ac:dyDescent="0.25">
      <c r="B25">
        <v>12</v>
      </c>
      <c r="C25" t="str">
        <f ca="1">IF(SUMIFS(Regime_3_Phase[ID],Regime_3_Phase[BEG_PHASE],"&lt;"&amp;(Regime_3_Rate[[#This Row],[ID]]-5),Regime_3_Phase[END_PHASE],"&gt;="&amp;(Regime_3_Rate[[#This Row],[ID]]-5))=1,"PRE_PEAK","POST_PEAK")</f>
        <v>POST_PEAK</v>
      </c>
      <c r="D25" t="str">
        <f ca="1">Regime_3_Rate[[#This Row],[TYPE]]&amp;"_"&amp;COUNTIFS($C$14:C25,Regime_3_Rate[[#This Row],[TYPE]])</f>
        <v>POST_PEAK_6</v>
      </c>
      <c r="E25" s="7">
        <f ca="1">IF(Regime_3_Rate[[#This Row],[TYPE]]="PRE_PEAK",IF(Regime_3_Rate[[#This Row],[NAME]]="PRE_PEAK_1",$D$5,E24-RANDBETWEEN(3000,5000)/100000),IF(Regime_3_Rate[[#This Row],[NAME]]="POST_PEAK_1",$D$5,E24-RANDBETWEEN(3000,5000)/100000))</f>
        <v>0.3989100000000001</v>
      </c>
    </row>
    <row r="27" spans="2:6" x14ac:dyDescent="0.25">
      <c r="B27" t="s">
        <v>0</v>
      </c>
      <c r="C27" t="s">
        <v>15</v>
      </c>
      <c r="D27" t="s">
        <v>38</v>
      </c>
      <c r="E27" t="s">
        <v>37</v>
      </c>
      <c r="F27" t="s">
        <v>23</v>
      </c>
    </row>
    <row r="28" spans="2:6" x14ac:dyDescent="0.25">
      <c r="B28">
        <v>1</v>
      </c>
      <c r="C28" t="str">
        <f ca="1">VLOOKUP(SUMIFS(Regime_3_Phase[ID],Regime_3_Phase[BEG_PHASE],"&lt;"&amp;Regime_3_PhaseRate[[#This Row],[ID]],Regime_3_Phase[END_PHASE],"&gt;="&amp;Regime_3_PhaseRate[[#This Row],[ID]]),Regime_3_Phase[[ID]:[PHASE]],2,0)</f>
        <v>PRE_PEAK</v>
      </c>
      <c r="D28" s="7" t="str">
        <f ca="1">Regime_3_PhaseRate[[#This Row],[PHASE]]</f>
        <v>PRE_PEAK</v>
      </c>
      <c r="E28" s="4" t="str">
        <f ca="1">Regime_3_PhaseRate[[#This Row],[RATE_TYPE]]&amp;"_"&amp;COUNTIFS($D$28:D28,Regime_3_PhaseRate[[#This Row],[RATE_TYPE]])</f>
        <v>PRE_PEAK_1</v>
      </c>
      <c r="F28" s="7">
        <f ca="1">VLOOKUP(Regime_3_PhaseRate[[#This Row],[RATE_NAME]],Regime_3_Rate[[NAME]:[RATE]],2,0)</f>
        <v>0.60150999999999999</v>
      </c>
    </row>
    <row r="29" spans="2:6" x14ac:dyDescent="0.25">
      <c r="B29">
        <v>2</v>
      </c>
      <c r="C29" t="str">
        <f ca="1">VLOOKUP(SUMIFS(Regime_3_Phase[ID],Regime_3_Phase[BEG_PHASE],"&lt;"&amp;Regime_3_PhaseRate[[#This Row],[ID]],Regime_3_Phase[END_PHASE],"&gt;="&amp;Regime_3_PhaseRate[[#This Row],[ID]]),Regime_3_Phase[[ID]:[PHASE]],2,0)</f>
        <v>PEAK</v>
      </c>
      <c r="D29" s="7" t="str">
        <f ca="1">Regime_3_PhaseRate[[#This Row],[PHASE]]</f>
        <v>PEAK</v>
      </c>
      <c r="E29" s="4" t="str">
        <f ca="1">Regime_3_PhaseRate[[#This Row],[RATE_TYPE]]&amp;"_"&amp;COUNTIFS($D$28:D29,Regime_3_PhaseRate[[#This Row],[RATE_TYPE]])</f>
        <v>PEAK_1</v>
      </c>
      <c r="F29" s="7">
        <f ca="1">VLOOKUP(Regime_3_PhaseRate[[#This Row],[RATE_NAME]],Regime_3_Rate[[NAME]:[RATE]],2,0)</f>
        <v>1.2822499999999999</v>
      </c>
    </row>
    <row r="30" spans="2:6" x14ac:dyDescent="0.25">
      <c r="B30">
        <v>3</v>
      </c>
      <c r="C30" t="str">
        <f ca="1">VLOOKUP(SUMIFS(Regime_3_Phase[ID],Regime_3_Phase[BEG_PHASE],"&lt;"&amp;Regime_3_PhaseRate[[#This Row],[ID]],Regime_3_Phase[END_PHASE],"&gt;="&amp;Regime_3_PhaseRate[[#This Row],[ID]]),Regime_3_Phase[[ID]:[PHASE]],2,0)</f>
        <v>PEAK</v>
      </c>
      <c r="D30" s="7" t="str">
        <f ca="1">Regime_3_PhaseRate[[#This Row],[PHASE]]</f>
        <v>PEAK</v>
      </c>
      <c r="E30" s="4" t="str">
        <f ca="1">Regime_3_PhaseRate[[#This Row],[RATE_TYPE]]&amp;"_"&amp;COUNTIFS($D$28:D30,Regime_3_PhaseRate[[#This Row],[RATE_TYPE]])</f>
        <v>PEAK_2</v>
      </c>
      <c r="F30" s="7">
        <f ca="1">VLOOKUP(Regime_3_PhaseRate[[#This Row],[RATE_NAME]],Regime_3_Rate[[NAME]:[RATE]],2,0)</f>
        <v>0.96279000000000003</v>
      </c>
    </row>
    <row r="31" spans="2:6" x14ac:dyDescent="0.25">
      <c r="B31">
        <v>4</v>
      </c>
      <c r="C31" t="str">
        <f ca="1">VLOOKUP(SUMIFS(Regime_3_Phase[ID],Regime_3_Phase[BEG_PHASE],"&lt;"&amp;Regime_3_PhaseRate[[#This Row],[ID]],Regime_3_Phase[END_PHASE],"&gt;="&amp;Regime_3_PhaseRate[[#This Row],[ID]]),Regime_3_Phase[[ID]:[PHASE]],2,0)</f>
        <v>PEAK</v>
      </c>
      <c r="D31" s="7" t="str">
        <f ca="1">Regime_3_PhaseRate[[#This Row],[PHASE]]</f>
        <v>PEAK</v>
      </c>
      <c r="E31" s="4" t="str">
        <f ca="1">Regime_3_PhaseRate[[#This Row],[RATE_TYPE]]&amp;"_"&amp;COUNTIFS($D$28:D31,Regime_3_PhaseRate[[#This Row],[RATE_TYPE]])</f>
        <v>PEAK_3</v>
      </c>
      <c r="F31" s="7">
        <f ca="1">VLOOKUP(Regime_3_PhaseRate[[#This Row],[RATE_NAME]],Regime_3_Rate[[NAME]:[RATE]],2,0)</f>
        <v>0.74899000000000004</v>
      </c>
    </row>
    <row r="32" spans="2:6" x14ac:dyDescent="0.25">
      <c r="B32">
        <v>5</v>
      </c>
      <c r="C32" t="str">
        <f ca="1">VLOOKUP(SUMIFS(Regime_3_Phase[ID],Regime_3_Phase[BEG_PHASE],"&lt;"&amp;Regime_3_PhaseRate[[#This Row],[ID]],Regime_3_Phase[END_PHASE],"&gt;="&amp;Regime_3_PhaseRate[[#This Row],[ID]]),Regime_3_Phase[[ID]:[PHASE]],2,0)</f>
        <v>PEAK</v>
      </c>
      <c r="D32" s="7" t="str">
        <f ca="1">Regime_3_PhaseRate[[#This Row],[PHASE]]</f>
        <v>PEAK</v>
      </c>
      <c r="E32" s="4" t="str">
        <f ca="1">Regime_3_PhaseRate[[#This Row],[RATE_TYPE]]&amp;"_"&amp;COUNTIFS($D$28:D32,Regime_3_PhaseRate[[#This Row],[RATE_TYPE]])</f>
        <v>PEAK_4</v>
      </c>
      <c r="F32" s="7">
        <f ca="1">VLOOKUP(Regime_3_PhaseRate[[#This Row],[RATE_NAME]],Regime_3_Rate[[NAME]:[RATE]],2,0)</f>
        <v>1.81656</v>
      </c>
    </row>
    <row r="33" spans="2:6" x14ac:dyDescent="0.25">
      <c r="B33">
        <v>6</v>
      </c>
      <c r="C33" t="str">
        <f ca="1">VLOOKUP(SUMIFS(Regime_3_Phase[ID],Regime_3_Phase[BEG_PHASE],"&lt;"&amp;Regime_3_PhaseRate[[#This Row],[ID]],Regime_3_Phase[END_PHASE],"&gt;="&amp;Regime_3_PhaseRate[[#This Row],[ID]]),Regime_3_Phase[[ID]:[PHASE]],2,0)</f>
        <v>PEAK</v>
      </c>
      <c r="D33" s="7" t="str">
        <f ca="1">Regime_3_PhaseRate[[#This Row],[PHASE]]</f>
        <v>PEAK</v>
      </c>
      <c r="E33" s="4" t="str">
        <f ca="1">Regime_3_PhaseRate[[#This Row],[RATE_TYPE]]&amp;"_"&amp;COUNTIFS($D$28:D33,Regime_3_PhaseRate[[#This Row],[RATE_TYPE]])</f>
        <v>PEAK_5</v>
      </c>
      <c r="F33" s="7">
        <f ca="1">VLOOKUP(Regime_3_PhaseRate[[#This Row],[RATE_NAME]],Regime_3_Rate[[NAME]:[RATE]],2,0)</f>
        <v>0.53648000000000007</v>
      </c>
    </row>
    <row r="34" spans="2:6" x14ac:dyDescent="0.25">
      <c r="B34">
        <v>7</v>
      </c>
      <c r="C34" t="str">
        <f ca="1">VLOOKUP(SUMIFS(Regime_3_Phase[ID],Regime_3_Phase[BEG_PHASE],"&lt;"&amp;Regime_3_PhaseRate[[#This Row],[ID]],Regime_3_Phase[END_PHASE],"&gt;="&amp;Regime_3_PhaseRate[[#This Row],[ID]]),Regime_3_Phase[[ID]:[PHASE]],2,0)</f>
        <v>POST_PEAK</v>
      </c>
      <c r="D34" s="7" t="str">
        <f ca="1">Regime_3_PhaseRate[[#This Row],[PHASE]]</f>
        <v>POST_PEAK</v>
      </c>
      <c r="E34" s="4" t="str">
        <f ca="1">Regime_3_PhaseRate[[#This Row],[RATE_TYPE]]&amp;"_"&amp;COUNTIFS($D$28:D34,Regime_3_PhaseRate[[#This Row],[RATE_TYPE]])</f>
        <v>POST_PEAK_1</v>
      </c>
      <c r="F34" s="7">
        <f ca="1">VLOOKUP(Regime_3_PhaseRate[[#This Row],[RATE_NAME]],Regime_3_Rate[[NAME]:[RATE]],2,0)</f>
        <v>0.60150999999999999</v>
      </c>
    </row>
    <row r="35" spans="2:6" x14ac:dyDescent="0.25">
      <c r="B35">
        <v>8</v>
      </c>
      <c r="C35" t="str">
        <f ca="1">VLOOKUP(SUMIFS(Regime_3_Phase[ID],Regime_3_Phase[BEG_PHASE],"&lt;"&amp;Regime_3_PhaseRate[[#This Row],[ID]],Regime_3_Phase[END_PHASE],"&gt;="&amp;Regime_3_PhaseRate[[#This Row],[ID]]),Regime_3_Phase[[ID]:[PHASE]],2,0)</f>
        <v>POST_PEAK</v>
      </c>
      <c r="D35" s="7" t="str">
        <f ca="1">Regime_3_PhaseRate[[#This Row],[PHASE]]</f>
        <v>POST_PEAK</v>
      </c>
      <c r="E35" s="4" t="str">
        <f ca="1">Regime_3_PhaseRate[[#This Row],[RATE_TYPE]]&amp;"_"&amp;COUNTIFS($D$28:D35,Regime_3_PhaseRate[[#This Row],[RATE_TYPE]])</f>
        <v>POST_PEAK_2</v>
      </c>
      <c r="F35" s="7">
        <f ca="1">VLOOKUP(Regime_3_PhaseRate[[#This Row],[RATE_NAME]],Regime_3_Rate[[NAME]:[RATE]],2,0)</f>
        <v>0.56198000000000004</v>
      </c>
    </row>
    <row r="36" spans="2:6" x14ac:dyDescent="0.25">
      <c r="B36">
        <v>9</v>
      </c>
      <c r="C36" t="str">
        <f ca="1">VLOOKUP(SUMIFS(Regime_3_Phase[ID],Regime_3_Phase[BEG_PHASE],"&lt;"&amp;Regime_3_PhaseRate[[#This Row],[ID]],Regime_3_Phase[END_PHASE],"&gt;="&amp;Regime_3_PhaseRate[[#This Row],[ID]]),Regime_3_Phase[[ID]:[PHASE]],2,0)</f>
        <v>POST_PEAK</v>
      </c>
      <c r="D36" s="7" t="str">
        <f ca="1">Regime_3_PhaseRate[[#This Row],[PHASE]]</f>
        <v>POST_PEAK</v>
      </c>
      <c r="E36" s="4" t="str">
        <f ca="1">Regime_3_PhaseRate[[#This Row],[RATE_TYPE]]&amp;"_"&amp;COUNTIFS($D$28:D36,Regime_3_PhaseRate[[#This Row],[RATE_TYPE]])</f>
        <v>POST_PEAK_3</v>
      </c>
      <c r="F36" s="7">
        <f ca="1">VLOOKUP(Regime_3_PhaseRate[[#This Row],[RATE_NAME]],Regime_3_Rate[[NAME]:[RATE]],2,0)</f>
        <v>0.52362000000000009</v>
      </c>
    </row>
    <row r="37" spans="2:6" x14ac:dyDescent="0.25">
      <c r="B37">
        <v>10</v>
      </c>
      <c r="C37" t="str">
        <f ca="1">VLOOKUP(SUMIFS(Regime_3_Phase[ID],Regime_3_Phase[BEG_PHASE],"&lt;"&amp;Regime_3_PhaseRate[[#This Row],[ID]],Regime_3_Phase[END_PHASE],"&gt;="&amp;Regime_3_PhaseRate[[#This Row],[ID]]),Regime_3_Phase[[ID]:[PHASE]],2,0)</f>
        <v>POST_PEAK</v>
      </c>
      <c r="D37" s="7" t="str">
        <f ca="1">Regime_3_PhaseRate[[#This Row],[PHASE]]</f>
        <v>POST_PEAK</v>
      </c>
      <c r="E37" s="4" t="str">
        <f ca="1">Regime_3_PhaseRate[[#This Row],[RATE_TYPE]]&amp;"_"&amp;COUNTIFS($D$28:D37,Regime_3_PhaseRate[[#This Row],[RATE_TYPE]])</f>
        <v>POST_PEAK_4</v>
      </c>
      <c r="F37" s="7">
        <f ca="1">VLOOKUP(Regime_3_PhaseRate[[#This Row],[RATE_NAME]],Regime_3_Rate[[NAME]:[RATE]],2,0)</f>
        <v>0.48938000000000009</v>
      </c>
    </row>
    <row r="38" spans="2:6" x14ac:dyDescent="0.25">
      <c r="B38">
        <v>11</v>
      </c>
      <c r="C38" t="str">
        <f ca="1">VLOOKUP(SUMIFS(Regime_3_Phase[ID],Regime_3_Phase[BEG_PHASE],"&lt;"&amp;Regime_3_PhaseRate[[#This Row],[ID]],Regime_3_Phase[END_PHASE],"&gt;="&amp;Regime_3_PhaseRate[[#This Row],[ID]]),Regime_3_Phase[[ID]:[PHASE]],2,0)</f>
        <v>POST_PEAK</v>
      </c>
      <c r="D38" s="7" t="str">
        <f ca="1">Regime_3_PhaseRate[[#This Row],[PHASE]]</f>
        <v>POST_PEAK</v>
      </c>
      <c r="E38" s="4" t="str">
        <f ca="1">Regime_3_PhaseRate[[#This Row],[RATE_TYPE]]&amp;"_"&amp;COUNTIFS($D$28:D38,Regime_3_PhaseRate[[#This Row],[RATE_TYPE]])</f>
        <v>POST_PEAK_5</v>
      </c>
      <c r="F38" s="7">
        <f ca="1">VLOOKUP(Regime_3_PhaseRate[[#This Row],[RATE_NAME]],Regime_3_Rate[[NAME]:[RATE]],2,0)</f>
        <v>0.44306000000000012</v>
      </c>
    </row>
    <row r="39" spans="2:6" x14ac:dyDescent="0.25">
      <c r="B39">
        <v>12</v>
      </c>
      <c r="C39" t="str">
        <f ca="1">VLOOKUP(SUMIFS(Regime_3_Phase[ID],Regime_3_Phase[BEG_PHASE],"&lt;"&amp;Regime_3_PhaseRate[[#This Row],[ID]],Regime_3_Phase[END_PHASE],"&gt;="&amp;Regime_3_PhaseRate[[#This Row],[ID]]),Regime_3_Phase[[ID]:[PHASE]],2,0)</f>
        <v>POST_PEAK</v>
      </c>
      <c r="D39" s="7" t="str">
        <f ca="1">Regime_3_PhaseRate[[#This Row],[PHASE]]</f>
        <v>POST_PEAK</v>
      </c>
      <c r="E39" s="4" t="str">
        <f ca="1">Regime_3_PhaseRate[[#This Row],[RATE_TYPE]]&amp;"_"&amp;COUNTIFS($D$28:D39,Regime_3_PhaseRate[[#This Row],[RATE_TYPE]])</f>
        <v>POST_PEAK_6</v>
      </c>
      <c r="F39" s="7">
        <f ca="1">VLOOKUP(Regime_3_PhaseRate[[#This Row],[RATE_NAME]],Regime_3_Rate[[NAME]:[RATE]],2,0)</f>
        <v>0.3989100000000001</v>
      </c>
    </row>
    <row r="42" spans="2:6" x14ac:dyDescent="0.25">
      <c r="B42" t="s">
        <v>0</v>
      </c>
      <c r="C42" t="s">
        <v>9</v>
      </c>
      <c r="D42" t="s">
        <v>11</v>
      </c>
    </row>
    <row r="43" spans="2:6" x14ac:dyDescent="0.25">
      <c r="B43">
        <v>0</v>
      </c>
      <c r="C43" t="str">
        <f>"PRICE_"&amp;Regime_3_Output[[#This Row],[ID]]</f>
        <v>PRICE_0</v>
      </c>
      <c r="D43" s="3">
        <f ca="1">IF(Regime_3_Output[[#This Row],[ID]]=0,$D$3,$D$3*VLOOKUP(Regime_3_Output[[#This Row],[ID]],Regime_3_PhaseRate[],5))</f>
        <v>104</v>
      </c>
    </row>
    <row r="44" spans="2:6" x14ac:dyDescent="0.25">
      <c r="B44">
        <v>1</v>
      </c>
      <c r="C44" t="str">
        <f>"PRICE_"&amp;Regime_3_Output[[#This Row],[ID]]</f>
        <v>PRICE_1</v>
      </c>
      <c r="D44" s="3">
        <f ca="1">IF(Regime_3_Output[[#This Row],[ID]]=0,$D$3,$D$3*VLOOKUP(Regime_3_Output[[#This Row],[ID]],Regime_3_PhaseRate[],5))</f>
        <v>62.557040000000001</v>
      </c>
    </row>
    <row r="45" spans="2:6" x14ac:dyDescent="0.25">
      <c r="B45">
        <v>2</v>
      </c>
      <c r="C45" t="str">
        <f>"PRICE_"&amp;Regime_3_Output[[#This Row],[ID]]</f>
        <v>PRICE_2</v>
      </c>
      <c r="D45" s="3">
        <f ca="1">IF(Regime_3_Output[[#This Row],[ID]]=0,$D$3,$D$3*VLOOKUP(Regime_3_Output[[#This Row],[ID]],Regime_3_PhaseRate[],5))</f>
        <v>133.35399999999998</v>
      </c>
    </row>
    <row r="46" spans="2:6" x14ac:dyDescent="0.25">
      <c r="B46">
        <v>3</v>
      </c>
      <c r="C46" t="str">
        <f>"PRICE_"&amp;Regime_3_Output[[#This Row],[ID]]</f>
        <v>PRICE_3</v>
      </c>
      <c r="D46" s="3">
        <f ca="1">IF(Regime_3_Output[[#This Row],[ID]]=0,$D$3,$D$3*VLOOKUP(Regime_3_Output[[#This Row],[ID]],Regime_3_PhaseRate[],5))</f>
        <v>100.13016</v>
      </c>
    </row>
    <row r="47" spans="2:6" x14ac:dyDescent="0.25">
      <c r="B47">
        <v>4</v>
      </c>
      <c r="C47" t="str">
        <f>"PRICE_"&amp;Regime_3_Output[[#This Row],[ID]]</f>
        <v>PRICE_4</v>
      </c>
      <c r="D47" s="3">
        <f ca="1">IF(Regime_3_Output[[#This Row],[ID]]=0,$D$3,$D$3*VLOOKUP(Regime_3_Output[[#This Row],[ID]],Regime_3_PhaseRate[],5))</f>
        <v>77.894959999999998</v>
      </c>
    </row>
    <row r="48" spans="2:6" x14ac:dyDescent="0.25">
      <c r="B48">
        <v>5</v>
      </c>
      <c r="C48" t="str">
        <f>"PRICE_"&amp;Regime_3_Output[[#This Row],[ID]]</f>
        <v>PRICE_5</v>
      </c>
      <c r="D48" s="3">
        <f ca="1">IF(Regime_3_Output[[#This Row],[ID]]=0,$D$3,$D$3*VLOOKUP(Regime_3_Output[[#This Row],[ID]],Regime_3_PhaseRate[],5))</f>
        <v>188.92223999999999</v>
      </c>
    </row>
    <row r="49" spans="2:4" x14ac:dyDescent="0.25">
      <c r="B49">
        <v>6</v>
      </c>
      <c r="C49" t="str">
        <f>"PRICE_"&amp;Regime_3_Output[[#This Row],[ID]]</f>
        <v>PRICE_6</v>
      </c>
      <c r="D49" s="3">
        <f ca="1">IF(Regime_3_Output[[#This Row],[ID]]=0,$D$3,$D$3*VLOOKUP(Regime_3_Output[[#This Row],[ID]],Regime_3_PhaseRate[],5))</f>
        <v>55.793920000000007</v>
      </c>
    </row>
    <row r="50" spans="2:4" x14ac:dyDescent="0.25">
      <c r="B50">
        <v>7</v>
      </c>
      <c r="C50" t="str">
        <f>"PRICE_"&amp;Regime_3_Output[[#This Row],[ID]]</f>
        <v>PRICE_7</v>
      </c>
      <c r="D50" s="3">
        <f ca="1">IF(Regime_3_Output[[#This Row],[ID]]=0,$D$3,$D$3*VLOOKUP(Regime_3_Output[[#This Row],[ID]],Regime_3_PhaseRate[],5))</f>
        <v>62.557040000000001</v>
      </c>
    </row>
    <row r="51" spans="2:4" x14ac:dyDescent="0.25">
      <c r="B51">
        <v>8</v>
      </c>
      <c r="C51" t="str">
        <f>"PRICE_"&amp;Regime_3_Output[[#This Row],[ID]]</f>
        <v>PRICE_8</v>
      </c>
      <c r="D51" s="3">
        <f ca="1">IF(Regime_3_Output[[#This Row],[ID]]=0,$D$3,$D$3*VLOOKUP(Regime_3_Output[[#This Row],[ID]],Regime_3_PhaseRate[],5))</f>
        <v>58.445920000000001</v>
      </c>
    </row>
    <row r="52" spans="2:4" x14ac:dyDescent="0.25">
      <c r="B52">
        <v>9</v>
      </c>
      <c r="C52" t="str">
        <f>"PRICE_"&amp;Regime_3_Output[[#This Row],[ID]]</f>
        <v>PRICE_9</v>
      </c>
      <c r="D52" s="3">
        <f ca="1">IF(Regime_3_Output[[#This Row],[ID]]=0,$D$3,$D$3*VLOOKUP(Regime_3_Output[[#This Row],[ID]],Regime_3_PhaseRate[],5))</f>
        <v>54.456480000000006</v>
      </c>
    </row>
    <row r="53" spans="2:4" x14ac:dyDescent="0.25">
      <c r="B53">
        <v>10</v>
      </c>
      <c r="C53" t="str">
        <f>"PRICE_"&amp;Regime_3_Output[[#This Row],[ID]]</f>
        <v>PRICE_10</v>
      </c>
      <c r="D53" s="3">
        <f ca="1">IF(Regime_3_Output[[#This Row],[ID]]=0,$D$3,$D$3*VLOOKUP(Regime_3_Output[[#This Row],[ID]],Regime_3_PhaseRate[],5))</f>
        <v>50.895520000000012</v>
      </c>
    </row>
    <row r="54" spans="2:4" x14ac:dyDescent="0.25">
      <c r="B54">
        <v>11</v>
      </c>
      <c r="C54" t="str">
        <f>"PRICE_"&amp;Regime_3_Output[[#This Row],[ID]]</f>
        <v>PRICE_11</v>
      </c>
      <c r="D54" s="3">
        <f ca="1">IF(Regime_3_Output[[#This Row],[ID]]=0,$D$3,$D$3*VLOOKUP(Regime_3_Output[[#This Row],[ID]],Regime_3_PhaseRate[],5))</f>
        <v>46.078240000000015</v>
      </c>
    </row>
    <row r="55" spans="2:4" x14ac:dyDescent="0.25">
      <c r="B55">
        <v>12</v>
      </c>
      <c r="C55" t="str">
        <f>"PRICE_"&amp;Regime_3_Output[[#This Row],[ID]]</f>
        <v>PRICE_12</v>
      </c>
      <c r="D55" s="3">
        <f ca="1">IF(Regime_3_Output[[#This Row],[ID]]=0,$D$3,$D$3*VLOOKUP(Regime_3_Output[[#This Row],[ID]],Regime_3_PhaseRate[],5))</f>
        <v>41.486640000000008</v>
      </c>
    </row>
  </sheetData>
  <pageMargins left="0.7" right="0.7" top="0.75" bottom="0.75" header="0.3" footer="0.3"/>
  <pageSetup orientation="portrait" horizontalDpi="4294967293" verticalDpi="4294967293" r:id="rId1"/>
  <drawing r:id="rId2"/>
  <tableParts count="5"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autoPageBreaks="0"/>
  </sheetPr>
  <dimension ref="B3:N653"/>
  <sheetViews>
    <sheetView showGridLines="0" topLeftCell="A3" workbookViewId="0">
      <selection activeCell="K3" sqref="K3"/>
    </sheetView>
  </sheetViews>
  <sheetFormatPr defaultRowHeight="15" x14ac:dyDescent="0.25"/>
  <cols>
    <col min="2" max="2" width="9.5703125" bestFit="1" customWidth="1"/>
    <col min="3" max="3" width="8.42578125" bestFit="1" customWidth="1"/>
    <col min="4" max="4" width="10.28515625" bestFit="1" customWidth="1"/>
    <col min="5" max="5" width="18.42578125" bestFit="1" customWidth="1"/>
    <col min="6" max="6" width="18.42578125" customWidth="1"/>
    <col min="7" max="7" width="10.7109375" bestFit="1" customWidth="1"/>
    <col min="8" max="8" width="9.140625" bestFit="1" customWidth="1"/>
    <col min="9" max="9" width="16" bestFit="1" customWidth="1"/>
    <col min="10" max="10" width="11.7109375" bestFit="1" customWidth="1"/>
    <col min="11" max="11" width="12.42578125" bestFit="1" customWidth="1"/>
    <col min="12" max="12" width="19.7109375" bestFit="1" customWidth="1"/>
  </cols>
  <sheetData>
    <row r="3" spans="2:14" x14ac:dyDescent="0.25">
      <c r="B3" t="s">
        <v>57</v>
      </c>
      <c r="C3" t="s">
        <v>59</v>
      </c>
      <c r="D3" t="s">
        <v>72</v>
      </c>
      <c r="E3" t="s">
        <v>58</v>
      </c>
      <c r="F3" t="s">
        <v>67</v>
      </c>
      <c r="G3" t="s">
        <v>9</v>
      </c>
      <c r="H3" t="s">
        <v>11</v>
      </c>
      <c r="I3" t="s">
        <v>4</v>
      </c>
      <c r="J3" t="s">
        <v>64</v>
      </c>
      <c r="K3" t="s">
        <v>65</v>
      </c>
      <c r="L3" t="s">
        <v>68</v>
      </c>
      <c r="M3" t="s">
        <v>70</v>
      </c>
      <c r="N3" t="s">
        <v>73</v>
      </c>
    </row>
    <row r="4" spans="2:14" x14ac:dyDescent="0.25">
      <c r="B4">
        <v>1</v>
      </c>
      <c r="C4">
        <v>1</v>
      </c>
      <c r="D4">
        <f>VALUE(RIGHT(Sim_Output[[#This Row],[OUTPUT]],LEN(Sim_Output[[#This Row],[OUTPUT]])-6))</f>
        <v>0</v>
      </c>
      <c r="E4">
        <v>3</v>
      </c>
      <c r="F4" t="str">
        <f>Sim_Output[[#This Row],[SIM_ID]]&amp;" - "&amp;Sim_Output[[#This Row],[WEEK]]&amp;" - "&amp;Sim_Output[[#This Row],[REGIME]]</f>
        <v>1 - 1 - 3</v>
      </c>
      <c r="G4" t="s">
        <v>44</v>
      </c>
      <c r="H4">
        <v>97</v>
      </c>
      <c r="I4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4" s="7">
        <f>Sim_Output[[#This Row],[VALUE]]/SUMIFS(Sim_Output[VALUE],Sim_Output[SIM_ID],Sim_Output[[#This Row],[SIM_ID]],Sim_Output[WEEK],Sim_Output[[#This Row],[WEEK]],Sim_Output[OUTPUT],"PRICE_0")-1</f>
        <v>0</v>
      </c>
      <c r="K4" s="4">
        <f ca="1">IF(Sim_Output[[#This Row],[OUTPUT]]="PRICE_0",0,_xlfn.RANK.EQ(Sim_Output[[#This Row],[WTD_RET]],OFFSET(Sim_Output[[#This Row],[WTD_RET]],-Sim_Output[[#This Row],[OBS]]+1,0,12)))</f>
        <v>0</v>
      </c>
      <c r="L4" s="3" t="str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/>
      </c>
      <c r="M4" s="3" t="str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/>
      </c>
      <c r="N4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</v>
      </c>
    </row>
    <row r="5" spans="2:14" x14ac:dyDescent="0.25">
      <c r="B5">
        <v>1</v>
      </c>
      <c r="C5">
        <v>1</v>
      </c>
      <c r="D5">
        <f>VALUE(RIGHT(Sim_Output[[#This Row],[OUTPUT]],LEN(Sim_Output[[#This Row],[OUTPUT]])-6))</f>
        <v>1</v>
      </c>
      <c r="E5">
        <v>3</v>
      </c>
      <c r="F5" t="str">
        <f>Sim_Output[[#This Row],[SIM_ID]]&amp;" - "&amp;Sim_Output[[#This Row],[WEEK]]&amp;" - "&amp;Sim_Output[[#This Row],[REGIME]]</f>
        <v>1 - 1 - 3</v>
      </c>
      <c r="G5" t="s">
        <v>45</v>
      </c>
      <c r="H5">
        <v>77</v>
      </c>
      <c r="I5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5" s="7">
        <f>Sim_Output[[#This Row],[VALUE]]/SUMIFS(Sim_Output[VALUE],Sim_Output[SIM_ID],Sim_Output[[#This Row],[SIM_ID]],Sim_Output[WEEK],Sim_Output[[#This Row],[WEEK]],Sim_Output[OUTPUT],"PRICE_0")-1</f>
        <v>-0.20618556701030932</v>
      </c>
      <c r="K5" s="4">
        <f ca="1">IF(Sim_Output[[#This Row],[OUTPUT]]="PRICE_0",0,_xlfn.RANK.EQ(Sim_Output[[#This Row],[WTD_RET]],OFFSET(Sim_Output[[#This Row],[WTD_RET]],-Sim_Output[[#This Row],[OBS]]+1,0,12)))</f>
        <v>4</v>
      </c>
      <c r="L5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-0.18838042924107792</v>
      </c>
      <c r="M5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0.19047619047619038</v>
      </c>
      <c r="N5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-0.20618556701030932</v>
      </c>
    </row>
    <row r="6" spans="2:14" x14ac:dyDescent="0.25">
      <c r="B6">
        <v>1</v>
      </c>
      <c r="C6">
        <v>1</v>
      </c>
      <c r="D6">
        <f>VALUE(RIGHT(Sim_Output[[#This Row],[OUTPUT]],LEN(Sim_Output[[#This Row],[OUTPUT]])-6))</f>
        <v>2</v>
      </c>
      <c r="E6">
        <v>3</v>
      </c>
      <c r="F6" t="str">
        <f>Sim_Output[[#This Row],[SIM_ID]]&amp;" - "&amp;Sim_Output[[#This Row],[WEEK]]&amp;" - "&amp;Sim_Output[[#This Row],[REGIME]]</f>
        <v>1 - 1 - 3</v>
      </c>
      <c r="G6" t="s">
        <v>46</v>
      </c>
      <c r="H6">
        <v>73</v>
      </c>
      <c r="I6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6" s="7">
        <f>Sim_Output[[#This Row],[VALUE]]/SUMIFS(Sim_Output[VALUE],Sim_Output[SIM_ID],Sim_Output[[#This Row],[SIM_ID]],Sim_Output[WEEK],Sim_Output[[#This Row],[WEEK]],Sim_Output[OUTPUT],"PRICE_0")-1</f>
        <v>-0.24742268041237114</v>
      </c>
      <c r="K6" s="4">
        <f ca="1">IF(Sim_Output[[#This Row],[OUTPUT]]="PRICE_0",0,_xlfn.RANK.EQ(Sim_Output[[#This Row],[WTD_RET]],OFFSET(Sim_Output[[#This Row],[WTD_RET]],-Sim_Output[[#This Row],[OBS]]+1,0,12)))</f>
        <v>7</v>
      </c>
      <c r="L6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-0.32333954272722309</v>
      </c>
      <c r="M6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0.15238095238095234</v>
      </c>
      <c r="N6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-5.1948051948051965E-2</v>
      </c>
    </row>
    <row r="7" spans="2:14" x14ac:dyDescent="0.25">
      <c r="B7">
        <v>1</v>
      </c>
      <c r="C7">
        <v>1</v>
      </c>
      <c r="D7">
        <f>VALUE(RIGHT(Sim_Output[[#This Row],[OUTPUT]],LEN(Sim_Output[[#This Row],[OUTPUT]])-6))</f>
        <v>3</v>
      </c>
      <c r="E7">
        <v>3</v>
      </c>
      <c r="F7" t="str">
        <f>Sim_Output[[#This Row],[SIM_ID]]&amp;" - "&amp;Sim_Output[[#This Row],[WEEK]]&amp;" - "&amp;Sim_Output[[#This Row],[REGIME]]</f>
        <v>1 - 1 - 3</v>
      </c>
      <c r="G7" t="s">
        <v>47</v>
      </c>
      <c r="H7">
        <v>70</v>
      </c>
      <c r="I7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7" s="7">
        <f>Sim_Output[[#This Row],[VALUE]]/SUMIFS(Sim_Output[VALUE],Sim_Output[SIM_ID],Sim_Output[[#This Row],[SIM_ID]],Sim_Output[WEEK],Sim_Output[[#This Row],[WEEK]],Sim_Output[OUTPUT],"PRICE_0")-1</f>
        <v>-0.27835051546391754</v>
      </c>
      <c r="K7" s="4">
        <f ca="1">IF(Sim_Output[[#This Row],[OUTPUT]]="PRICE_0",0,_xlfn.RANK.EQ(Sim_Output[[#This Row],[WTD_RET]],OFFSET(Sim_Output[[#This Row],[WTD_RET]],-Sim_Output[[#This Row],[OBS]]+1,0,12)))</f>
        <v>8</v>
      </c>
      <c r="L7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-0.42455887784183205</v>
      </c>
      <c r="M7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0.12380952380952376</v>
      </c>
      <c r="N7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-4.1095890410958957E-2</v>
      </c>
    </row>
    <row r="8" spans="2:14" x14ac:dyDescent="0.25">
      <c r="B8">
        <v>1</v>
      </c>
      <c r="C8">
        <v>1</v>
      </c>
      <c r="D8">
        <f>VALUE(RIGHT(Sim_Output[[#This Row],[OUTPUT]],LEN(Sim_Output[[#This Row],[OUTPUT]])-6))</f>
        <v>4</v>
      </c>
      <c r="E8">
        <v>3</v>
      </c>
      <c r="F8" t="str">
        <f>Sim_Output[[#This Row],[SIM_ID]]&amp;" - "&amp;Sim_Output[[#This Row],[WEEK]]&amp;" - "&amp;Sim_Output[[#This Row],[REGIME]]</f>
        <v>1 - 1 - 3</v>
      </c>
      <c r="G8" t="s">
        <v>48</v>
      </c>
      <c r="H8">
        <v>66</v>
      </c>
      <c r="I8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8" s="7">
        <f>Sim_Output[[#This Row],[VALUE]]/SUMIFS(Sim_Output[VALUE],Sim_Output[SIM_ID],Sim_Output[[#This Row],[SIM_ID]],Sim_Output[WEEK],Sim_Output[[#This Row],[WEEK]],Sim_Output[OUTPUT],"PRICE_0")-1</f>
        <v>-0.31958762886597936</v>
      </c>
      <c r="K8" s="4">
        <f ca="1">IF(Sim_Output[[#This Row],[OUTPUT]]="PRICE_0",0,_xlfn.RANK.EQ(Sim_Output[[#This Row],[WTD_RET]],OFFSET(Sim_Output[[#This Row],[WTD_RET]],-Sim_Output[[#This Row],[OBS]]+1,0,12)))</f>
        <v>9</v>
      </c>
      <c r="L8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-0.55951799132797719</v>
      </c>
      <c r="M8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8.5714285714285701E-2</v>
      </c>
      <c r="N8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-5.7142857142857162E-2</v>
      </c>
    </row>
    <row r="9" spans="2:14" x14ac:dyDescent="0.25">
      <c r="B9">
        <v>1</v>
      </c>
      <c r="C9">
        <v>1</v>
      </c>
      <c r="D9">
        <f>VALUE(RIGHT(Sim_Output[[#This Row],[OUTPUT]],LEN(Sim_Output[[#This Row],[OUTPUT]])-6))</f>
        <v>5</v>
      </c>
      <c r="E9">
        <v>3</v>
      </c>
      <c r="F9" t="str">
        <f>Sim_Output[[#This Row],[SIM_ID]]&amp;" - "&amp;Sim_Output[[#This Row],[WEEK]]&amp;" - "&amp;Sim_Output[[#This Row],[REGIME]]</f>
        <v>1 - 1 - 3</v>
      </c>
      <c r="G9" t="s">
        <v>49</v>
      </c>
      <c r="H9">
        <v>63</v>
      </c>
      <c r="I9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9" s="7">
        <f>Sim_Output[[#This Row],[VALUE]]/SUMIFS(Sim_Output[VALUE],Sim_Output[SIM_ID],Sim_Output[[#This Row],[SIM_ID]],Sim_Output[WEEK],Sim_Output[[#This Row],[WEEK]],Sim_Output[OUTPUT],"PRICE_0")-1</f>
        <v>-0.35051546391752575</v>
      </c>
      <c r="K9" s="4">
        <f ca="1">IF(Sim_Output[[#This Row],[OUTPUT]]="PRICE_0",0,_xlfn.RANK.EQ(Sim_Output[[#This Row],[WTD_RET]],OFFSET(Sim_Output[[#This Row],[WTD_RET]],-Sim_Output[[#This Row],[OBS]]+1,0,12)))</f>
        <v>10</v>
      </c>
      <c r="L9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-0.66073732644258609</v>
      </c>
      <c r="M9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5.7142857142857134E-2</v>
      </c>
      <c r="N9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-4.5454545454545414E-2</v>
      </c>
    </row>
    <row r="10" spans="2:14" x14ac:dyDescent="0.25">
      <c r="B10">
        <v>1</v>
      </c>
      <c r="C10">
        <v>1</v>
      </c>
      <c r="D10">
        <f>VALUE(RIGHT(Sim_Output[[#This Row],[OUTPUT]],LEN(Sim_Output[[#This Row],[OUTPUT]])-6))</f>
        <v>6</v>
      </c>
      <c r="E10">
        <v>3</v>
      </c>
      <c r="F10" t="str">
        <f>Sim_Output[[#This Row],[SIM_ID]]&amp;" - "&amp;Sim_Output[[#This Row],[WEEK]]&amp;" - "&amp;Sim_Output[[#This Row],[REGIME]]</f>
        <v>1 - 1 - 3</v>
      </c>
      <c r="G10" t="s">
        <v>50</v>
      </c>
      <c r="H10">
        <v>111</v>
      </c>
      <c r="I10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10" s="7">
        <f>Sim_Output[[#This Row],[VALUE]]/SUMIFS(Sim_Output[VALUE],Sim_Output[SIM_ID],Sim_Output[[#This Row],[SIM_ID]],Sim_Output[WEEK],Sim_Output[[#This Row],[WEEK]],Sim_Output[OUTPUT],"PRICE_0")-1</f>
        <v>0.14432989690721643</v>
      </c>
      <c r="K10" s="4">
        <f ca="1">IF(Sim_Output[[#This Row],[OUTPUT]]="PRICE_0",0,_xlfn.RANK.EQ(Sim_Output[[#This Row],[WTD_RET]],OFFSET(Sim_Output[[#This Row],[WTD_RET]],-Sim_Output[[#This Row],[OBS]]+1,0,12)))</f>
        <v>2</v>
      </c>
      <c r="L10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0.95877203539115685</v>
      </c>
      <c r="M10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0.51428571428571412</v>
      </c>
      <c r="N10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0.76190476190476186</v>
      </c>
    </row>
    <row r="11" spans="2:14" x14ac:dyDescent="0.25">
      <c r="B11">
        <v>1</v>
      </c>
      <c r="C11">
        <v>1</v>
      </c>
      <c r="D11">
        <f>VALUE(RIGHT(Sim_Output[[#This Row],[OUTPUT]],LEN(Sim_Output[[#This Row],[OUTPUT]])-6))</f>
        <v>7</v>
      </c>
      <c r="E11">
        <v>3</v>
      </c>
      <c r="F11" t="str">
        <f>Sim_Output[[#This Row],[SIM_ID]]&amp;" - "&amp;Sim_Output[[#This Row],[WEEK]]&amp;" - "&amp;Sim_Output[[#This Row],[REGIME]]</f>
        <v>1 - 1 - 3</v>
      </c>
      <c r="G11" t="s">
        <v>51</v>
      </c>
      <c r="H11">
        <v>101</v>
      </c>
      <c r="I11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11" s="7">
        <f>Sim_Output[[#This Row],[VALUE]]/SUMIFS(Sim_Output[VALUE],Sim_Output[SIM_ID],Sim_Output[[#This Row],[SIM_ID]],Sim_Output[WEEK],Sim_Output[[#This Row],[WEEK]],Sim_Output[OUTPUT],"PRICE_0")-1</f>
        <v>4.1237113402061931E-2</v>
      </c>
      <c r="K11" s="4">
        <f ca="1">IF(Sim_Output[[#This Row],[OUTPUT]]="PRICE_0",0,_xlfn.RANK.EQ(Sim_Output[[#This Row],[WTD_RET]],OFFSET(Sim_Output[[#This Row],[WTD_RET]],-Sim_Output[[#This Row],[OBS]]+1,0,12)))</f>
        <v>3</v>
      </c>
      <c r="L11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0.62137425167579408</v>
      </c>
      <c r="M11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0.41904761904761906</v>
      </c>
      <c r="N11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-9.0090090090090058E-2</v>
      </c>
    </row>
    <row r="12" spans="2:14" x14ac:dyDescent="0.25">
      <c r="B12">
        <v>1</v>
      </c>
      <c r="C12">
        <v>1</v>
      </c>
      <c r="D12">
        <f>VALUE(RIGHT(Sim_Output[[#This Row],[OUTPUT]],LEN(Sim_Output[[#This Row],[OUTPUT]])-6))</f>
        <v>8</v>
      </c>
      <c r="E12">
        <v>3</v>
      </c>
      <c r="F12" t="str">
        <f>Sim_Output[[#This Row],[SIM_ID]]&amp;" - "&amp;Sim_Output[[#This Row],[WEEK]]&amp;" - "&amp;Sim_Output[[#This Row],[REGIME]]</f>
        <v>1 - 1 - 3</v>
      </c>
      <c r="G12" t="s">
        <v>52</v>
      </c>
      <c r="H12">
        <v>57</v>
      </c>
      <c r="I12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12" s="7">
        <f>Sim_Output[[#This Row],[VALUE]]/SUMIFS(Sim_Output[VALUE],Sim_Output[SIM_ID],Sim_Output[[#This Row],[SIM_ID]],Sim_Output[WEEK],Sim_Output[[#This Row],[WEEK]],Sim_Output[OUTPUT],"PRICE_0")-1</f>
        <v>-0.41237113402061853</v>
      </c>
      <c r="K12" s="4">
        <f ca="1">IF(Sim_Output[[#This Row],[OUTPUT]]="PRICE_0",0,_xlfn.RANK.EQ(Sim_Output[[#This Row],[WTD_RET]],OFFSET(Sim_Output[[#This Row],[WTD_RET]],-Sim_Output[[#This Row],[OBS]]+1,0,12)))</f>
        <v>12</v>
      </c>
      <c r="L12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-0.863175996671804</v>
      </c>
      <c r="M12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</v>
      </c>
      <c r="N12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-0.4356435643564357</v>
      </c>
    </row>
    <row r="13" spans="2:14" x14ac:dyDescent="0.25">
      <c r="B13">
        <v>1</v>
      </c>
      <c r="C13">
        <v>1</v>
      </c>
      <c r="D13">
        <f>VALUE(RIGHT(Sim_Output[[#This Row],[OUTPUT]],LEN(Sim_Output[[#This Row],[OUTPUT]])-6))</f>
        <v>9</v>
      </c>
      <c r="E13">
        <v>3</v>
      </c>
      <c r="F13" t="str">
        <f>Sim_Output[[#This Row],[SIM_ID]]&amp;" - "&amp;Sim_Output[[#This Row],[WEEK]]&amp;" - "&amp;Sim_Output[[#This Row],[REGIME]]</f>
        <v>1 - 1 - 3</v>
      </c>
      <c r="G13" t="s">
        <v>53</v>
      </c>
      <c r="H13">
        <v>162</v>
      </c>
      <c r="I13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13" s="7">
        <f>Sim_Output[[#This Row],[VALUE]]/SUMIFS(Sim_Output[VALUE],Sim_Output[SIM_ID],Sim_Output[[#This Row],[SIM_ID]],Sim_Output[WEEK],Sim_Output[[#This Row],[WEEK]],Sim_Output[OUTPUT],"PRICE_0")-1</f>
        <v>0.67010309278350522</v>
      </c>
      <c r="K13" s="4">
        <f ca="1">IF(Sim_Output[[#This Row],[OUTPUT]]="PRICE_0",0,_xlfn.RANK.EQ(Sim_Output[[#This Row],[WTD_RET]],OFFSET(Sim_Output[[#This Row],[WTD_RET]],-Sim_Output[[#This Row],[OBS]]+1,0,12)))</f>
        <v>1</v>
      </c>
      <c r="L13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2.6795007323395095</v>
      </c>
      <c r="M13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1</v>
      </c>
      <c r="N13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1.8421052631578947</v>
      </c>
    </row>
    <row r="14" spans="2:14" x14ac:dyDescent="0.25">
      <c r="B14">
        <v>1</v>
      </c>
      <c r="C14">
        <v>1</v>
      </c>
      <c r="D14">
        <f>VALUE(RIGHT(Sim_Output[[#This Row],[OUTPUT]],LEN(Sim_Output[[#This Row],[OUTPUT]])-6))</f>
        <v>10</v>
      </c>
      <c r="E14">
        <v>3</v>
      </c>
      <c r="F14" t="str">
        <f>Sim_Output[[#This Row],[SIM_ID]]&amp;" - "&amp;Sim_Output[[#This Row],[WEEK]]&amp;" - "&amp;Sim_Output[[#This Row],[REGIME]]</f>
        <v>1 - 1 - 3</v>
      </c>
      <c r="G14" t="s">
        <v>54</v>
      </c>
      <c r="H14">
        <v>60</v>
      </c>
      <c r="I14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14" s="7">
        <f>Sim_Output[[#This Row],[VALUE]]/SUMIFS(Sim_Output[VALUE],Sim_Output[SIM_ID],Sim_Output[[#This Row],[SIM_ID]],Sim_Output[WEEK],Sim_Output[[#This Row],[WEEK]],Sim_Output[OUTPUT],"PRICE_0")-1</f>
        <v>-0.38144329896907214</v>
      </c>
      <c r="K14" s="4">
        <f ca="1">IF(Sim_Output[[#This Row],[OUTPUT]]="PRICE_0",0,_xlfn.RANK.EQ(Sim_Output[[#This Row],[WTD_RET]],OFFSET(Sim_Output[[#This Row],[WTD_RET]],-Sim_Output[[#This Row],[OBS]]+1,0,12)))</f>
        <v>11</v>
      </c>
      <c r="L14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-0.7619566615571951</v>
      </c>
      <c r="M14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2.8571428571428567E-2</v>
      </c>
      <c r="N14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-0.62962962962962965</v>
      </c>
    </row>
    <row r="15" spans="2:14" x14ac:dyDescent="0.25">
      <c r="B15">
        <v>1</v>
      </c>
      <c r="C15">
        <v>1</v>
      </c>
      <c r="D15">
        <f>VALUE(RIGHT(Sim_Output[[#This Row],[OUTPUT]],LEN(Sim_Output[[#This Row],[OUTPUT]])-6))</f>
        <v>11</v>
      </c>
      <c r="E15">
        <v>3</v>
      </c>
      <c r="F15" t="str">
        <f>Sim_Output[[#This Row],[SIM_ID]]&amp;" - "&amp;Sim_Output[[#This Row],[WEEK]]&amp;" - "&amp;Sim_Output[[#This Row],[REGIME]]</f>
        <v>1 - 1 - 3</v>
      </c>
      <c r="G15" t="s">
        <v>55</v>
      </c>
      <c r="H15">
        <v>77</v>
      </c>
      <c r="I15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15" s="7">
        <f>Sim_Output[[#This Row],[VALUE]]/SUMIFS(Sim_Output[VALUE],Sim_Output[SIM_ID],Sim_Output[[#This Row],[SIM_ID]],Sim_Output[WEEK],Sim_Output[[#This Row],[WEEK]],Sim_Output[OUTPUT],"PRICE_0")-1</f>
        <v>-0.20618556701030932</v>
      </c>
      <c r="K15" s="4">
        <f ca="1">IF(Sim_Output[[#This Row],[OUTPUT]]="PRICE_0",0,_xlfn.RANK.EQ(Sim_Output[[#This Row],[WTD_RET]],OFFSET(Sim_Output[[#This Row],[WTD_RET]],-Sim_Output[[#This Row],[OBS]]+1,0,12)))</f>
        <v>4</v>
      </c>
      <c r="L15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-0.18838042924107792</v>
      </c>
      <c r="M15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0.19047619047619038</v>
      </c>
      <c r="N15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0.28333333333333344</v>
      </c>
    </row>
    <row r="16" spans="2:14" x14ac:dyDescent="0.25">
      <c r="B16">
        <v>1</v>
      </c>
      <c r="C16">
        <v>1</v>
      </c>
      <c r="D16">
        <f>VALUE(RIGHT(Sim_Output[[#This Row],[OUTPUT]],LEN(Sim_Output[[#This Row],[OUTPUT]])-6))</f>
        <v>12</v>
      </c>
      <c r="E16">
        <v>3</v>
      </c>
      <c r="F16" t="str">
        <f>Sim_Output[[#This Row],[SIM_ID]]&amp;" - "&amp;Sim_Output[[#This Row],[WEEK]]&amp;" - "&amp;Sim_Output[[#This Row],[REGIME]]</f>
        <v>1 - 1 - 3</v>
      </c>
      <c r="G16" t="s">
        <v>56</v>
      </c>
      <c r="H16">
        <v>74</v>
      </c>
      <c r="I16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16" s="7">
        <f>Sim_Output[[#This Row],[VALUE]]/SUMIFS(Sim_Output[VALUE],Sim_Output[SIM_ID],Sim_Output[[#This Row],[SIM_ID]],Sim_Output[WEEK],Sim_Output[[#This Row],[WEEK]],Sim_Output[OUTPUT],"PRICE_0")-1</f>
        <v>-0.23711340206185572</v>
      </c>
      <c r="K16" s="4">
        <f ca="1">IF(Sim_Output[[#This Row],[OUTPUT]]="PRICE_0",0,_xlfn.RANK.EQ(Sim_Output[[#This Row],[WTD_RET]],OFFSET(Sim_Output[[#This Row],[WTD_RET]],-Sim_Output[[#This Row],[OBS]]+1,0,12)))</f>
        <v>6</v>
      </c>
      <c r="L16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-0.28959976435568685</v>
      </c>
      <c r="M16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0.16190476190476183</v>
      </c>
      <c r="N16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-3.8961038961038974E-2</v>
      </c>
    </row>
    <row r="17" spans="2:14" x14ac:dyDescent="0.25">
      <c r="B17">
        <v>1</v>
      </c>
      <c r="C17">
        <v>2</v>
      </c>
      <c r="D17">
        <f>VALUE(RIGHT(Sim_Output[[#This Row],[OUTPUT]],LEN(Sim_Output[[#This Row],[OUTPUT]])-6))</f>
        <v>0</v>
      </c>
      <c r="E17">
        <v>0</v>
      </c>
      <c r="F17" t="str">
        <f>Sim_Output[[#This Row],[SIM_ID]]&amp;" - "&amp;Sim_Output[[#This Row],[WEEK]]&amp;" - "&amp;Sim_Output[[#This Row],[REGIME]]</f>
        <v>1 - 2 - 0</v>
      </c>
      <c r="G17" t="s">
        <v>44</v>
      </c>
      <c r="H17">
        <v>93</v>
      </c>
      <c r="I17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17" s="7">
        <f>Sim_Output[[#This Row],[VALUE]]/SUMIFS(Sim_Output[VALUE],Sim_Output[SIM_ID],Sim_Output[[#This Row],[SIM_ID]],Sim_Output[WEEK],Sim_Output[[#This Row],[WEEK]],Sim_Output[OUTPUT],"PRICE_0")-1</f>
        <v>0</v>
      </c>
      <c r="K17" s="4">
        <f ca="1">IF(Sim_Output[[#This Row],[OUTPUT]]="PRICE_0",0,_xlfn.RANK.EQ(Sim_Output[[#This Row],[WTD_RET]],OFFSET(Sim_Output[[#This Row],[WTD_RET]],-Sim_Output[[#This Row],[OBS]]+1,0,12)))</f>
        <v>0</v>
      </c>
      <c r="L17" s="3" t="str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/>
      </c>
      <c r="M17" s="3" t="str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/>
      </c>
      <c r="N17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</v>
      </c>
    </row>
    <row r="18" spans="2:14" x14ac:dyDescent="0.25">
      <c r="B18">
        <v>1</v>
      </c>
      <c r="C18">
        <v>2</v>
      </c>
      <c r="D18">
        <f>VALUE(RIGHT(Sim_Output[[#This Row],[OUTPUT]],LEN(Sim_Output[[#This Row],[OUTPUT]])-6))</f>
        <v>1</v>
      </c>
      <c r="E18">
        <v>0</v>
      </c>
      <c r="F18" t="str">
        <f>Sim_Output[[#This Row],[SIM_ID]]&amp;" - "&amp;Sim_Output[[#This Row],[WEEK]]&amp;" - "&amp;Sim_Output[[#This Row],[REGIME]]</f>
        <v>1 - 2 - 0</v>
      </c>
      <c r="G18" t="s">
        <v>45</v>
      </c>
      <c r="H18">
        <v>113</v>
      </c>
      <c r="I18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18" s="7">
        <f>Sim_Output[[#This Row],[VALUE]]/SUMIFS(Sim_Output[VALUE],Sim_Output[SIM_ID],Sim_Output[[#This Row],[SIM_ID]],Sim_Output[WEEK],Sim_Output[[#This Row],[WEEK]],Sim_Output[OUTPUT],"PRICE_0")-1</f>
        <v>0.21505376344086025</v>
      </c>
      <c r="K18" s="4">
        <f ca="1">IF(Sim_Output[[#This Row],[OUTPUT]]="PRICE_0",0,_xlfn.RANK.EQ(Sim_Output[[#This Row],[WTD_RET]],OFFSET(Sim_Output[[#This Row],[WTD_RET]],-Sim_Output[[#This Row],[OBS]]+1,0,12)))</f>
        <v>3</v>
      </c>
      <c r="L18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0.91976985521818677</v>
      </c>
      <c r="M18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0.79761904761904756</v>
      </c>
      <c r="N18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0.21505376344086025</v>
      </c>
    </row>
    <row r="19" spans="2:14" x14ac:dyDescent="0.25">
      <c r="B19">
        <v>1</v>
      </c>
      <c r="C19">
        <v>2</v>
      </c>
      <c r="D19">
        <f>VALUE(RIGHT(Sim_Output[[#This Row],[OUTPUT]],LEN(Sim_Output[[#This Row],[OUTPUT]])-6))</f>
        <v>2</v>
      </c>
      <c r="E19">
        <v>0</v>
      </c>
      <c r="F19" t="str">
        <f>Sim_Output[[#This Row],[SIM_ID]]&amp;" - "&amp;Sim_Output[[#This Row],[WEEK]]&amp;" - "&amp;Sim_Output[[#This Row],[REGIME]]</f>
        <v>1 - 2 - 0</v>
      </c>
      <c r="G19" t="s">
        <v>46</v>
      </c>
      <c r="H19">
        <v>102</v>
      </c>
      <c r="I19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19" s="7">
        <f>Sim_Output[[#This Row],[VALUE]]/SUMIFS(Sim_Output[VALUE],Sim_Output[SIM_ID],Sim_Output[[#This Row],[SIM_ID]],Sim_Output[WEEK],Sim_Output[[#This Row],[WEEK]],Sim_Output[OUTPUT],"PRICE_0")-1</f>
        <v>9.6774193548387011E-2</v>
      </c>
      <c r="K19" s="4">
        <f ca="1">IF(Sim_Output[[#This Row],[OUTPUT]]="PRICE_0",0,_xlfn.RANK.EQ(Sim_Output[[#This Row],[WTD_RET]],OFFSET(Sim_Output[[#This Row],[WTD_RET]],-Sim_Output[[#This Row],[OBS]]+1,0,12)))</f>
        <v>5</v>
      </c>
      <c r="L19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0.53556219417767803</v>
      </c>
      <c r="M19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0.66666666666666652</v>
      </c>
      <c r="N19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-9.7345132743362872E-2</v>
      </c>
    </row>
    <row r="20" spans="2:14" x14ac:dyDescent="0.25">
      <c r="B20">
        <v>1</v>
      </c>
      <c r="C20">
        <v>2</v>
      </c>
      <c r="D20">
        <f>VALUE(RIGHT(Sim_Output[[#This Row],[OUTPUT]],LEN(Sim_Output[[#This Row],[OUTPUT]])-6))</f>
        <v>3</v>
      </c>
      <c r="E20">
        <v>0</v>
      </c>
      <c r="F20" t="str">
        <f>Sim_Output[[#This Row],[SIM_ID]]&amp;" - "&amp;Sim_Output[[#This Row],[WEEK]]&amp;" - "&amp;Sim_Output[[#This Row],[REGIME]]</f>
        <v>1 - 2 - 0</v>
      </c>
      <c r="G20" t="s">
        <v>47</v>
      </c>
      <c r="H20">
        <v>130</v>
      </c>
      <c r="I20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20" s="7">
        <f>Sim_Output[[#This Row],[VALUE]]/SUMIFS(Sim_Output[VALUE],Sim_Output[SIM_ID],Sim_Output[[#This Row],[SIM_ID]],Sim_Output[WEEK],Sim_Output[[#This Row],[WEEK]],Sim_Output[OUTPUT],"PRICE_0")-1</f>
        <v>0.39784946236559149</v>
      </c>
      <c r="K20" s="4">
        <f ca="1">IF(Sim_Output[[#This Row],[OUTPUT]]="PRICE_0",0,_xlfn.RANK.EQ(Sim_Output[[#This Row],[WTD_RET]],OFFSET(Sim_Output[[#This Row],[WTD_RET]],-Sim_Output[[#This Row],[OBS]]+1,0,12)))</f>
        <v>1</v>
      </c>
      <c r="L20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1.5135453313716998</v>
      </c>
      <c r="M20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1</v>
      </c>
      <c r="N20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0.27450980392156854</v>
      </c>
    </row>
    <row r="21" spans="2:14" x14ac:dyDescent="0.25">
      <c r="B21">
        <v>1</v>
      </c>
      <c r="C21">
        <v>2</v>
      </c>
      <c r="D21">
        <f>VALUE(RIGHT(Sim_Output[[#This Row],[OUTPUT]],LEN(Sim_Output[[#This Row],[OUTPUT]])-6))</f>
        <v>4</v>
      </c>
      <c r="E21">
        <v>0</v>
      </c>
      <c r="F21" t="str">
        <f>Sim_Output[[#This Row],[SIM_ID]]&amp;" - "&amp;Sim_Output[[#This Row],[WEEK]]&amp;" - "&amp;Sim_Output[[#This Row],[REGIME]]</f>
        <v>1 - 2 - 0</v>
      </c>
      <c r="G21" t="s">
        <v>48</v>
      </c>
      <c r="H21">
        <v>104</v>
      </c>
      <c r="I21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21" s="7">
        <f>Sim_Output[[#This Row],[VALUE]]/SUMIFS(Sim_Output[VALUE],Sim_Output[SIM_ID],Sim_Output[[#This Row],[SIM_ID]],Sim_Output[WEEK],Sim_Output[[#This Row],[WEEK]],Sim_Output[OUTPUT],"PRICE_0")-1</f>
        <v>0.11827956989247301</v>
      </c>
      <c r="K21" s="4">
        <f ca="1">IF(Sim_Output[[#This Row],[OUTPUT]]="PRICE_0",0,_xlfn.RANK.EQ(Sim_Output[[#This Row],[WTD_RET]],OFFSET(Sim_Output[[#This Row],[WTD_RET]],-Sim_Output[[#This Row],[OBS]]+1,0,12)))</f>
        <v>4</v>
      </c>
      <c r="L21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0.60541813254867949</v>
      </c>
      <c r="M21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0.69047619047619024</v>
      </c>
      <c r="N21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-0.19999999999999996</v>
      </c>
    </row>
    <row r="22" spans="2:14" x14ac:dyDescent="0.25">
      <c r="B22">
        <v>1</v>
      </c>
      <c r="C22">
        <v>2</v>
      </c>
      <c r="D22">
        <f>VALUE(RIGHT(Sim_Output[[#This Row],[OUTPUT]],LEN(Sim_Output[[#This Row],[OUTPUT]])-6))</f>
        <v>5</v>
      </c>
      <c r="E22">
        <v>0</v>
      </c>
      <c r="F22" t="str">
        <f>Sim_Output[[#This Row],[SIM_ID]]&amp;" - "&amp;Sim_Output[[#This Row],[WEEK]]&amp;" - "&amp;Sim_Output[[#This Row],[REGIME]]</f>
        <v>1 - 2 - 0</v>
      </c>
      <c r="G22" t="s">
        <v>49</v>
      </c>
      <c r="H22">
        <v>119</v>
      </c>
      <c r="I22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22" s="7">
        <f>Sim_Output[[#This Row],[VALUE]]/SUMIFS(Sim_Output[VALUE],Sim_Output[SIM_ID],Sim_Output[[#This Row],[SIM_ID]],Sim_Output[WEEK],Sim_Output[[#This Row],[WEEK]],Sim_Output[OUTPUT],"PRICE_0")-1</f>
        <v>0.27956989247311825</v>
      </c>
      <c r="K22" s="4">
        <f ca="1">IF(Sim_Output[[#This Row],[OUTPUT]]="PRICE_0",0,_xlfn.RANK.EQ(Sim_Output[[#This Row],[WTD_RET]],OFFSET(Sim_Output[[#This Row],[WTD_RET]],-Sim_Output[[#This Row],[OBS]]+1,0,12)))</f>
        <v>2</v>
      </c>
      <c r="L22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1.129337670331191</v>
      </c>
      <c r="M22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0.86904761904761896</v>
      </c>
      <c r="N22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0.14423076923076916</v>
      </c>
    </row>
    <row r="23" spans="2:14" x14ac:dyDescent="0.25">
      <c r="B23">
        <v>1</v>
      </c>
      <c r="C23">
        <v>2</v>
      </c>
      <c r="D23">
        <f>VALUE(RIGHT(Sim_Output[[#This Row],[OUTPUT]],LEN(Sim_Output[[#This Row],[OUTPUT]])-6))</f>
        <v>6</v>
      </c>
      <c r="E23">
        <v>0</v>
      </c>
      <c r="F23" t="str">
        <f>Sim_Output[[#This Row],[SIM_ID]]&amp;" - "&amp;Sim_Output[[#This Row],[WEEK]]&amp;" - "&amp;Sim_Output[[#This Row],[REGIME]]</f>
        <v>1 - 2 - 0</v>
      </c>
      <c r="G23" t="s">
        <v>50</v>
      </c>
      <c r="H23">
        <v>98</v>
      </c>
      <c r="I23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23" s="7">
        <f>Sim_Output[[#This Row],[VALUE]]/SUMIFS(Sim_Output[VALUE],Sim_Output[SIM_ID],Sim_Output[[#This Row],[SIM_ID]],Sim_Output[WEEK],Sim_Output[[#This Row],[WEEK]],Sim_Output[OUTPUT],"PRICE_0")-1</f>
        <v>5.3763440860215006E-2</v>
      </c>
      <c r="K23" s="4">
        <f ca="1">IF(Sim_Output[[#This Row],[OUTPUT]]="PRICE_0",0,_xlfn.RANK.EQ(Sim_Output[[#This Row],[WTD_RET]],OFFSET(Sim_Output[[#This Row],[WTD_RET]],-Sim_Output[[#This Row],[OBS]]+1,0,12)))</f>
        <v>6</v>
      </c>
      <c r="L23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0.39585031743567511</v>
      </c>
      <c r="M23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0.61904761904761896</v>
      </c>
      <c r="N23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-0.17647058823529416</v>
      </c>
    </row>
    <row r="24" spans="2:14" x14ac:dyDescent="0.25">
      <c r="B24">
        <v>1</v>
      </c>
      <c r="C24">
        <v>2</v>
      </c>
      <c r="D24">
        <f>VALUE(RIGHT(Sim_Output[[#This Row],[OUTPUT]],LEN(Sim_Output[[#This Row],[OUTPUT]])-6))</f>
        <v>7</v>
      </c>
      <c r="E24">
        <v>0</v>
      </c>
      <c r="F24" t="str">
        <f>Sim_Output[[#This Row],[SIM_ID]]&amp;" - "&amp;Sim_Output[[#This Row],[WEEK]]&amp;" - "&amp;Sim_Output[[#This Row],[REGIME]]</f>
        <v>1 - 2 - 0</v>
      </c>
      <c r="G24" t="s">
        <v>51</v>
      </c>
      <c r="H24">
        <v>63</v>
      </c>
      <c r="I24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24" s="7">
        <f>Sim_Output[[#This Row],[VALUE]]/SUMIFS(Sim_Output[VALUE],Sim_Output[SIM_ID],Sim_Output[[#This Row],[SIM_ID]],Sim_Output[WEEK],Sim_Output[[#This Row],[WEEK]],Sim_Output[OUTPUT],"PRICE_0")-1</f>
        <v>-0.32258064516129037</v>
      </c>
      <c r="K24" s="4">
        <f ca="1">IF(Sim_Output[[#This Row],[OUTPUT]]="PRICE_0",0,_xlfn.RANK.EQ(Sim_Output[[#This Row],[WTD_RET]],OFFSET(Sim_Output[[#This Row],[WTD_RET]],-Sim_Output[[#This Row],[OBS]]+1,0,12)))</f>
        <v>8</v>
      </c>
      <c r="L24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-0.82662860405685123</v>
      </c>
      <c r="M24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0.2023809523809523</v>
      </c>
      <c r="N24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-0.3571428571428571</v>
      </c>
    </row>
    <row r="25" spans="2:14" x14ac:dyDescent="0.25">
      <c r="B25">
        <v>1</v>
      </c>
      <c r="C25">
        <v>2</v>
      </c>
      <c r="D25">
        <f>VALUE(RIGHT(Sim_Output[[#This Row],[OUTPUT]],LEN(Sim_Output[[#This Row],[OUTPUT]])-6))</f>
        <v>8</v>
      </c>
      <c r="E25">
        <v>0</v>
      </c>
      <c r="F25" t="str">
        <f>Sim_Output[[#This Row],[SIM_ID]]&amp;" - "&amp;Sim_Output[[#This Row],[WEEK]]&amp;" - "&amp;Sim_Output[[#This Row],[REGIME]]</f>
        <v>1 - 2 - 0</v>
      </c>
      <c r="G25" t="s">
        <v>52</v>
      </c>
      <c r="H25">
        <v>56</v>
      </c>
      <c r="I25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25" s="7">
        <f>Sim_Output[[#This Row],[VALUE]]/SUMIFS(Sim_Output[VALUE],Sim_Output[SIM_ID],Sim_Output[[#This Row],[SIM_ID]],Sim_Output[WEEK],Sim_Output[[#This Row],[WEEK]],Sim_Output[OUTPUT],"PRICE_0")-1</f>
        <v>-0.39784946236559138</v>
      </c>
      <c r="K25" s="4">
        <f ca="1">IF(Sim_Output[[#This Row],[OUTPUT]]="PRICE_0",0,_xlfn.RANK.EQ(Sim_Output[[#This Row],[WTD_RET]],OFFSET(Sim_Output[[#This Row],[WTD_RET]],-Sim_Output[[#This Row],[OBS]]+1,0,12)))</f>
        <v>10</v>
      </c>
      <c r="L25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-1.0711243883553563</v>
      </c>
      <c r="M25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0.11904761904761905</v>
      </c>
      <c r="N25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-0.11111111111111116</v>
      </c>
    </row>
    <row r="26" spans="2:14" x14ac:dyDescent="0.25">
      <c r="B26">
        <v>1</v>
      </c>
      <c r="C26">
        <v>2</v>
      </c>
      <c r="D26">
        <f>VALUE(RIGHT(Sim_Output[[#This Row],[OUTPUT]],LEN(Sim_Output[[#This Row],[OUTPUT]])-6))</f>
        <v>9</v>
      </c>
      <c r="E26">
        <v>0</v>
      </c>
      <c r="F26" t="str">
        <f>Sim_Output[[#This Row],[SIM_ID]]&amp;" - "&amp;Sim_Output[[#This Row],[WEEK]]&amp;" - "&amp;Sim_Output[[#This Row],[REGIME]]</f>
        <v>1 - 2 - 0</v>
      </c>
      <c r="G26" t="s">
        <v>53</v>
      </c>
      <c r="H26">
        <v>91</v>
      </c>
      <c r="I26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26" s="7">
        <f>Sim_Output[[#This Row],[VALUE]]/SUMIFS(Sim_Output[VALUE],Sim_Output[SIM_ID],Sim_Output[[#This Row],[SIM_ID]],Sim_Output[WEEK],Sim_Output[[#This Row],[WEEK]],Sim_Output[OUTPUT],"PRICE_0")-1</f>
        <v>-2.1505376344086002E-2</v>
      </c>
      <c r="K26" s="4">
        <f ca="1">IF(Sim_Output[[#This Row],[OUTPUT]]="PRICE_0",0,_xlfn.RANK.EQ(Sim_Output[[#This Row],[WTD_RET]],OFFSET(Sim_Output[[#This Row],[WTD_RET]],-Sim_Output[[#This Row],[OBS]]+1,0,12)))</f>
        <v>7</v>
      </c>
      <c r="L26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0.15135453313717007</v>
      </c>
      <c r="M26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0.5357142857142857</v>
      </c>
      <c r="N26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0.625</v>
      </c>
    </row>
    <row r="27" spans="2:14" x14ac:dyDescent="0.25">
      <c r="B27">
        <v>1</v>
      </c>
      <c r="C27">
        <v>2</v>
      </c>
      <c r="D27">
        <f>VALUE(RIGHT(Sim_Output[[#This Row],[OUTPUT]],LEN(Sim_Output[[#This Row],[OUTPUT]])-6))</f>
        <v>10</v>
      </c>
      <c r="E27">
        <v>0</v>
      </c>
      <c r="F27" t="str">
        <f>Sim_Output[[#This Row],[SIM_ID]]&amp;" - "&amp;Sim_Output[[#This Row],[WEEK]]&amp;" - "&amp;Sim_Output[[#This Row],[REGIME]]</f>
        <v>1 - 2 - 0</v>
      </c>
      <c r="G27" t="s">
        <v>54</v>
      </c>
      <c r="H27">
        <v>63</v>
      </c>
      <c r="I27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27" s="7">
        <f>Sim_Output[[#This Row],[VALUE]]/SUMIFS(Sim_Output[VALUE],Sim_Output[SIM_ID],Sim_Output[[#This Row],[SIM_ID]],Sim_Output[WEEK],Sim_Output[[#This Row],[WEEK]],Sim_Output[OUTPUT],"PRICE_0")-1</f>
        <v>-0.32258064516129037</v>
      </c>
      <c r="K27" s="4">
        <f ca="1">IF(Sim_Output[[#This Row],[OUTPUT]]="PRICE_0",0,_xlfn.RANK.EQ(Sim_Output[[#This Row],[WTD_RET]],OFFSET(Sim_Output[[#This Row],[WTD_RET]],-Sim_Output[[#This Row],[OBS]]+1,0,12)))</f>
        <v>8</v>
      </c>
      <c r="L27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-0.82662860405685123</v>
      </c>
      <c r="M27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0.2023809523809523</v>
      </c>
      <c r="N27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-0.30769230769230771</v>
      </c>
    </row>
    <row r="28" spans="2:14" x14ac:dyDescent="0.25">
      <c r="B28">
        <v>1</v>
      </c>
      <c r="C28">
        <v>2</v>
      </c>
      <c r="D28">
        <f>VALUE(RIGHT(Sim_Output[[#This Row],[OUTPUT]],LEN(Sim_Output[[#This Row],[OUTPUT]])-6))</f>
        <v>11</v>
      </c>
      <c r="E28">
        <v>0</v>
      </c>
      <c r="F28" t="str">
        <f>Sim_Output[[#This Row],[SIM_ID]]&amp;" - "&amp;Sim_Output[[#This Row],[WEEK]]&amp;" - "&amp;Sim_Output[[#This Row],[REGIME]]</f>
        <v>1 - 2 - 0</v>
      </c>
      <c r="G28" t="s">
        <v>55</v>
      </c>
      <c r="H28">
        <v>55</v>
      </c>
      <c r="I28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28" s="7">
        <f>Sim_Output[[#This Row],[VALUE]]/SUMIFS(Sim_Output[VALUE],Sim_Output[SIM_ID],Sim_Output[[#This Row],[SIM_ID]],Sim_Output[WEEK],Sim_Output[[#This Row],[WEEK]],Sim_Output[OUTPUT],"PRICE_0")-1</f>
        <v>-0.40860215053763438</v>
      </c>
      <c r="K28" s="4">
        <f ca="1">IF(Sim_Output[[#This Row],[OUTPUT]]="PRICE_0",0,_xlfn.RANK.EQ(Sim_Output[[#This Row],[WTD_RET]],OFFSET(Sim_Output[[#This Row],[WTD_RET]],-Sim_Output[[#This Row],[OBS]]+1,0,12)))</f>
        <v>11</v>
      </c>
      <c r="L28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-1.106052357540857</v>
      </c>
      <c r="M28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0.10714285714285716</v>
      </c>
      <c r="N28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-0.12698412698412698</v>
      </c>
    </row>
    <row r="29" spans="2:14" x14ac:dyDescent="0.25">
      <c r="B29">
        <v>1</v>
      </c>
      <c r="C29">
        <v>2</v>
      </c>
      <c r="D29">
        <f>VALUE(RIGHT(Sim_Output[[#This Row],[OUTPUT]],LEN(Sim_Output[[#This Row],[OUTPUT]])-6))</f>
        <v>12</v>
      </c>
      <c r="E29">
        <v>0</v>
      </c>
      <c r="F29" t="str">
        <f>Sim_Output[[#This Row],[SIM_ID]]&amp;" - "&amp;Sim_Output[[#This Row],[WEEK]]&amp;" - "&amp;Sim_Output[[#This Row],[REGIME]]</f>
        <v>1 - 2 - 0</v>
      </c>
      <c r="G29" t="s">
        <v>56</v>
      </c>
      <c r="H29">
        <v>46</v>
      </c>
      <c r="I29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29" s="7">
        <f>Sim_Output[[#This Row],[VALUE]]/SUMIFS(Sim_Output[VALUE],Sim_Output[SIM_ID],Sim_Output[[#This Row],[SIM_ID]],Sim_Output[WEEK],Sim_Output[[#This Row],[WEEK]],Sim_Output[OUTPUT],"PRICE_0")-1</f>
        <v>-0.5053763440860215</v>
      </c>
      <c r="K29" s="4">
        <f ca="1">IF(Sim_Output[[#This Row],[OUTPUT]]="PRICE_0",0,_xlfn.RANK.EQ(Sim_Output[[#This Row],[WTD_RET]],OFFSET(Sim_Output[[#This Row],[WTD_RET]],-Sim_Output[[#This Row],[OBS]]+1,0,12)))</f>
        <v>12</v>
      </c>
      <c r="L29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-1.4204040802103639</v>
      </c>
      <c r="M29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</v>
      </c>
      <c r="N29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-0.16363636363636369</v>
      </c>
    </row>
    <row r="30" spans="2:14" x14ac:dyDescent="0.25">
      <c r="B30">
        <v>1</v>
      </c>
      <c r="C30">
        <v>3</v>
      </c>
      <c r="D30">
        <f>VALUE(RIGHT(Sim_Output[[#This Row],[OUTPUT]],LEN(Sim_Output[[#This Row],[OUTPUT]])-6))</f>
        <v>0</v>
      </c>
      <c r="E30">
        <v>0</v>
      </c>
      <c r="F30" t="str">
        <f>Sim_Output[[#This Row],[SIM_ID]]&amp;" - "&amp;Sim_Output[[#This Row],[WEEK]]&amp;" - "&amp;Sim_Output[[#This Row],[REGIME]]</f>
        <v>1 - 3 - 0</v>
      </c>
      <c r="G30" t="s">
        <v>44</v>
      </c>
      <c r="H30">
        <v>108</v>
      </c>
      <c r="I30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30" s="7">
        <f>Sim_Output[[#This Row],[VALUE]]/SUMIFS(Sim_Output[VALUE],Sim_Output[SIM_ID],Sim_Output[[#This Row],[SIM_ID]],Sim_Output[WEEK],Sim_Output[[#This Row],[WEEK]],Sim_Output[OUTPUT],"PRICE_0")-1</f>
        <v>0</v>
      </c>
      <c r="K30" s="4">
        <f ca="1">IF(Sim_Output[[#This Row],[OUTPUT]]="PRICE_0",0,_xlfn.RANK.EQ(Sim_Output[[#This Row],[WTD_RET]],OFFSET(Sim_Output[[#This Row],[WTD_RET]],-Sim_Output[[#This Row],[OBS]]+1,0,12)))</f>
        <v>0</v>
      </c>
      <c r="L30" s="3" t="str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/>
      </c>
      <c r="M30" s="3" t="str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/>
      </c>
      <c r="N30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</v>
      </c>
    </row>
    <row r="31" spans="2:14" x14ac:dyDescent="0.25">
      <c r="B31">
        <v>1</v>
      </c>
      <c r="C31">
        <v>3</v>
      </c>
      <c r="D31">
        <f>VALUE(RIGHT(Sim_Output[[#This Row],[OUTPUT]],LEN(Sim_Output[[#This Row],[OUTPUT]])-6))</f>
        <v>1</v>
      </c>
      <c r="E31">
        <v>0</v>
      </c>
      <c r="F31" t="str">
        <f>Sim_Output[[#This Row],[SIM_ID]]&amp;" - "&amp;Sim_Output[[#This Row],[WEEK]]&amp;" - "&amp;Sim_Output[[#This Row],[REGIME]]</f>
        <v>1 - 3 - 0</v>
      </c>
      <c r="G31" t="s">
        <v>45</v>
      </c>
      <c r="H31">
        <v>147</v>
      </c>
      <c r="I31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31" s="7">
        <f>Sim_Output[[#This Row],[VALUE]]/SUMIFS(Sim_Output[VALUE],Sim_Output[SIM_ID],Sim_Output[[#This Row],[SIM_ID]],Sim_Output[WEEK],Sim_Output[[#This Row],[WEEK]],Sim_Output[OUTPUT],"PRICE_0")-1</f>
        <v>0.36111111111111116</v>
      </c>
      <c r="K31" s="4">
        <f ca="1">IF(Sim_Output[[#This Row],[OUTPUT]]="PRICE_0",0,_xlfn.RANK.EQ(Sim_Output[[#This Row],[WTD_RET]],OFFSET(Sim_Output[[#This Row],[WTD_RET]],-Sim_Output[[#This Row],[OBS]]+1,0,12)))</f>
        <v>3</v>
      </c>
      <c r="L31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1.2999097351071487</v>
      </c>
      <c r="M31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0.9750000000000002</v>
      </c>
      <c r="N31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0.36111111111111116</v>
      </c>
    </row>
    <row r="32" spans="2:14" x14ac:dyDescent="0.25">
      <c r="B32">
        <v>1</v>
      </c>
      <c r="C32">
        <v>3</v>
      </c>
      <c r="D32">
        <f>VALUE(RIGHT(Sim_Output[[#This Row],[OUTPUT]],LEN(Sim_Output[[#This Row],[OUTPUT]])-6))</f>
        <v>2</v>
      </c>
      <c r="E32">
        <v>0</v>
      </c>
      <c r="F32" t="str">
        <f>Sim_Output[[#This Row],[SIM_ID]]&amp;" - "&amp;Sim_Output[[#This Row],[WEEK]]&amp;" - "&amp;Sim_Output[[#This Row],[REGIME]]</f>
        <v>1 - 3 - 0</v>
      </c>
      <c r="G32" t="s">
        <v>46</v>
      </c>
      <c r="H32">
        <v>80</v>
      </c>
      <c r="I32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32" s="7">
        <f>Sim_Output[[#This Row],[VALUE]]/SUMIFS(Sim_Output[VALUE],Sim_Output[SIM_ID],Sim_Output[[#This Row],[SIM_ID]],Sim_Output[WEEK],Sim_Output[[#This Row],[WEEK]],Sim_Output[OUTPUT],"PRICE_0")-1</f>
        <v>-0.2592592592592593</v>
      </c>
      <c r="K32" s="4">
        <f ca="1">IF(Sim_Output[[#This Row],[OUTPUT]]="PRICE_0",0,_xlfn.RANK.EQ(Sim_Output[[#This Row],[WTD_RET]],OFFSET(Sim_Output[[#This Row],[WTD_RET]],-Sim_Output[[#This Row],[OBS]]+1,0,12)))</f>
        <v>8</v>
      </c>
      <c r="L32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-0.86391516556810488</v>
      </c>
      <c r="M32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0.13750000000000001</v>
      </c>
      <c r="N32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-0.45578231292517002</v>
      </c>
    </row>
    <row r="33" spans="2:14" x14ac:dyDescent="0.25">
      <c r="B33">
        <v>1</v>
      </c>
      <c r="C33">
        <v>3</v>
      </c>
      <c r="D33">
        <f>VALUE(RIGHT(Sim_Output[[#This Row],[OUTPUT]],LEN(Sim_Output[[#This Row],[OUTPUT]])-6))</f>
        <v>3</v>
      </c>
      <c r="E33">
        <v>0</v>
      </c>
      <c r="F33" t="str">
        <f>Sim_Output[[#This Row],[SIM_ID]]&amp;" - "&amp;Sim_Output[[#This Row],[WEEK]]&amp;" - "&amp;Sim_Output[[#This Row],[REGIME]]</f>
        <v>1 - 3 - 0</v>
      </c>
      <c r="G33" t="s">
        <v>47</v>
      </c>
      <c r="H33">
        <v>74</v>
      </c>
      <c r="I33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33" s="7">
        <f>Sim_Output[[#This Row],[VALUE]]/SUMIFS(Sim_Output[VALUE],Sim_Output[SIM_ID],Sim_Output[[#This Row],[SIM_ID]],Sim_Output[WEEK],Sim_Output[[#This Row],[WEEK]],Sim_Output[OUTPUT],"PRICE_0")-1</f>
        <v>-0.31481481481481477</v>
      </c>
      <c r="K33" s="4">
        <f ca="1">IF(Sim_Output[[#This Row],[OUTPUT]]="PRICE_0",0,_xlfn.RANK.EQ(Sim_Output[[#This Row],[WTD_RET]],OFFSET(Sim_Output[[#This Row],[WTD_RET]],-Sim_Output[[#This Row],[OBS]]+1,0,12)))</f>
        <v>11</v>
      </c>
      <c r="L33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-1.0576905298076793</v>
      </c>
      <c r="M33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6.2500000000000125E-2</v>
      </c>
      <c r="N33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-7.4999999999999956E-2</v>
      </c>
    </row>
    <row r="34" spans="2:14" x14ac:dyDescent="0.25">
      <c r="B34">
        <v>1</v>
      </c>
      <c r="C34">
        <v>3</v>
      </c>
      <c r="D34">
        <f>VALUE(RIGHT(Sim_Output[[#This Row],[OUTPUT]],LEN(Sim_Output[[#This Row],[OUTPUT]])-6))</f>
        <v>4</v>
      </c>
      <c r="E34">
        <v>0</v>
      </c>
      <c r="F34" t="str">
        <f>Sim_Output[[#This Row],[SIM_ID]]&amp;" - "&amp;Sim_Output[[#This Row],[WEEK]]&amp;" - "&amp;Sim_Output[[#This Row],[REGIME]]</f>
        <v>1 - 3 - 0</v>
      </c>
      <c r="G34" t="s">
        <v>48</v>
      </c>
      <c r="H34">
        <v>69</v>
      </c>
      <c r="I34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34" s="7">
        <f>Sim_Output[[#This Row],[VALUE]]/SUMIFS(Sim_Output[VALUE],Sim_Output[SIM_ID],Sim_Output[[#This Row],[SIM_ID]],Sim_Output[WEEK],Sim_Output[[#This Row],[WEEK]],Sim_Output[OUTPUT],"PRICE_0")-1</f>
        <v>-0.36111111111111116</v>
      </c>
      <c r="K34" s="4">
        <f ca="1">IF(Sim_Output[[#This Row],[OUTPUT]]="PRICE_0",0,_xlfn.RANK.EQ(Sim_Output[[#This Row],[WTD_RET]],OFFSET(Sim_Output[[#This Row],[WTD_RET]],-Sim_Output[[#This Row],[OBS]]+1,0,12)))</f>
        <v>12</v>
      </c>
      <c r="L34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-1.2191700000073256</v>
      </c>
      <c r="M34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</v>
      </c>
      <c r="N34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-6.7567567567567544E-2</v>
      </c>
    </row>
    <row r="35" spans="2:14" x14ac:dyDescent="0.25">
      <c r="B35">
        <v>1</v>
      </c>
      <c r="C35">
        <v>3</v>
      </c>
      <c r="D35">
        <f>VALUE(RIGHT(Sim_Output[[#This Row],[OUTPUT]],LEN(Sim_Output[[#This Row],[OUTPUT]])-6))</f>
        <v>5</v>
      </c>
      <c r="E35">
        <v>0</v>
      </c>
      <c r="F35" t="str">
        <f>Sim_Output[[#This Row],[SIM_ID]]&amp;" - "&amp;Sim_Output[[#This Row],[WEEK]]&amp;" - "&amp;Sim_Output[[#This Row],[REGIME]]</f>
        <v>1 - 3 - 0</v>
      </c>
      <c r="G35" t="s">
        <v>49</v>
      </c>
      <c r="H35">
        <v>104</v>
      </c>
      <c r="I35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35" s="7">
        <f>Sim_Output[[#This Row],[VALUE]]/SUMIFS(Sim_Output[VALUE],Sim_Output[SIM_ID],Sim_Output[[#This Row],[SIM_ID]],Sim_Output[WEEK],Sim_Output[[#This Row],[WEEK]],Sim_Output[OUTPUT],"PRICE_0")-1</f>
        <v>-3.703703703703709E-2</v>
      </c>
      <c r="K35" s="4">
        <f ca="1">IF(Sim_Output[[#This Row],[OUTPUT]]="PRICE_0",0,_xlfn.RANK.EQ(Sim_Output[[#This Row],[WTD_RET]],OFFSET(Sim_Output[[#This Row],[WTD_RET]],-Sim_Output[[#This Row],[OBS]]+1,0,12)))</f>
        <v>7</v>
      </c>
      <c r="L35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-8.8813708609805239E-2</v>
      </c>
      <c r="M35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0.4375</v>
      </c>
      <c r="N35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0.50724637681159424</v>
      </c>
    </row>
    <row r="36" spans="2:14" x14ac:dyDescent="0.25">
      <c r="B36">
        <v>1</v>
      </c>
      <c r="C36">
        <v>3</v>
      </c>
      <c r="D36">
        <f>VALUE(RIGHT(Sim_Output[[#This Row],[OUTPUT]],LEN(Sim_Output[[#This Row],[OUTPUT]])-6))</f>
        <v>6</v>
      </c>
      <c r="E36">
        <v>0</v>
      </c>
      <c r="F36" t="str">
        <f>Sim_Output[[#This Row],[SIM_ID]]&amp;" - "&amp;Sim_Output[[#This Row],[WEEK]]&amp;" - "&amp;Sim_Output[[#This Row],[REGIME]]</f>
        <v>1 - 3 - 0</v>
      </c>
      <c r="G36" t="s">
        <v>50</v>
      </c>
      <c r="H36">
        <v>149</v>
      </c>
      <c r="I36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36" s="7">
        <f>Sim_Output[[#This Row],[VALUE]]/SUMIFS(Sim_Output[VALUE],Sim_Output[SIM_ID],Sim_Output[[#This Row],[SIM_ID]],Sim_Output[WEEK],Sim_Output[[#This Row],[WEEK]],Sim_Output[OUTPUT],"PRICE_0")-1</f>
        <v>0.37962962962962954</v>
      </c>
      <c r="K36" s="4">
        <f ca="1">IF(Sim_Output[[#This Row],[OUTPUT]]="PRICE_0",0,_xlfn.RANK.EQ(Sim_Output[[#This Row],[WTD_RET]],OFFSET(Sim_Output[[#This Row],[WTD_RET]],-Sim_Output[[#This Row],[OBS]]+1,0,12)))</f>
        <v>1</v>
      </c>
      <c r="L36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1.3645015231870066</v>
      </c>
      <c r="M36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1</v>
      </c>
      <c r="N36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0.43269230769230771</v>
      </c>
    </row>
    <row r="37" spans="2:14" x14ac:dyDescent="0.25">
      <c r="B37">
        <v>1</v>
      </c>
      <c r="C37">
        <v>3</v>
      </c>
      <c r="D37">
        <f>VALUE(RIGHT(Sim_Output[[#This Row],[OUTPUT]],LEN(Sim_Output[[#This Row],[OUTPUT]])-6))</f>
        <v>7</v>
      </c>
      <c r="E37">
        <v>0</v>
      </c>
      <c r="F37" t="str">
        <f>Sim_Output[[#This Row],[SIM_ID]]&amp;" - "&amp;Sim_Output[[#This Row],[WEEK]]&amp;" - "&amp;Sim_Output[[#This Row],[REGIME]]</f>
        <v>1 - 3 - 0</v>
      </c>
      <c r="G37" t="s">
        <v>51</v>
      </c>
      <c r="H37">
        <v>118</v>
      </c>
      <c r="I37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37" s="7">
        <f>Sim_Output[[#This Row],[VALUE]]/SUMIFS(Sim_Output[VALUE],Sim_Output[SIM_ID],Sim_Output[[#This Row],[SIM_ID]],Sim_Output[WEEK],Sim_Output[[#This Row],[WEEK]],Sim_Output[OUTPUT],"PRICE_0")-1</f>
        <v>9.259259259259256E-2</v>
      </c>
      <c r="K37" s="4">
        <f ca="1">IF(Sim_Output[[#This Row],[OUTPUT]]="PRICE_0",0,_xlfn.RANK.EQ(Sim_Output[[#This Row],[WTD_RET]],OFFSET(Sim_Output[[#This Row],[WTD_RET]],-Sim_Output[[#This Row],[OBS]]+1,0,12)))</f>
        <v>5</v>
      </c>
      <c r="L37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0.36332880794920297</v>
      </c>
      <c r="M37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0.61250000000000004</v>
      </c>
      <c r="N37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-0.20805369127516782</v>
      </c>
    </row>
    <row r="38" spans="2:14" x14ac:dyDescent="0.25">
      <c r="B38">
        <v>1</v>
      </c>
      <c r="C38">
        <v>3</v>
      </c>
      <c r="D38">
        <f>VALUE(RIGHT(Sim_Output[[#This Row],[OUTPUT]],LEN(Sim_Output[[#This Row],[OUTPUT]])-6))</f>
        <v>8</v>
      </c>
      <c r="E38">
        <v>0</v>
      </c>
      <c r="F38" t="str">
        <f>Sim_Output[[#This Row],[SIM_ID]]&amp;" - "&amp;Sim_Output[[#This Row],[WEEK]]&amp;" - "&amp;Sim_Output[[#This Row],[REGIME]]</f>
        <v>1 - 3 - 0</v>
      </c>
      <c r="G38" t="s">
        <v>52</v>
      </c>
      <c r="H38">
        <v>149</v>
      </c>
      <c r="I38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38" s="7">
        <f>Sim_Output[[#This Row],[VALUE]]/SUMIFS(Sim_Output[VALUE],Sim_Output[SIM_ID],Sim_Output[[#This Row],[SIM_ID]],Sim_Output[WEEK],Sim_Output[[#This Row],[WEEK]],Sim_Output[OUTPUT],"PRICE_0")-1</f>
        <v>0.37962962962962954</v>
      </c>
      <c r="K38" s="4">
        <f ca="1">IF(Sim_Output[[#This Row],[OUTPUT]]="PRICE_0",0,_xlfn.RANK.EQ(Sim_Output[[#This Row],[WTD_RET]],OFFSET(Sim_Output[[#This Row],[WTD_RET]],-Sim_Output[[#This Row],[OBS]]+1,0,12)))</f>
        <v>1</v>
      </c>
      <c r="L38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1.3645015231870066</v>
      </c>
      <c r="M38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1</v>
      </c>
      <c r="N38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0.26271186440677963</v>
      </c>
    </row>
    <row r="39" spans="2:14" x14ac:dyDescent="0.25">
      <c r="B39">
        <v>1</v>
      </c>
      <c r="C39">
        <v>3</v>
      </c>
      <c r="D39">
        <f>VALUE(RIGHT(Sim_Output[[#This Row],[OUTPUT]],LEN(Sim_Output[[#This Row],[OUTPUT]])-6))</f>
        <v>9</v>
      </c>
      <c r="E39">
        <v>0</v>
      </c>
      <c r="F39" t="str">
        <f>Sim_Output[[#This Row],[SIM_ID]]&amp;" - "&amp;Sim_Output[[#This Row],[WEEK]]&amp;" - "&amp;Sim_Output[[#This Row],[REGIME]]</f>
        <v>1 - 3 - 0</v>
      </c>
      <c r="G39" t="s">
        <v>53</v>
      </c>
      <c r="H39">
        <v>80</v>
      </c>
      <c r="I39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39" s="7">
        <f>Sim_Output[[#This Row],[VALUE]]/SUMIFS(Sim_Output[VALUE],Sim_Output[SIM_ID],Sim_Output[[#This Row],[SIM_ID]],Sim_Output[WEEK],Sim_Output[[#This Row],[WEEK]],Sim_Output[OUTPUT],"PRICE_0")-1</f>
        <v>-0.2592592592592593</v>
      </c>
      <c r="K39" s="4">
        <f ca="1">IF(Sim_Output[[#This Row],[OUTPUT]]="PRICE_0",0,_xlfn.RANK.EQ(Sim_Output[[#This Row],[WTD_RET]],OFFSET(Sim_Output[[#This Row],[WTD_RET]],-Sim_Output[[#This Row],[OBS]]+1,0,12)))</f>
        <v>8</v>
      </c>
      <c r="L39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-0.86391516556810488</v>
      </c>
      <c r="M39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0.13750000000000001</v>
      </c>
      <c r="N39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-0.46308724832214765</v>
      </c>
    </row>
    <row r="40" spans="2:14" x14ac:dyDescent="0.25">
      <c r="B40">
        <v>1</v>
      </c>
      <c r="C40">
        <v>3</v>
      </c>
      <c r="D40">
        <f>VALUE(RIGHT(Sim_Output[[#This Row],[OUTPUT]],LEN(Sim_Output[[#This Row],[OUTPUT]])-6))</f>
        <v>10</v>
      </c>
      <c r="E40">
        <v>0</v>
      </c>
      <c r="F40" t="str">
        <f>Sim_Output[[#This Row],[SIM_ID]]&amp;" - "&amp;Sim_Output[[#This Row],[WEEK]]&amp;" - "&amp;Sim_Output[[#This Row],[REGIME]]</f>
        <v>1 - 3 - 0</v>
      </c>
      <c r="G40" t="s">
        <v>54</v>
      </c>
      <c r="H40">
        <v>75</v>
      </c>
      <c r="I40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40" s="7">
        <f>Sim_Output[[#This Row],[VALUE]]/SUMIFS(Sim_Output[VALUE],Sim_Output[SIM_ID],Sim_Output[[#This Row],[SIM_ID]],Sim_Output[WEEK],Sim_Output[[#This Row],[WEEK]],Sim_Output[OUTPUT],"PRICE_0")-1</f>
        <v>-0.30555555555555558</v>
      </c>
      <c r="K40" s="4">
        <f ca="1">IF(Sim_Output[[#This Row],[OUTPUT]]="PRICE_0",0,_xlfn.RANK.EQ(Sim_Output[[#This Row],[WTD_RET]],OFFSET(Sim_Output[[#This Row],[WTD_RET]],-Sim_Output[[#This Row],[OBS]]+1,0,12)))</f>
        <v>10</v>
      </c>
      <c r="L40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-1.0253946357677504</v>
      </c>
      <c r="M40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7.5000000000000039E-2</v>
      </c>
      <c r="N40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-6.25E-2</v>
      </c>
    </row>
    <row r="41" spans="2:14" x14ac:dyDescent="0.25">
      <c r="B41">
        <v>1</v>
      </c>
      <c r="C41">
        <v>3</v>
      </c>
      <c r="D41">
        <f>VALUE(RIGHT(Sim_Output[[#This Row],[OUTPUT]],LEN(Sim_Output[[#This Row],[OUTPUT]])-6))</f>
        <v>11</v>
      </c>
      <c r="E41">
        <v>0</v>
      </c>
      <c r="F41" t="str">
        <f>Sim_Output[[#This Row],[SIM_ID]]&amp;" - "&amp;Sim_Output[[#This Row],[WEEK]]&amp;" - "&amp;Sim_Output[[#This Row],[REGIME]]</f>
        <v>1 - 3 - 0</v>
      </c>
      <c r="G41" t="s">
        <v>55</v>
      </c>
      <c r="H41">
        <v>114</v>
      </c>
      <c r="I41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41" s="7">
        <f>Sim_Output[[#This Row],[VALUE]]/SUMIFS(Sim_Output[VALUE],Sim_Output[SIM_ID],Sim_Output[[#This Row],[SIM_ID]],Sim_Output[WEEK],Sim_Output[[#This Row],[WEEK]],Sim_Output[OUTPUT],"PRICE_0")-1</f>
        <v>5.555555555555558E-2</v>
      </c>
      <c r="K41" s="4">
        <f ca="1">IF(Sim_Output[[#This Row],[OUTPUT]]="PRICE_0",0,_xlfn.RANK.EQ(Sim_Output[[#This Row],[WTD_RET]],OFFSET(Sim_Output[[#This Row],[WTD_RET]],-Sim_Output[[#This Row],[OBS]]+1,0,12)))</f>
        <v>6</v>
      </c>
      <c r="L41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0.23414523178948657</v>
      </c>
      <c r="M41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0.56250000000000011</v>
      </c>
      <c r="N41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0.52</v>
      </c>
    </row>
    <row r="42" spans="2:14" x14ac:dyDescent="0.25">
      <c r="B42">
        <v>1</v>
      </c>
      <c r="C42">
        <v>3</v>
      </c>
      <c r="D42">
        <f>VALUE(RIGHT(Sim_Output[[#This Row],[OUTPUT]],LEN(Sim_Output[[#This Row],[OUTPUT]])-6))</f>
        <v>12</v>
      </c>
      <c r="E42">
        <v>0</v>
      </c>
      <c r="F42" t="str">
        <f>Sim_Output[[#This Row],[SIM_ID]]&amp;" - "&amp;Sim_Output[[#This Row],[WEEK]]&amp;" - "&amp;Sim_Output[[#This Row],[REGIME]]</f>
        <v>1 - 3 - 0</v>
      </c>
      <c r="G42" t="s">
        <v>56</v>
      </c>
      <c r="H42">
        <v>122</v>
      </c>
      <c r="I42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42" s="7">
        <f>Sim_Output[[#This Row],[VALUE]]/SUMIFS(Sim_Output[VALUE],Sim_Output[SIM_ID],Sim_Output[[#This Row],[SIM_ID]],Sim_Output[WEEK],Sim_Output[[#This Row],[WEEK]],Sim_Output[OUTPUT],"PRICE_0")-1</f>
        <v>0.12962962962962954</v>
      </c>
      <c r="K42" s="4">
        <f ca="1">IF(Sim_Output[[#This Row],[OUTPUT]]="PRICE_0",0,_xlfn.RANK.EQ(Sim_Output[[#This Row],[WTD_RET]],OFFSET(Sim_Output[[#This Row],[WTD_RET]],-Sim_Output[[#This Row],[OBS]]+1,0,12)))</f>
        <v>4</v>
      </c>
      <c r="L42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0.49251238410891934</v>
      </c>
      <c r="M42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0.66249999999999998</v>
      </c>
      <c r="N42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7.0175438596491224E-2</v>
      </c>
    </row>
    <row r="43" spans="2:14" x14ac:dyDescent="0.25">
      <c r="B43">
        <v>1</v>
      </c>
      <c r="C43">
        <v>4</v>
      </c>
      <c r="D43">
        <f>VALUE(RIGHT(Sim_Output[[#This Row],[OUTPUT]],LEN(Sim_Output[[#This Row],[OUTPUT]])-6))</f>
        <v>0</v>
      </c>
      <c r="E43">
        <v>3</v>
      </c>
      <c r="F43" t="str">
        <f>Sim_Output[[#This Row],[SIM_ID]]&amp;" - "&amp;Sim_Output[[#This Row],[WEEK]]&amp;" - "&amp;Sim_Output[[#This Row],[REGIME]]</f>
        <v>1 - 4 - 3</v>
      </c>
      <c r="G43" t="s">
        <v>44</v>
      </c>
      <c r="H43">
        <v>109</v>
      </c>
      <c r="I43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43" s="7">
        <f>Sim_Output[[#This Row],[VALUE]]/SUMIFS(Sim_Output[VALUE],Sim_Output[SIM_ID],Sim_Output[[#This Row],[SIM_ID]],Sim_Output[WEEK],Sim_Output[[#This Row],[WEEK]],Sim_Output[OUTPUT],"PRICE_0")-1</f>
        <v>0</v>
      </c>
      <c r="K43" s="4">
        <f ca="1">IF(Sim_Output[[#This Row],[OUTPUT]]="PRICE_0",0,_xlfn.RANK.EQ(Sim_Output[[#This Row],[WTD_RET]],OFFSET(Sim_Output[[#This Row],[WTD_RET]],-Sim_Output[[#This Row],[OBS]]+1,0,12)))</f>
        <v>0</v>
      </c>
      <c r="L43" s="3" t="str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/>
      </c>
      <c r="M43" s="3" t="str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/>
      </c>
      <c r="N43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</v>
      </c>
    </row>
    <row r="44" spans="2:14" x14ac:dyDescent="0.25">
      <c r="B44">
        <v>1</v>
      </c>
      <c r="C44">
        <v>4</v>
      </c>
      <c r="D44">
        <f>VALUE(RIGHT(Sim_Output[[#This Row],[OUTPUT]],LEN(Sim_Output[[#This Row],[OUTPUT]])-6))</f>
        <v>1</v>
      </c>
      <c r="E44">
        <v>3</v>
      </c>
      <c r="F44" t="str">
        <f>Sim_Output[[#This Row],[SIM_ID]]&amp;" - "&amp;Sim_Output[[#This Row],[WEEK]]&amp;" - "&amp;Sim_Output[[#This Row],[REGIME]]</f>
        <v>1 - 4 - 3</v>
      </c>
      <c r="G44" t="s">
        <v>45</v>
      </c>
      <c r="H44">
        <v>133</v>
      </c>
      <c r="I44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44" s="7">
        <f>Sim_Output[[#This Row],[VALUE]]/SUMIFS(Sim_Output[VALUE],Sim_Output[SIM_ID],Sim_Output[[#This Row],[SIM_ID]],Sim_Output[WEEK],Sim_Output[[#This Row],[WEEK]],Sim_Output[OUTPUT],"PRICE_0")-1</f>
        <v>0.22018348623853212</v>
      </c>
      <c r="K44" s="4">
        <f ca="1">IF(Sim_Output[[#This Row],[OUTPUT]]="PRICE_0",0,_xlfn.RANK.EQ(Sim_Output[[#This Row],[WTD_RET]],OFFSET(Sim_Output[[#This Row],[WTD_RET]],-Sim_Output[[#This Row],[OBS]]+1,0,12)))</f>
        <v>3</v>
      </c>
      <c r="L44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1.2680458594080479</v>
      </c>
      <c r="M44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0.75510204081632637</v>
      </c>
      <c r="N44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0.22018348623853212</v>
      </c>
    </row>
    <row r="45" spans="2:14" x14ac:dyDescent="0.25">
      <c r="B45">
        <v>1</v>
      </c>
      <c r="C45">
        <v>4</v>
      </c>
      <c r="D45">
        <f>VALUE(RIGHT(Sim_Output[[#This Row],[OUTPUT]],LEN(Sim_Output[[#This Row],[OUTPUT]])-6))</f>
        <v>2</v>
      </c>
      <c r="E45">
        <v>3</v>
      </c>
      <c r="F45" t="str">
        <f>Sim_Output[[#This Row],[SIM_ID]]&amp;" - "&amp;Sim_Output[[#This Row],[WEEK]]&amp;" - "&amp;Sim_Output[[#This Row],[REGIME]]</f>
        <v>1 - 4 - 3</v>
      </c>
      <c r="G45" t="s">
        <v>46</v>
      </c>
      <c r="H45">
        <v>152</v>
      </c>
      <c r="I45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45" s="7">
        <f>Sim_Output[[#This Row],[VALUE]]/SUMIFS(Sim_Output[VALUE],Sim_Output[SIM_ID],Sim_Output[[#This Row],[SIM_ID]],Sim_Output[WEEK],Sim_Output[[#This Row],[WEEK]],Sim_Output[OUTPUT],"PRICE_0")-1</f>
        <v>0.39449541284403677</v>
      </c>
      <c r="K45" s="4">
        <f ca="1">IF(Sim_Output[[#This Row],[OUTPUT]]="PRICE_0",0,_xlfn.RANK.EQ(Sim_Output[[#This Row],[WTD_RET]],OFFSET(Sim_Output[[#This Row],[WTD_RET]],-Sim_Output[[#This Row],[OBS]]+1,0,12)))</f>
        <v>2</v>
      </c>
      <c r="L45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1.6294389293393419</v>
      </c>
      <c r="M45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0.88435374149659851</v>
      </c>
      <c r="N45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0.14285714285714279</v>
      </c>
    </row>
    <row r="46" spans="2:14" x14ac:dyDescent="0.25">
      <c r="B46">
        <v>1</v>
      </c>
      <c r="C46">
        <v>4</v>
      </c>
      <c r="D46">
        <f>VALUE(RIGHT(Sim_Output[[#This Row],[OUTPUT]],LEN(Sim_Output[[#This Row],[OUTPUT]])-6))</f>
        <v>3</v>
      </c>
      <c r="E46">
        <v>3</v>
      </c>
      <c r="F46" t="str">
        <f>Sim_Output[[#This Row],[SIM_ID]]&amp;" - "&amp;Sim_Output[[#This Row],[WEEK]]&amp;" - "&amp;Sim_Output[[#This Row],[REGIME]]</f>
        <v>1 - 4 - 3</v>
      </c>
      <c r="G46" t="s">
        <v>47</v>
      </c>
      <c r="H46">
        <v>50</v>
      </c>
      <c r="I46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46" s="7">
        <f>Sim_Output[[#This Row],[VALUE]]/SUMIFS(Sim_Output[VALUE],Sim_Output[SIM_ID],Sim_Output[[#This Row],[SIM_ID]],Sim_Output[WEEK],Sim_Output[[#This Row],[WEEK]],Sim_Output[OUTPUT],"PRICE_0")-1</f>
        <v>-0.54128440366972475</v>
      </c>
      <c r="K46" s="4">
        <f ca="1">IF(Sim_Output[[#This Row],[OUTPUT]]="PRICE_0",0,_xlfn.RANK.EQ(Sim_Output[[#This Row],[WTD_RET]],OFFSET(Sim_Output[[#This Row],[WTD_RET]],-Sim_Output[[#This Row],[OBS]]+1,0,12)))</f>
        <v>4</v>
      </c>
      <c r="L46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-0.31067123555497173</v>
      </c>
      <c r="M46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0.19047619047619047</v>
      </c>
      <c r="N46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-0.67105263157894735</v>
      </c>
    </row>
    <row r="47" spans="2:14" x14ac:dyDescent="0.25">
      <c r="B47">
        <v>1</v>
      </c>
      <c r="C47">
        <v>4</v>
      </c>
      <c r="D47">
        <f>VALUE(RIGHT(Sim_Output[[#This Row],[OUTPUT]],LEN(Sim_Output[[#This Row],[OUTPUT]])-6))</f>
        <v>4</v>
      </c>
      <c r="E47">
        <v>3</v>
      </c>
      <c r="F47" t="str">
        <f>Sim_Output[[#This Row],[SIM_ID]]&amp;" - "&amp;Sim_Output[[#This Row],[WEEK]]&amp;" - "&amp;Sim_Output[[#This Row],[REGIME]]</f>
        <v>1 - 4 - 3</v>
      </c>
      <c r="G47" t="s">
        <v>48</v>
      </c>
      <c r="H47">
        <v>169</v>
      </c>
      <c r="I47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47" s="7">
        <f>Sim_Output[[#This Row],[VALUE]]/SUMIFS(Sim_Output[VALUE],Sim_Output[SIM_ID],Sim_Output[[#This Row],[SIM_ID]],Sim_Output[WEEK],Sim_Output[[#This Row],[WEEK]],Sim_Output[OUTPUT],"PRICE_0")-1</f>
        <v>0.55045871559633031</v>
      </c>
      <c r="K47" s="4">
        <f ca="1">IF(Sim_Output[[#This Row],[OUTPUT]]="PRICE_0",0,_xlfn.RANK.EQ(Sim_Output[[#This Row],[WTD_RET]],OFFSET(Sim_Output[[#This Row],[WTD_RET]],-Sim_Output[[#This Row],[OBS]]+1,0,12)))</f>
        <v>1</v>
      </c>
      <c r="L47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1.9527906234883938</v>
      </c>
      <c r="M47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1</v>
      </c>
      <c r="N47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2.38</v>
      </c>
    </row>
    <row r="48" spans="2:14" x14ac:dyDescent="0.25">
      <c r="B48">
        <v>1</v>
      </c>
      <c r="C48">
        <v>4</v>
      </c>
      <c r="D48">
        <f>VALUE(RIGHT(Sim_Output[[#This Row],[OUTPUT]],LEN(Sim_Output[[#This Row],[OUTPUT]])-6))</f>
        <v>5</v>
      </c>
      <c r="E48">
        <v>3</v>
      </c>
      <c r="F48" t="str">
        <f>Sim_Output[[#This Row],[SIM_ID]]&amp;" - "&amp;Sim_Output[[#This Row],[WEEK]]&amp;" - "&amp;Sim_Output[[#This Row],[REGIME]]</f>
        <v>1 - 4 - 3</v>
      </c>
      <c r="G48" t="s">
        <v>49</v>
      </c>
      <c r="H48">
        <v>47</v>
      </c>
      <c r="I48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48" s="7">
        <f>Sim_Output[[#This Row],[VALUE]]/SUMIFS(Sim_Output[VALUE],Sim_Output[SIM_ID],Sim_Output[[#This Row],[SIM_ID]],Sim_Output[WEEK],Sim_Output[[#This Row],[WEEK]],Sim_Output[OUTPUT],"PRICE_0")-1</f>
        <v>-0.5688073394495412</v>
      </c>
      <c r="K48" s="4">
        <f ca="1">IF(Sim_Output[[#This Row],[OUTPUT]]="PRICE_0",0,_xlfn.RANK.EQ(Sim_Output[[#This Row],[WTD_RET]],OFFSET(Sim_Output[[#This Row],[WTD_RET]],-Sim_Output[[#This Row],[OBS]]+1,0,12)))</f>
        <v>6</v>
      </c>
      <c r="L48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-0.36773329922833375</v>
      </c>
      <c r="M48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0.17006802721088438</v>
      </c>
      <c r="N48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-0.72189349112426038</v>
      </c>
    </row>
    <row r="49" spans="2:14" x14ac:dyDescent="0.25">
      <c r="B49">
        <v>1</v>
      </c>
      <c r="C49">
        <v>4</v>
      </c>
      <c r="D49">
        <f>VALUE(RIGHT(Sim_Output[[#This Row],[OUTPUT]],LEN(Sim_Output[[#This Row],[OUTPUT]])-6))</f>
        <v>6</v>
      </c>
      <c r="E49">
        <v>3</v>
      </c>
      <c r="F49" t="str">
        <f>Sim_Output[[#This Row],[SIM_ID]]&amp;" - "&amp;Sim_Output[[#This Row],[WEEK]]&amp;" - "&amp;Sim_Output[[#This Row],[REGIME]]</f>
        <v>1 - 4 - 3</v>
      </c>
      <c r="G49" t="s">
        <v>50</v>
      </c>
      <c r="H49">
        <v>49</v>
      </c>
      <c r="I49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49" s="7">
        <f>Sim_Output[[#This Row],[VALUE]]/SUMIFS(Sim_Output[VALUE],Sim_Output[SIM_ID],Sim_Output[[#This Row],[SIM_ID]],Sim_Output[WEEK],Sim_Output[[#This Row],[WEEK]],Sim_Output[OUTPUT],"PRICE_0")-1</f>
        <v>-0.55045871559633031</v>
      </c>
      <c r="K49" s="4">
        <f ca="1">IF(Sim_Output[[#This Row],[OUTPUT]]="PRICE_0",0,_xlfn.RANK.EQ(Sim_Output[[#This Row],[WTD_RET]],OFFSET(Sim_Output[[#This Row],[WTD_RET]],-Sim_Output[[#This Row],[OBS]]+1,0,12)))</f>
        <v>5</v>
      </c>
      <c r="L49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-0.32969192344609255</v>
      </c>
      <c r="M49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0.18367346938775506</v>
      </c>
      <c r="N49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4.2553191489361764E-2</v>
      </c>
    </row>
    <row r="50" spans="2:14" x14ac:dyDescent="0.25">
      <c r="B50">
        <v>1</v>
      </c>
      <c r="C50">
        <v>4</v>
      </c>
      <c r="D50">
        <f>VALUE(RIGHT(Sim_Output[[#This Row],[OUTPUT]],LEN(Sim_Output[[#This Row],[OUTPUT]])-6))</f>
        <v>7</v>
      </c>
      <c r="E50">
        <v>3</v>
      </c>
      <c r="F50" t="str">
        <f>Sim_Output[[#This Row],[SIM_ID]]&amp;" - "&amp;Sim_Output[[#This Row],[WEEK]]&amp;" - "&amp;Sim_Output[[#This Row],[REGIME]]</f>
        <v>1 - 4 - 3</v>
      </c>
      <c r="G50" t="s">
        <v>51</v>
      </c>
      <c r="H50">
        <v>44</v>
      </c>
      <c r="I50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50" s="7">
        <f>Sim_Output[[#This Row],[VALUE]]/SUMIFS(Sim_Output[VALUE],Sim_Output[SIM_ID],Sim_Output[[#This Row],[SIM_ID]],Sim_Output[WEEK],Sim_Output[[#This Row],[WEEK]],Sim_Output[OUTPUT],"PRICE_0")-1</f>
        <v>-0.59633027522935778</v>
      </c>
      <c r="K50" s="4">
        <f ca="1">IF(Sim_Output[[#This Row],[OUTPUT]]="PRICE_0",0,_xlfn.RANK.EQ(Sim_Output[[#This Row],[WTD_RET]],OFFSET(Sim_Output[[#This Row],[WTD_RET]],-Sim_Output[[#This Row],[OBS]]+1,0,12)))</f>
        <v>7</v>
      </c>
      <c r="L50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-0.42479536290169606</v>
      </c>
      <c r="M50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0.14965986394557823</v>
      </c>
      <c r="N50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-0.10204081632653061</v>
      </c>
    </row>
    <row r="51" spans="2:14" x14ac:dyDescent="0.25">
      <c r="B51">
        <v>1</v>
      </c>
      <c r="C51">
        <v>4</v>
      </c>
      <c r="D51">
        <f>VALUE(RIGHT(Sim_Output[[#This Row],[OUTPUT]],LEN(Sim_Output[[#This Row],[OUTPUT]])-6))</f>
        <v>8</v>
      </c>
      <c r="E51">
        <v>3</v>
      </c>
      <c r="F51" t="str">
        <f>Sim_Output[[#This Row],[SIM_ID]]&amp;" - "&amp;Sim_Output[[#This Row],[WEEK]]&amp;" - "&amp;Sim_Output[[#This Row],[REGIME]]</f>
        <v>1 - 4 - 3</v>
      </c>
      <c r="G51" t="s">
        <v>52</v>
      </c>
      <c r="H51">
        <v>39</v>
      </c>
      <c r="I51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51" s="7">
        <f>Sim_Output[[#This Row],[VALUE]]/SUMIFS(Sim_Output[VALUE],Sim_Output[SIM_ID],Sim_Output[[#This Row],[SIM_ID]],Sim_Output[WEEK],Sim_Output[[#This Row],[WEEK]],Sim_Output[OUTPUT],"PRICE_0")-1</f>
        <v>-0.64220183486238525</v>
      </c>
      <c r="K51" s="4">
        <f ca="1">IF(Sim_Output[[#This Row],[OUTPUT]]="PRICE_0",0,_xlfn.RANK.EQ(Sim_Output[[#This Row],[WTD_RET]],OFFSET(Sim_Output[[#This Row],[WTD_RET]],-Sim_Output[[#This Row],[OBS]]+1,0,12)))</f>
        <v>8</v>
      </c>
      <c r="L51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-0.51989880235729957</v>
      </c>
      <c r="M51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0.11564625850340139</v>
      </c>
      <c r="N51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-0.11363636363636365</v>
      </c>
    </row>
    <row r="52" spans="2:14" x14ac:dyDescent="0.25">
      <c r="B52">
        <v>1</v>
      </c>
      <c r="C52">
        <v>4</v>
      </c>
      <c r="D52">
        <f>VALUE(RIGHT(Sim_Output[[#This Row],[OUTPUT]],LEN(Sim_Output[[#This Row],[OUTPUT]])-6))</f>
        <v>9</v>
      </c>
      <c r="E52">
        <v>3</v>
      </c>
      <c r="F52" t="str">
        <f>Sim_Output[[#This Row],[SIM_ID]]&amp;" - "&amp;Sim_Output[[#This Row],[WEEK]]&amp;" - "&amp;Sim_Output[[#This Row],[REGIME]]</f>
        <v>1 - 4 - 3</v>
      </c>
      <c r="G52" t="s">
        <v>53</v>
      </c>
      <c r="H52">
        <v>35</v>
      </c>
      <c r="I52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52" s="7">
        <f>Sim_Output[[#This Row],[VALUE]]/SUMIFS(Sim_Output[VALUE],Sim_Output[SIM_ID],Sim_Output[[#This Row],[SIM_ID]],Sim_Output[WEEK],Sim_Output[[#This Row],[WEEK]],Sim_Output[OUTPUT],"PRICE_0")-1</f>
        <v>-0.67889908256880727</v>
      </c>
      <c r="K52" s="4">
        <f ca="1">IF(Sim_Output[[#This Row],[OUTPUT]]="PRICE_0",0,_xlfn.RANK.EQ(Sim_Output[[#This Row],[WTD_RET]],OFFSET(Sim_Output[[#This Row],[WTD_RET]],-Sim_Output[[#This Row],[OBS]]+1,0,12)))</f>
        <v>9</v>
      </c>
      <c r="L52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-0.59598155392178243</v>
      </c>
      <c r="M52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8.8435374149659907E-2</v>
      </c>
      <c r="N52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-0.10256410256410253</v>
      </c>
    </row>
    <row r="53" spans="2:14" x14ac:dyDescent="0.25">
      <c r="B53">
        <v>1</v>
      </c>
      <c r="C53">
        <v>4</v>
      </c>
      <c r="D53">
        <f>VALUE(RIGHT(Sim_Output[[#This Row],[OUTPUT]],LEN(Sim_Output[[#This Row],[OUTPUT]])-6))</f>
        <v>10</v>
      </c>
      <c r="E53">
        <v>3</v>
      </c>
      <c r="F53" t="str">
        <f>Sim_Output[[#This Row],[SIM_ID]]&amp;" - "&amp;Sim_Output[[#This Row],[WEEK]]&amp;" - "&amp;Sim_Output[[#This Row],[REGIME]]</f>
        <v>1 - 4 - 3</v>
      </c>
      <c r="G53" t="s">
        <v>54</v>
      </c>
      <c r="H53">
        <v>30</v>
      </c>
      <c r="I53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53" s="7">
        <f>Sim_Output[[#This Row],[VALUE]]/SUMIFS(Sim_Output[VALUE],Sim_Output[SIM_ID],Sim_Output[[#This Row],[SIM_ID]],Sim_Output[WEEK],Sim_Output[[#This Row],[WEEK]],Sim_Output[OUTPUT],"PRICE_0")-1</f>
        <v>-0.72477064220183485</v>
      </c>
      <c r="K53" s="4">
        <f ca="1">IF(Sim_Output[[#This Row],[OUTPUT]]="PRICE_0",0,_xlfn.RANK.EQ(Sim_Output[[#This Row],[WTD_RET]],OFFSET(Sim_Output[[#This Row],[WTD_RET]],-Sim_Output[[#This Row],[OBS]]+1,0,12)))</f>
        <v>10</v>
      </c>
      <c r="L53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-0.69108499337738616</v>
      </c>
      <c r="M53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5.4421768707482991E-2</v>
      </c>
      <c r="N53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-0.1428571428571429</v>
      </c>
    </row>
    <row r="54" spans="2:14" x14ac:dyDescent="0.25">
      <c r="B54">
        <v>1</v>
      </c>
      <c r="C54">
        <v>4</v>
      </c>
      <c r="D54">
        <f>VALUE(RIGHT(Sim_Output[[#This Row],[OUTPUT]],LEN(Sim_Output[[#This Row],[OUTPUT]])-6))</f>
        <v>11</v>
      </c>
      <c r="E54">
        <v>3</v>
      </c>
      <c r="F54" t="str">
        <f>Sim_Output[[#This Row],[SIM_ID]]&amp;" - "&amp;Sim_Output[[#This Row],[WEEK]]&amp;" - "&amp;Sim_Output[[#This Row],[REGIME]]</f>
        <v>1 - 4 - 3</v>
      </c>
      <c r="G54" t="s">
        <v>55</v>
      </c>
      <c r="H54">
        <v>26</v>
      </c>
      <c r="I54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54" s="7">
        <f>Sim_Output[[#This Row],[VALUE]]/SUMIFS(Sim_Output[VALUE],Sim_Output[SIM_ID],Sim_Output[[#This Row],[SIM_ID]],Sim_Output[WEEK],Sim_Output[[#This Row],[WEEK]],Sim_Output[OUTPUT],"PRICE_0")-1</f>
        <v>-0.76146788990825687</v>
      </c>
      <c r="K54" s="4">
        <f ca="1">IF(Sim_Output[[#This Row],[OUTPUT]]="PRICE_0",0,_xlfn.RANK.EQ(Sim_Output[[#This Row],[WTD_RET]],OFFSET(Sim_Output[[#This Row],[WTD_RET]],-Sim_Output[[#This Row],[OBS]]+1,0,12)))</f>
        <v>11</v>
      </c>
      <c r="L54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-0.76716774494186901</v>
      </c>
      <c r="M54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2.7210884353741496E-2</v>
      </c>
      <c r="N54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-0.1333333333333333</v>
      </c>
    </row>
    <row r="55" spans="2:14" x14ac:dyDescent="0.25">
      <c r="B55">
        <v>1</v>
      </c>
      <c r="C55">
        <v>4</v>
      </c>
      <c r="D55">
        <f>VALUE(RIGHT(Sim_Output[[#This Row],[OUTPUT]],LEN(Sim_Output[[#This Row],[OUTPUT]])-6))</f>
        <v>12</v>
      </c>
      <c r="E55">
        <v>3</v>
      </c>
      <c r="F55" t="str">
        <f>Sim_Output[[#This Row],[SIM_ID]]&amp;" - "&amp;Sim_Output[[#This Row],[WEEK]]&amp;" - "&amp;Sim_Output[[#This Row],[REGIME]]</f>
        <v>1 - 4 - 3</v>
      </c>
      <c r="G55" t="s">
        <v>56</v>
      </c>
      <c r="H55">
        <v>22</v>
      </c>
      <c r="I55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55" s="7">
        <f>Sim_Output[[#This Row],[VALUE]]/SUMIFS(Sim_Output[VALUE],Sim_Output[SIM_ID],Sim_Output[[#This Row],[SIM_ID]],Sim_Output[WEEK],Sim_Output[[#This Row],[WEEK]],Sim_Output[OUTPUT],"PRICE_0")-1</f>
        <v>-0.79816513761467889</v>
      </c>
      <c r="K55" s="4">
        <f ca="1">IF(Sim_Output[[#This Row],[OUTPUT]]="PRICE_0",0,_xlfn.RANK.EQ(Sim_Output[[#This Row],[WTD_RET]],OFFSET(Sim_Output[[#This Row],[WTD_RET]],-Sim_Output[[#This Row],[OBS]]+1,0,12)))</f>
        <v>12</v>
      </c>
      <c r="L55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-0.84325049650635187</v>
      </c>
      <c r="M55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</v>
      </c>
      <c r="N55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-0.15384615384615385</v>
      </c>
    </row>
    <row r="56" spans="2:14" x14ac:dyDescent="0.25">
      <c r="B56">
        <v>1</v>
      </c>
      <c r="C56">
        <v>5</v>
      </c>
      <c r="D56">
        <f>VALUE(RIGHT(Sim_Output[[#This Row],[OUTPUT]],LEN(Sim_Output[[#This Row],[OUTPUT]])-6))</f>
        <v>0</v>
      </c>
      <c r="E56">
        <v>3</v>
      </c>
      <c r="F56" t="str">
        <f>Sim_Output[[#This Row],[SIM_ID]]&amp;" - "&amp;Sim_Output[[#This Row],[WEEK]]&amp;" - "&amp;Sim_Output[[#This Row],[REGIME]]</f>
        <v>1 - 5 - 3</v>
      </c>
      <c r="G56" t="s">
        <v>44</v>
      </c>
      <c r="H56">
        <v>102</v>
      </c>
      <c r="I56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56" s="7">
        <f>Sim_Output[[#This Row],[VALUE]]/SUMIFS(Sim_Output[VALUE],Sim_Output[SIM_ID],Sim_Output[[#This Row],[SIM_ID]],Sim_Output[WEEK],Sim_Output[[#This Row],[WEEK]],Sim_Output[OUTPUT],"PRICE_0")-1</f>
        <v>0</v>
      </c>
      <c r="K56" s="4">
        <f ca="1">IF(Sim_Output[[#This Row],[OUTPUT]]="PRICE_0",0,_xlfn.RANK.EQ(Sim_Output[[#This Row],[WTD_RET]],OFFSET(Sim_Output[[#This Row],[WTD_RET]],-Sim_Output[[#This Row],[OBS]]+1,0,12)))</f>
        <v>0</v>
      </c>
      <c r="L56" s="3" t="str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/>
      </c>
      <c r="M56" s="3" t="str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/>
      </c>
      <c r="N56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</v>
      </c>
    </row>
    <row r="57" spans="2:14" x14ac:dyDescent="0.25">
      <c r="B57">
        <v>1</v>
      </c>
      <c r="C57">
        <v>5</v>
      </c>
      <c r="D57">
        <f>VALUE(RIGHT(Sim_Output[[#This Row],[OUTPUT]],LEN(Sim_Output[[#This Row],[OUTPUT]])-6))</f>
        <v>1</v>
      </c>
      <c r="E57">
        <v>3</v>
      </c>
      <c r="F57" t="str">
        <f>Sim_Output[[#This Row],[SIM_ID]]&amp;" - "&amp;Sim_Output[[#This Row],[WEEK]]&amp;" - "&amp;Sim_Output[[#This Row],[REGIME]]</f>
        <v>1 - 5 - 3</v>
      </c>
      <c r="G57" t="s">
        <v>45</v>
      </c>
      <c r="H57">
        <v>56</v>
      </c>
      <c r="I57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57" s="7">
        <f>Sim_Output[[#This Row],[VALUE]]/SUMIFS(Sim_Output[VALUE],Sim_Output[SIM_ID],Sim_Output[[#This Row],[SIM_ID]],Sim_Output[WEEK],Sim_Output[[#This Row],[WEEK]],Sim_Output[OUTPUT],"PRICE_0")-1</f>
        <v>-0.4509803921568627</v>
      </c>
      <c r="K57" s="4">
        <f ca="1">IF(Sim_Output[[#This Row],[OUTPUT]]="PRICE_0",0,_xlfn.RANK.EQ(Sim_Output[[#This Row],[WTD_RET]],OFFSET(Sim_Output[[#This Row],[WTD_RET]],-Sim_Output[[#This Row],[OBS]]+1,0,12)))</f>
        <v>5</v>
      </c>
      <c r="L57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-0.32790310586851801</v>
      </c>
      <c r="M57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0.14473684210526325</v>
      </c>
      <c r="N57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-0.4509803921568627</v>
      </c>
    </row>
    <row r="58" spans="2:14" x14ac:dyDescent="0.25">
      <c r="B58">
        <v>1</v>
      </c>
      <c r="C58">
        <v>5</v>
      </c>
      <c r="D58">
        <f>VALUE(RIGHT(Sim_Output[[#This Row],[OUTPUT]],LEN(Sim_Output[[#This Row],[OUTPUT]])-6))</f>
        <v>2</v>
      </c>
      <c r="E58">
        <v>3</v>
      </c>
      <c r="F58" t="str">
        <f>Sim_Output[[#This Row],[SIM_ID]]&amp;" - "&amp;Sim_Output[[#This Row],[WEEK]]&amp;" - "&amp;Sim_Output[[#This Row],[REGIME]]</f>
        <v>1 - 5 - 3</v>
      </c>
      <c r="G58" t="s">
        <v>46</v>
      </c>
      <c r="H58">
        <v>51</v>
      </c>
      <c r="I58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58" s="7">
        <f>Sim_Output[[#This Row],[VALUE]]/SUMIFS(Sim_Output[VALUE],Sim_Output[SIM_ID],Sim_Output[[#This Row],[SIM_ID]],Sim_Output[WEEK],Sim_Output[[#This Row],[WEEK]],Sim_Output[OUTPUT],"PRICE_0")-1</f>
        <v>-0.5</v>
      </c>
      <c r="K58" s="4">
        <f ca="1">IF(Sim_Output[[#This Row],[OUTPUT]]="PRICE_0",0,_xlfn.RANK.EQ(Sim_Output[[#This Row],[WTD_RET]],OFFSET(Sim_Output[[#This Row],[WTD_RET]],-Sim_Output[[#This Row],[OBS]]+1,0,12)))</f>
        <v>8</v>
      </c>
      <c r="L58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-0.44501135796441749</v>
      </c>
      <c r="M58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0.11184210526315794</v>
      </c>
      <c r="N58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-8.9285714285714302E-2</v>
      </c>
    </row>
    <row r="59" spans="2:14" x14ac:dyDescent="0.25">
      <c r="B59">
        <v>1</v>
      </c>
      <c r="C59">
        <v>5</v>
      </c>
      <c r="D59">
        <f>VALUE(RIGHT(Sim_Output[[#This Row],[OUTPUT]],LEN(Sim_Output[[#This Row],[OUTPUT]])-6))</f>
        <v>3</v>
      </c>
      <c r="E59">
        <v>3</v>
      </c>
      <c r="F59" t="str">
        <f>Sim_Output[[#This Row],[SIM_ID]]&amp;" - "&amp;Sim_Output[[#This Row],[WEEK]]&amp;" - "&amp;Sim_Output[[#This Row],[REGIME]]</f>
        <v>1 - 5 - 3</v>
      </c>
      <c r="G59" t="s">
        <v>47</v>
      </c>
      <c r="H59">
        <v>48</v>
      </c>
      <c r="I59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59" s="7">
        <f>Sim_Output[[#This Row],[VALUE]]/SUMIFS(Sim_Output[VALUE],Sim_Output[SIM_ID],Sim_Output[[#This Row],[SIM_ID]],Sim_Output[WEEK],Sim_Output[[#This Row],[WEEK]],Sim_Output[OUTPUT],"PRICE_0")-1</f>
        <v>-0.52941176470588236</v>
      </c>
      <c r="K59" s="4">
        <f ca="1">IF(Sim_Output[[#This Row],[OUTPUT]]="PRICE_0",0,_xlfn.RANK.EQ(Sim_Output[[#This Row],[WTD_RET]],OFFSET(Sim_Output[[#This Row],[WTD_RET]],-Sim_Output[[#This Row],[OBS]]+1,0,12)))</f>
        <v>9</v>
      </c>
      <c r="L59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-0.51527630922195711</v>
      </c>
      <c r="M59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9.2105263157894773E-2</v>
      </c>
      <c r="N59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-5.8823529411764719E-2</v>
      </c>
    </row>
    <row r="60" spans="2:14" x14ac:dyDescent="0.25">
      <c r="B60">
        <v>1</v>
      </c>
      <c r="C60">
        <v>5</v>
      </c>
      <c r="D60">
        <f>VALUE(RIGHT(Sim_Output[[#This Row],[OUTPUT]],LEN(Sim_Output[[#This Row],[OUTPUT]])-6))</f>
        <v>4</v>
      </c>
      <c r="E60">
        <v>3</v>
      </c>
      <c r="F60" t="str">
        <f>Sim_Output[[#This Row],[SIM_ID]]&amp;" - "&amp;Sim_Output[[#This Row],[WEEK]]&amp;" - "&amp;Sim_Output[[#This Row],[REGIME]]</f>
        <v>1 - 5 - 3</v>
      </c>
      <c r="G60" t="s">
        <v>48</v>
      </c>
      <c r="H60">
        <v>43</v>
      </c>
      <c r="I60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60" s="7">
        <f>Sim_Output[[#This Row],[VALUE]]/SUMIFS(Sim_Output[VALUE],Sim_Output[SIM_ID],Sim_Output[[#This Row],[SIM_ID]],Sim_Output[WEEK],Sim_Output[[#This Row],[WEEK]],Sim_Output[OUTPUT],"PRICE_0")-1</f>
        <v>-0.57843137254901955</v>
      </c>
      <c r="K60" s="4">
        <f ca="1">IF(Sim_Output[[#This Row],[OUTPUT]]="PRICE_0",0,_xlfn.RANK.EQ(Sim_Output[[#This Row],[WTD_RET]],OFFSET(Sim_Output[[#This Row],[WTD_RET]],-Sim_Output[[#This Row],[OBS]]+1,0,12)))</f>
        <v>10</v>
      </c>
      <c r="L60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-0.63238456131785625</v>
      </c>
      <c r="M60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5.9210526315789561E-2</v>
      </c>
      <c r="N60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-0.10416666666666663</v>
      </c>
    </row>
    <row r="61" spans="2:14" x14ac:dyDescent="0.25">
      <c r="B61">
        <v>1</v>
      </c>
      <c r="C61">
        <v>5</v>
      </c>
      <c r="D61">
        <f>VALUE(RIGHT(Sim_Output[[#This Row],[OUTPUT]],LEN(Sim_Output[[#This Row],[OUTPUT]])-6))</f>
        <v>5</v>
      </c>
      <c r="E61">
        <v>3</v>
      </c>
      <c r="F61" t="str">
        <f>Sim_Output[[#This Row],[SIM_ID]]&amp;" - "&amp;Sim_Output[[#This Row],[WEEK]]&amp;" - "&amp;Sim_Output[[#This Row],[REGIME]]</f>
        <v>1 - 5 - 3</v>
      </c>
      <c r="G61" t="s">
        <v>49</v>
      </c>
      <c r="H61">
        <v>39</v>
      </c>
      <c r="I61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61" s="7">
        <f>Sim_Output[[#This Row],[VALUE]]/SUMIFS(Sim_Output[VALUE],Sim_Output[SIM_ID],Sim_Output[[#This Row],[SIM_ID]],Sim_Output[WEEK],Sim_Output[[#This Row],[WEEK]],Sim_Output[OUTPUT],"PRICE_0")-1</f>
        <v>-0.61764705882352944</v>
      </c>
      <c r="K61" s="4">
        <f ca="1">IF(Sim_Output[[#This Row],[OUTPUT]]="PRICE_0",0,_xlfn.RANK.EQ(Sim_Output[[#This Row],[WTD_RET]],OFFSET(Sim_Output[[#This Row],[WTD_RET]],-Sim_Output[[#This Row],[OBS]]+1,0,12)))</f>
        <v>11</v>
      </c>
      <c r="L61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-0.72607116299457597</v>
      </c>
      <c r="M61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3.2894736842105296E-2</v>
      </c>
      <c r="N61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-9.3023255813953543E-2</v>
      </c>
    </row>
    <row r="62" spans="2:14" x14ac:dyDescent="0.25">
      <c r="B62">
        <v>1</v>
      </c>
      <c r="C62">
        <v>5</v>
      </c>
      <c r="D62">
        <f>VALUE(RIGHT(Sim_Output[[#This Row],[OUTPUT]],LEN(Sim_Output[[#This Row],[OUTPUT]])-6))</f>
        <v>6</v>
      </c>
      <c r="E62">
        <v>3</v>
      </c>
      <c r="F62" t="str">
        <f>Sim_Output[[#This Row],[SIM_ID]]&amp;" - "&amp;Sim_Output[[#This Row],[WEEK]]&amp;" - "&amp;Sim_Output[[#This Row],[REGIME]]</f>
        <v>1 - 5 - 3</v>
      </c>
      <c r="G62" t="s">
        <v>50</v>
      </c>
      <c r="H62">
        <v>34</v>
      </c>
      <c r="I62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62" s="7">
        <f>Sim_Output[[#This Row],[VALUE]]/SUMIFS(Sim_Output[VALUE],Sim_Output[SIM_ID],Sim_Output[[#This Row],[SIM_ID]],Sim_Output[WEEK],Sim_Output[[#This Row],[WEEK]],Sim_Output[OUTPUT],"PRICE_0")-1</f>
        <v>-0.66666666666666674</v>
      </c>
      <c r="K62" s="4">
        <f ca="1">IF(Sim_Output[[#This Row],[OUTPUT]]="PRICE_0",0,_xlfn.RANK.EQ(Sim_Output[[#This Row],[WTD_RET]],OFFSET(Sim_Output[[#This Row],[WTD_RET]],-Sim_Output[[#This Row],[OBS]]+1,0,12)))</f>
        <v>12</v>
      </c>
      <c r="L62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-0.84317941509047545</v>
      </c>
      <c r="M62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</v>
      </c>
      <c r="N62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-0.12820512820512819</v>
      </c>
    </row>
    <row r="63" spans="2:14" x14ac:dyDescent="0.25">
      <c r="B63">
        <v>1</v>
      </c>
      <c r="C63">
        <v>5</v>
      </c>
      <c r="D63">
        <f>VALUE(RIGHT(Sim_Output[[#This Row],[OUTPUT]],LEN(Sim_Output[[#This Row],[OUTPUT]])-6))</f>
        <v>7</v>
      </c>
      <c r="E63">
        <v>3</v>
      </c>
      <c r="F63" t="str">
        <f>Sim_Output[[#This Row],[SIM_ID]]&amp;" - "&amp;Sim_Output[[#This Row],[WEEK]]&amp;" - "&amp;Sim_Output[[#This Row],[REGIME]]</f>
        <v>1 - 5 - 3</v>
      </c>
      <c r="G63" t="s">
        <v>51</v>
      </c>
      <c r="H63">
        <v>96</v>
      </c>
      <c r="I63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63" s="7">
        <f>Sim_Output[[#This Row],[VALUE]]/SUMIFS(Sim_Output[VALUE],Sim_Output[SIM_ID],Sim_Output[[#This Row],[SIM_ID]],Sim_Output[WEEK],Sim_Output[[#This Row],[WEEK]],Sim_Output[OUTPUT],"PRICE_0")-1</f>
        <v>-5.8823529411764719E-2</v>
      </c>
      <c r="K63" s="4">
        <f ca="1">IF(Sim_Output[[#This Row],[OUTPUT]]="PRICE_0",0,_xlfn.RANK.EQ(Sim_Output[[#This Row],[WTD_RET]],OFFSET(Sim_Output[[#This Row],[WTD_RET]],-Sim_Output[[#This Row],[OBS]]+1,0,12)))</f>
        <v>3</v>
      </c>
      <c r="L63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0.60896291089867649</v>
      </c>
      <c r="M63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0.40789473684210531</v>
      </c>
      <c r="N63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1.8235294117647061</v>
      </c>
    </row>
    <row r="64" spans="2:14" x14ac:dyDescent="0.25">
      <c r="B64">
        <v>1</v>
      </c>
      <c r="C64">
        <v>5</v>
      </c>
      <c r="D64">
        <f>VALUE(RIGHT(Sim_Output[[#This Row],[OUTPUT]],LEN(Sim_Output[[#This Row],[OUTPUT]])-6))</f>
        <v>8</v>
      </c>
      <c r="E64">
        <v>3</v>
      </c>
      <c r="F64" t="str">
        <f>Sim_Output[[#This Row],[SIM_ID]]&amp;" - "&amp;Sim_Output[[#This Row],[WEEK]]&amp;" - "&amp;Sim_Output[[#This Row],[REGIME]]</f>
        <v>1 - 5 - 3</v>
      </c>
      <c r="G64" t="s">
        <v>52</v>
      </c>
      <c r="H64">
        <v>107</v>
      </c>
      <c r="I64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64" s="7">
        <f>Sim_Output[[#This Row],[VALUE]]/SUMIFS(Sim_Output[VALUE],Sim_Output[SIM_ID],Sim_Output[[#This Row],[SIM_ID]],Sim_Output[WEEK],Sim_Output[[#This Row],[WEEK]],Sim_Output[OUTPUT],"PRICE_0")-1</f>
        <v>4.9019607843137303E-2</v>
      </c>
      <c r="K64" s="4">
        <f ca="1">IF(Sim_Output[[#This Row],[OUTPUT]]="PRICE_0",0,_xlfn.RANK.EQ(Sim_Output[[#This Row],[WTD_RET]],OFFSET(Sim_Output[[#This Row],[WTD_RET]],-Sim_Output[[#This Row],[OBS]]+1,0,12)))</f>
        <v>2</v>
      </c>
      <c r="L64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0.86660106550965521</v>
      </c>
      <c r="M64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0.48026315789473689</v>
      </c>
      <c r="N64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0.11458333333333326</v>
      </c>
    </row>
    <row r="65" spans="2:14" x14ac:dyDescent="0.25">
      <c r="B65">
        <v>1</v>
      </c>
      <c r="C65">
        <v>5</v>
      </c>
      <c r="D65">
        <f>VALUE(RIGHT(Sim_Output[[#This Row],[OUTPUT]],LEN(Sim_Output[[#This Row],[OUTPUT]])-6))</f>
        <v>9</v>
      </c>
      <c r="E65">
        <v>3</v>
      </c>
      <c r="F65" t="str">
        <f>Sim_Output[[#This Row],[SIM_ID]]&amp;" - "&amp;Sim_Output[[#This Row],[WEEK]]&amp;" - "&amp;Sim_Output[[#This Row],[REGIME]]</f>
        <v>1 - 5 - 3</v>
      </c>
      <c r="G65" t="s">
        <v>53</v>
      </c>
      <c r="H65">
        <v>72</v>
      </c>
      <c r="I65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65" s="7">
        <f>Sim_Output[[#This Row],[VALUE]]/SUMIFS(Sim_Output[VALUE],Sim_Output[SIM_ID],Sim_Output[[#This Row],[SIM_ID]],Sim_Output[WEEK],Sim_Output[[#This Row],[WEEK]],Sim_Output[OUTPUT],"PRICE_0")-1</f>
        <v>-0.29411764705882348</v>
      </c>
      <c r="K65" s="4">
        <f ca="1">IF(Sim_Output[[#This Row],[OUTPUT]]="PRICE_0",0,_xlfn.RANK.EQ(Sim_Output[[#This Row],[WTD_RET]],OFFSET(Sim_Output[[#This Row],[WTD_RET]],-Sim_Output[[#This Row],[OBS]]+1,0,12)))</f>
        <v>4</v>
      </c>
      <c r="L65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4.684330083835983E-2</v>
      </c>
      <c r="M65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0.25000000000000006</v>
      </c>
      <c r="N65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-0.32710280373831779</v>
      </c>
    </row>
    <row r="66" spans="2:14" x14ac:dyDescent="0.25">
      <c r="B66">
        <v>1</v>
      </c>
      <c r="C66">
        <v>5</v>
      </c>
      <c r="D66">
        <f>VALUE(RIGHT(Sim_Output[[#This Row],[OUTPUT]],LEN(Sim_Output[[#This Row],[OUTPUT]])-6))</f>
        <v>10</v>
      </c>
      <c r="E66">
        <v>3</v>
      </c>
      <c r="F66" t="str">
        <f>Sim_Output[[#This Row],[SIM_ID]]&amp;" - "&amp;Sim_Output[[#This Row],[WEEK]]&amp;" - "&amp;Sim_Output[[#This Row],[REGIME]]</f>
        <v>1 - 5 - 3</v>
      </c>
      <c r="G66" t="s">
        <v>54</v>
      </c>
      <c r="H66">
        <v>186</v>
      </c>
      <c r="I66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66" s="7">
        <f>Sim_Output[[#This Row],[VALUE]]/SUMIFS(Sim_Output[VALUE],Sim_Output[SIM_ID],Sim_Output[[#This Row],[SIM_ID]],Sim_Output[WEEK],Sim_Output[[#This Row],[WEEK]],Sim_Output[OUTPUT],"PRICE_0")-1</f>
        <v>0.82352941176470584</v>
      </c>
      <c r="K66" s="4">
        <f ca="1">IF(Sim_Output[[#This Row],[OUTPUT]]="PRICE_0",0,_xlfn.RANK.EQ(Sim_Output[[#This Row],[WTD_RET]],OFFSET(Sim_Output[[#This Row],[WTD_RET]],-Sim_Output[[#This Row],[OBS]]+1,0,12)))</f>
        <v>1</v>
      </c>
      <c r="L66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2.7169114486248644</v>
      </c>
      <c r="M66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1</v>
      </c>
      <c r="N66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1.5833333333333335</v>
      </c>
    </row>
    <row r="67" spans="2:14" x14ac:dyDescent="0.25">
      <c r="B67">
        <v>1</v>
      </c>
      <c r="C67">
        <v>5</v>
      </c>
      <c r="D67">
        <f>VALUE(RIGHT(Sim_Output[[#This Row],[OUTPUT]],LEN(Sim_Output[[#This Row],[OUTPUT]])-6))</f>
        <v>11</v>
      </c>
      <c r="E67">
        <v>3</v>
      </c>
      <c r="F67" t="str">
        <f>Sim_Output[[#This Row],[SIM_ID]]&amp;" - "&amp;Sim_Output[[#This Row],[WEEK]]&amp;" - "&amp;Sim_Output[[#This Row],[REGIME]]</f>
        <v>1 - 5 - 3</v>
      </c>
      <c r="G67" t="s">
        <v>55</v>
      </c>
      <c r="H67">
        <v>52</v>
      </c>
      <c r="I67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67" s="7">
        <f>Sim_Output[[#This Row],[VALUE]]/SUMIFS(Sim_Output[VALUE],Sim_Output[SIM_ID],Sim_Output[[#This Row],[SIM_ID]],Sim_Output[WEEK],Sim_Output[[#This Row],[WEEK]],Sim_Output[OUTPUT],"PRICE_0")-1</f>
        <v>-0.49019607843137258</v>
      </c>
      <c r="K67" s="4">
        <f ca="1">IF(Sim_Output[[#This Row],[OUTPUT]]="PRICE_0",0,_xlfn.RANK.EQ(Sim_Output[[#This Row],[WTD_RET]],OFFSET(Sim_Output[[#This Row],[WTD_RET]],-Sim_Output[[#This Row],[OBS]]+1,0,12)))</f>
        <v>7</v>
      </c>
      <c r="L67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-0.42158970754523772</v>
      </c>
      <c r="M67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0.11842105263157897</v>
      </c>
      <c r="N67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-0.72043010752688175</v>
      </c>
    </row>
    <row r="68" spans="2:14" x14ac:dyDescent="0.25">
      <c r="B68">
        <v>1</v>
      </c>
      <c r="C68">
        <v>5</v>
      </c>
      <c r="D68">
        <f>VALUE(RIGHT(Sim_Output[[#This Row],[OUTPUT]],LEN(Sim_Output[[#This Row],[OUTPUT]])-6))</f>
        <v>12</v>
      </c>
      <c r="E68">
        <v>3</v>
      </c>
      <c r="F68" t="str">
        <f>Sim_Output[[#This Row],[SIM_ID]]&amp;" - "&amp;Sim_Output[[#This Row],[WEEK]]&amp;" - "&amp;Sim_Output[[#This Row],[REGIME]]</f>
        <v>1 - 5 - 3</v>
      </c>
      <c r="G68" t="s">
        <v>56</v>
      </c>
      <c r="H68">
        <v>56</v>
      </c>
      <c r="I68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68" s="7">
        <f>Sim_Output[[#This Row],[VALUE]]/SUMIFS(Sim_Output[VALUE],Sim_Output[SIM_ID],Sim_Output[[#This Row],[SIM_ID]],Sim_Output[WEEK],Sim_Output[[#This Row],[WEEK]],Sim_Output[OUTPUT],"PRICE_0")-1</f>
        <v>-0.4509803921568627</v>
      </c>
      <c r="K68" s="4">
        <f ca="1">IF(Sim_Output[[#This Row],[OUTPUT]]="PRICE_0",0,_xlfn.RANK.EQ(Sim_Output[[#This Row],[WTD_RET]],OFFSET(Sim_Output[[#This Row],[WTD_RET]],-Sim_Output[[#This Row],[OBS]]+1,0,12)))</f>
        <v>5</v>
      </c>
      <c r="L68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-0.32790310586851801</v>
      </c>
      <c r="M68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0.14473684210526325</v>
      </c>
      <c r="N68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7.6923076923076872E-2</v>
      </c>
    </row>
    <row r="69" spans="2:14" x14ac:dyDescent="0.25">
      <c r="B69">
        <v>1</v>
      </c>
      <c r="C69">
        <v>6</v>
      </c>
      <c r="D69">
        <f>VALUE(RIGHT(Sim_Output[[#This Row],[OUTPUT]],LEN(Sim_Output[[#This Row],[OUTPUT]])-6))</f>
        <v>0</v>
      </c>
      <c r="E69">
        <v>2</v>
      </c>
      <c r="F69" t="str">
        <f>Sim_Output[[#This Row],[SIM_ID]]&amp;" - "&amp;Sim_Output[[#This Row],[WEEK]]&amp;" - "&amp;Sim_Output[[#This Row],[REGIME]]</f>
        <v>1 - 6 - 2</v>
      </c>
      <c r="G69" t="s">
        <v>44</v>
      </c>
      <c r="H69">
        <v>101</v>
      </c>
      <c r="I69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69" s="7">
        <f>Sim_Output[[#This Row],[VALUE]]/SUMIFS(Sim_Output[VALUE],Sim_Output[SIM_ID],Sim_Output[[#This Row],[SIM_ID]],Sim_Output[WEEK],Sim_Output[[#This Row],[WEEK]],Sim_Output[OUTPUT],"PRICE_0")-1</f>
        <v>0</v>
      </c>
      <c r="K69" s="4">
        <f ca="1">IF(Sim_Output[[#This Row],[OUTPUT]]="PRICE_0",0,_xlfn.RANK.EQ(Sim_Output[[#This Row],[WTD_RET]],OFFSET(Sim_Output[[#This Row],[WTD_RET]],-Sim_Output[[#This Row],[OBS]]+1,0,12)))</f>
        <v>0</v>
      </c>
      <c r="L69" s="3" t="str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/>
      </c>
      <c r="M69" s="3" t="str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/>
      </c>
      <c r="N69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</v>
      </c>
    </row>
    <row r="70" spans="2:14" x14ac:dyDescent="0.25">
      <c r="B70">
        <v>1</v>
      </c>
      <c r="C70">
        <v>6</v>
      </c>
      <c r="D70">
        <f>VALUE(RIGHT(Sim_Output[[#This Row],[OUTPUT]],LEN(Sim_Output[[#This Row],[OUTPUT]])-6))</f>
        <v>1</v>
      </c>
      <c r="E70">
        <v>2</v>
      </c>
      <c r="F70" t="str">
        <f>Sim_Output[[#This Row],[SIM_ID]]&amp;" - "&amp;Sim_Output[[#This Row],[WEEK]]&amp;" - "&amp;Sim_Output[[#This Row],[REGIME]]</f>
        <v>1 - 6 - 2</v>
      </c>
      <c r="G70" t="s">
        <v>45</v>
      </c>
      <c r="H70">
        <v>91</v>
      </c>
      <c r="I70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70" s="7">
        <f>Sim_Output[[#This Row],[VALUE]]/SUMIFS(Sim_Output[VALUE],Sim_Output[SIM_ID],Sim_Output[[#This Row],[SIM_ID]],Sim_Output[WEEK],Sim_Output[[#This Row],[WEEK]],Sim_Output[OUTPUT],"PRICE_0")-1</f>
        <v>-9.9009900990098987E-2</v>
      </c>
      <c r="K70" s="4">
        <f ca="1">IF(Sim_Output[[#This Row],[OUTPUT]]="PRICE_0",0,_xlfn.RANK.EQ(Sim_Output[[#This Row],[WTD_RET]],OFFSET(Sim_Output[[#This Row],[WTD_RET]],-Sim_Output[[#This Row],[OBS]]+1,0,12)))</f>
        <v>1</v>
      </c>
      <c r="L70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1.6036216309926745</v>
      </c>
      <c r="M70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1</v>
      </c>
      <c r="N70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-9.9009900990098987E-2</v>
      </c>
    </row>
    <row r="71" spans="2:14" x14ac:dyDescent="0.25">
      <c r="B71">
        <v>1</v>
      </c>
      <c r="C71">
        <v>6</v>
      </c>
      <c r="D71">
        <f>VALUE(RIGHT(Sim_Output[[#This Row],[OUTPUT]],LEN(Sim_Output[[#This Row],[OUTPUT]])-6))</f>
        <v>2</v>
      </c>
      <c r="E71">
        <v>2</v>
      </c>
      <c r="F71" t="str">
        <f>Sim_Output[[#This Row],[SIM_ID]]&amp;" - "&amp;Sim_Output[[#This Row],[WEEK]]&amp;" - "&amp;Sim_Output[[#This Row],[REGIME]]</f>
        <v>1 - 6 - 2</v>
      </c>
      <c r="G71" t="s">
        <v>46</v>
      </c>
      <c r="H71">
        <v>86</v>
      </c>
      <c r="I71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71" s="7">
        <f>Sim_Output[[#This Row],[VALUE]]/SUMIFS(Sim_Output[VALUE],Sim_Output[SIM_ID],Sim_Output[[#This Row],[SIM_ID]],Sim_Output[WEEK],Sim_Output[[#This Row],[WEEK]],Sim_Output[OUTPUT],"PRICE_0")-1</f>
        <v>-0.14851485148514854</v>
      </c>
      <c r="K71" s="4">
        <f ca="1">IF(Sim_Output[[#This Row],[OUTPUT]]="PRICE_0",0,_xlfn.RANK.EQ(Sim_Output[[#This Row],[WTD_RET]],OFFSET(Sim_Output[[#This Row],[WTD_RET]],-Sim_Output[[#This Row],[OBS]]+1,0,12)))</f>
        <v>2</v>
      </c>
      <c r="L71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1.258756764112529</v>
      </c>
      <c r="M71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0.88888888888888884</v>
      </c>
      <c r="N71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-5.4945054945054972E-2</v>
      </c>
    </row>
    <row r="72" spans="2:14" x14ac:dyDescent="0.25">
      <c r="B72">
        <v>1</v>
      </c>
      <c r="C72">
        <v>6</v>
      </c>
      <c r="D72">
        <f>VALUE(RIGHT(Sim_Output[[#This Row],[OUTPUT]],LEN(Sim_Output[[#This Row],[OUTPUT]])-6))</f>
        <v>3</v>
      </c>
      <c r="E72">
        <v>2</v>
      </c>
      <c r="F72" t="str">
        <f>Sim_Output[[#This Row],[SIM_ID]]&amp;" - "&amp;Sim_Output[[#This Row],[WEEK]]&amp;" - "&amp;Sim_Output[[#This Row],[REGIME]]</f>
        <v>1 - 6 - 2</v>
      </c>
      <c r="G72" t="s">
        <v>47</v>
      </c>
      <c r="H72">
        <v>82</v>
      </c>
      <c r="I72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72" s="7">
        <f>Sim_Output[[#This Row],[VALUE]]/SUMIFS(Sim_Output[VALUE],Sim_Output[SIM_ID],Sim_Output[[#This Row],[SIM_ID]],Sim_Output[WEEK],Sim_Output[[#This Row],[WEEK]],Sim_Output[OUTPUT],"PRICE_0")-1</f>
        <v>-0.18811881188118806</v>
      </c>
      <c r="K72" s="4">
        <f ca="1">IF(Sim_Output[[#This Row],[OUTPUT]]="PRICE_0",0,_xlfn.RANK.EQ(Sim_Output[[#This Row],[WTD_RET]],OFFSET(Sim_Output[[#This Row],[WTD_RET]],-Sim_Output[[#This Row],[OBS]]+1,0,12)))</f>
        <v>3</v>
      </c>
      <c r="L72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0.98286487060841354</v>
      </c>
      <c r="M72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0.8</v>
      </c>
      <c r="N72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-4.6511627906976716E-2</v>
      </c>
    </row>
    <row r="73" spans="2:14" x14ac:dyDescent="0.25">
      <c r="B73">
        <v>1</v>
      </c>
      <c r="C73">
        <v>6</v>
      </c>
      <c r="D73">
        <f>VALUE(RIGHT(Sim_Output[[#This Row],[OUTPUT]],LEN(Sim_Output[[#This Row],[OUTPUT]])-6))</f>
        <v>4</v>
      </c>
      <c r="E73">
        <v>2</v>
      </c>
      <c r="F73" t="str">
        <f>Sim_Output[[#This Row],[SIM_ID]]&amp;" - "&amp;Sim_Output[[#This Row],[WEEK]]&amp;" - "&amp;Sim_Output[[#This Row],[REGIME]]</f>
        <v>1 - 6 - 2</v>
      </c>
      <c r="G73" t="s">
        <v>48</v>
      </c>
      <c r="H73">
        <v>77</v>
      </c>
      <c r="I73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73" s="7">
        <f>Sim_Output[[#This Row],[VALUE]]/SUMIFS(Sim_Output[VALUE],Sim_Output[SIM_ID],Sim_Output[[#This Row],[SIM_ID]],Sim_Output[WEEK],Sim_Output[[#This Row],[WEEK]],Sim_Output[OUTPUT],"PRICE_0")-1</f>
        <v>-0.23762376237623761</v>
      </c>
      <c r="K73" s="4">
        <f ca="1">IF(Sim_Output[[#This Row],[OUTPUT]]="PRICE_0",0,_xlfn.RANK.EQ(Sim_Output[[#This Row],[WTD_RET]],OFFSET(Sim_Output[[#This Row],[WTD_RET]],-Sim_Output[[#This Row],[OBS]]+1,0,12)))</f>
        <v>4</v>
      </c>
      <c r="L73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0.63800000372826815</v>
      </c>
      <c r="M73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0.68888888888888888</v>
      </c>
      <c r="N73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-6.0975609756097615E-2</v>
      </c>
    </row>
    <row r="74" spans="2:14" x14ac:dyDescent="0.25">
      <c r="B74">
        <v>1</v>
      </c>
      <c r="C74">
        <v>6</v>
      </c>
      <c r="D74">
        <f>VALUE(RIGHT(Sim_Output[[#This Row],[OUTPUT]],LEN(Sim_Output[[#This Row],[OUTPUT]])-6))</f>
        <v>5</v>
      </c>
      <c r="E74">
        <v>2</v>
      </c>
      <c r="F74" t="str">
        <f>Sim_Output[[#This Row],[SIM_ID]]&amp;" - "&amp;Sim_Output[[#This Row],[WEEK]]&amp;" - "&amp;Sim_Output[[#This Row],[REGIME]]</f>
        <v>1 - 6 - 2</v>
      </c>
      <c r="G74" t="s">
        <v>49</v>
      </c>
      <c r="H74">
        <v>73</v>
      </c>
      <c r="I74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74" s="7">
        <f>Sim_Output[[#This Row],[VALUE]]/SUMIFS(Sim_Output[VALUE],Sim_Output[SIM_ID],Sim_Output[[#This Row],[SIM_ID]],Sim_Output[WEEK],Sim_Output[[#This Row],[WEEK]],Sim_Output[OUTPUT],"PRICE_0")-1</f>
        <v>-0.27722772277227725</v>
      </c>
      <c r="K74" s="4">
        <f ca="1">IF(Sim_Output[[#This Row],[OUTPUT]]="PRICE_0",0,_xlfn.RANK.EQ(Sim_Output[[#This Row],[WTD_RET]],OFFSET(Sim_Output[[#This Row],[WTD_RET]],-Sim_Output[[#This Row],[OBS]]+1,0,12)))</f>
        <v>5</v>
      </c>
      <c r="L74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0.3621081102241519</v>
      </c>
      <c r="M74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0.6</v>
      </c>
      <c r="N74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-5.1948051948051965E-2</v>
      </c>
    </row>
    <row r="75" spans="2:14" x14ac:dyDescent="0.25">
      <c r="B75">
        <v>1</v>
      </c>
      <c r="C75">
        <v>6</v>
      </c>
      <c r="D75">
        <f>VALUE(RIGHT(Sim_Output[[#This Row],[OUTPUT]],LEN(Sim_Output[[#This Row],[OUTPUT]])-6))</f>
        <v>6</v>
      </c>
      <c r="E75">
        <v>2</v>
      </c>
      <c r="F75" t="str">
        <f>Sim_Output[[#This Row],[SIM_ID]]&amp;" - "&amp;Sim_Output[[#This Row],[WEEK]]&amp;" - "&amp;Sim_Output[[#This Row],[REGIME]]</f>
        <v>1 - 6 - 2</v>
      </c>
      <c r="G75" t="s">
        <v>50</v>
      </c>
      <c r="H75">
        <v>69</v>
      </c>
      <c r="I75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75" s="7">
        <f>Sim_Output[[#This Row],[VALUE]]/SUMIFS(Sim_Output[VALUE],Sim_Output[SIM_ID],Sim_Output[[#This Row],[SIM_ID]],Sim_Output[WEEK],Sim_Output[[#This Row],[WEEK]],Sim_Output[OUTPUT],"PRICE_0")-1</f>
        <v>-0.31683168316831678</v>
      </c>
      <c r="K75" s="4">
        <f ca="1">IF(Sim_Output[[#This Row],[OUTPUT]]="PRICE_0",0,_xlfn.RANK.EQ(Sim_Output[[#This Row],[WTD_RET]],OFFSET(Sim_Output[[#This Row],[WTD_RET]],-Sim_Output[[#This Row],[OBS]]+1,0,12)))</f>
        <v>6</v>
      </c>
      <c r="L75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8.6216216720036348E-2</v>
      </c>
      <c r="M75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0.51111111111111129</v>
      </c>
      <c r="N75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-5.4794520547945202E-2</v>
      </c>
    </row>
    <row r="76" spans="2:14" x14ac:dyDescent="0.25">
      <c r="B76">
        <v>1</v>
      </c>
      <c r="C76">
        <v>6</v>
      </c>
      <c r="D76">
        <f>VALUE(RIGHT(Sim_Output[[#This Row],[OUTPUT]],LEN(Sim_Output[[#This Row],[OUTPUT]])-6))</f>
        <v>7</v>
      </c>
      <c r="E76">
        <v>2</v>
      </c>
      <c r="F76" t="str">
        <f>Sim_Output[[#This Row],[SIM_ID]]&amp;" - "&amp;Sim_Output[[#This Row],[WEEK]]&amp;" - "&amp;Sim_Output[[#This Row],[REGIME]]</f>
        <v>1 - 6 - 2</v>
      </c>
      <c r="G76" t="s">
        <v>51</v>
      </c>
      <c r="H76">
        <v>66</v>
      </c>
      <c r="I76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76" s="7">
        <f>Sim_Output[[#This Row],[VALUE]]/SUMIFS(Sim_Output[VALUE],Sim_Output[SIM_ID],Sim_Output[[#This Row],[SIM_ID]],Sim_Output[WEEK],Sim_Output[[#This Row],[WEEK]],Sim_Output[OUTPUT],"PRICE_0")-1</f>
        <v>-0.34653465346534651</v>
      </c>
      <c r="K76" s="4">
        <f ca="1">IF(Sim_Output[[#This Row],[OUTPUT]]="PRICE_0",0,_xlfn.RANK.EQ(Sim_Output[[#This Row],[WTD_RET]],OFFSET(Sim_Output[[#This Row],[WTD_RET]],-Sim_Output[[#This Row],[OBS]]+1,0,12)))</f>
        <v>7</v>
      </c>
      <c r="L76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-0.12070270340805088</v>
      </c>
      <c r="M76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0.44444444444444453</v>
      </c>
      <c r="N76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-4.3478260869565188E-2</v>
      </c>
    </row>
    <row r="77" spans="2:14" x14ac:dyDescent="0.25">
      <c r="B77">
        <v>1</v>
      </c>
      <c r="C77">
        <v>6</v>
      </c>
      <c r="D77">
        <f>VALUE(RIGHT(Sim_Output[[#This Row],[OUTPUT]],LEN(Sim_Output[[#This Row],[OUTPUT]])-6))</f>
        <v>8</v>
      </c>
      <c r="E77">
        <v>2</v>
      </c>
      <c r="F77" t="str">
        <f>Sim_Output[[#This Row],[SIM_ID]]&amp;" - "&amp;Sim_Output[[#This Row],[WEEK]]&amp;" - "&amp;Sim_Output[[#This Row],[REGIME]]</f>
        <v>1 - 6 - 2</v>
      </c>
      <c r="G77" t="s">
        <v>52</v>
      </c>
      <c r="H77">
        <v>61</v>
      </c>
      <c r="I77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77" s="7">
        <f>Sim_Output[[#This Row],[VALUE]]/SUMIFS(Sim_Output[VALUE],Sim_Output[SIM_ID],Sim_Output[[#This Row],[SIM_ID]],Sim_Output[WEEK],Sim_Output[[#This Row],[WEEK]],Sim_Output[OUTPUT],"PRICE_0")-1</f>
        <v>-0.39603960396039606</v>
      </c>
      <c r="K77" s="4">
        <f ca="1">IF(Sim_Output[[#This Row],[OUTPUT]]="PRICE_0",0,_xlfn.RANK.EQ(Sim_Output[[#This Row],[WTD_RET]],OFFSET(Sim_Output[[#This Row],[WTD_RET]],-Sim_Output[[#This Row],[OBS]]+1,0,12)))</f>
        <v>8</v>
      </c>
      <c r="L77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-0.46556757028819629</v>
      </c>
      <c r="M77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0.33333333333333331</v>
      </c>
      <c r="N77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-7.5757575757575801E-2</v>
      </c>
    </row>
    <row r="78" spans="2:14" x14ac:dyDescent="0.25">
      <c r="B78">
        <v>1</v>
      </c>
      <c r="C78">
        <v>6</v>
      </c>
      <c r="D78">
        <f>VALUE(RIGHT(Sim_Output[[#This Row],[OUTPUT]],LEN(Sim_Output[[#This Row],[OUTPUT]])-6))</f>
        <v>9</v>
      </c>
      <c r="E78">
        <v>2</v>
      </c>
      <c r="F78" t="str">
        <f>Sim_Output[[#This Row],[SIM_ID]]&amp;" - "&amp;Sim_Output[[#This Row],[WEEK]]&amp;" - "&amp;Sim_Output[[#This Row],[REGIME]]</f>
        <v>1 - 6 - 2</v>
      </c>
      <c r="G78" t="s">
        <v>53</v>
      </c>
      <c r="H78">
        <v>58</v>
      </c>
      <c r="I78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78" s="7">
        <f>Sim_Output[[#This Row],[VALUE]]/SUMIFS(Sim_Output[VALUE],Sim_Output[SIM_ID],Sim_Output[[#This Row],[SIM_ID]],Sim_Output[WEEK],Sim_Output[[#This Row],[WEEK]],Sim_Output[OUTPUT],"PRICE_0")-1</f>
        <v>-0.42574257425742579</v>
      </c>
      <c r="K78" s="4">
        <f ca="1">IF(Sim_Output[[#This Row],[OUTPUT]]="PRICE_0",0,_xlfn.RANK.EQ(Sim_Output[[#This Row],[WTD_RET]],OFFSET(Sim_Output[[#This Row],[WTD_RET]],-Sim_Output[[#This Row],[OBS]]+1,0,12)))</f>
        <v>9</v>
      </c>
      <c r="L78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-0.6724864904162835</v>
      </c>
      <c r="M78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0.26666666666666661</v>
      </c>
      <c r="N78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-4.9180327868852514E-2</v>
      </c>
    </row>
    <row r="79" spans="2:14" x14ac:dyDescent="0.25">
      <c r="B79">
        <v>1</v>
      </c>
      <c r="C79">
        <v>6</v>
      </c>
      <c r="D79">
        <f>VALUE(RIGHT(Sim_Output[[#This Row],[OUTPUT]],LEN(Sim_Output[[#This Row],[OUTPUT]])-6))</f>
        <v>10</v>
      </c>
      <c r="E79">
        <v>2</v>
      </c>
      <c r="F79" t="str">
        <f>Sim_Output[[#This Row],[SIM_ID]]&amp;" - "&amp;Sim_Output[[#This Row],[WEEK]]&amp;" - "&amp;Sim_Output[[#This Row],[REGIME]]</f>
        <v>1 - 6 - 2</v>
      </c>
      <c r="G79" t="s">
        <v>54</v>
      </c>
      <c r="H79">
        <v>54</v>
      </c>
      <c r="I79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79" s="7">
        <f>Sim_Output[[#This Row],[VALUE]]/SUMIFS(Sim_Output[VALUE],Sim_Output[SIM_ID],Sim_Output[[#This Row],[SIM_ID]],Sim_Output[WEEK],Sim_Output[[#This Row],[WEEK]],Sim_Output[OUTPUT],"PRICE_0")-1</f>
        <v>-0.46534653465346532</v>
      </c>
      <c r="K79" s="4">
        <f ca="1">IF(Sim_Output[[#This Row],[OUTPUT]]="PRICE_0",0,_xlfn.RANK.EQ(Sim_Output[[#This Row],[WTD_RET]],OFFSET(Sim_Output[[#This Row],[WTD_RET]],-Sim_Output[[#This Row],[OBS]]+1,0,12)))</f>
        <v>10</v>
      </c>
      <c r="L79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-0.94837838392039908</v>
      </c>
      <c r="M79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0.17777777777777792</v>
      </c>
      <c r="N79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-6.8965517241379337E-2</v>
      </c>
    </row>
    <row r="80" spans="2:14" x14ac:dyDescent="0.25">
      <c r="B80">
        <v>1</v>
      </c>
      <c r="C80">
        <v>6</v>
      </c>
      <c r="D80">
        <f>VALUE(RIGHT(Sim_Output[[#This Row],[OUTPUT]],LEN(Sim_Output[[#This Row],[OUTPUT]])-6))</f>
        <v>11</v>
      </c>
      <c r="E80">
        <v>2</v>
      </c>
      <c r="F80" t="str">
        <f>Sim_Output[[#This Row],[SIM_ID]]&amp;" - "&amp;Sim_Output[[#This Row],[WEEK]]&amp;" - "&amp;Sim_Output[[#This Row],[REGIME]]</f>
        <v>1 - 6 - 2</v>
      </c>
      <c r="G80" t="s">
        <v>55</v>
      </c>
      <c r="H80">
        <v>50</v>
      </c>
      <c r="I80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80" s="7">
        <f>Sim_Output[[#This Row],[VALUE]]/SUMIFS(Sim_Output[VALUE],Sim_Output[SIM_ID],Sim_Output[[#This Row],[SIM_ID]],Sim_Output[WEEK],Sim_Output[[#This Row],[WEEK]],Sim_Output[OUTPUT],"PRICE_0")-1</f>
        <v>-0.50495049504950495</v>
      </c>
      <c r="K80" s="4">
        <f ca="1">IF(Sim_Output[[#This Row],[OUTPUT]]="PRICE_0",0,_xlfn.RANK.EQ(Sim_Output[[#This Row],[WTD_RET]],OFFSET(Sim_Output[[#This Row],[WTD_RET]],-Sim_Output[[#This Row],[OBS]]+1,0,12)))</f>
        <v>11</v>
      </c>
      <c r="L80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-1.2242702774245153</v>
      </c>
      <c r="M80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8.8888888888888962E-2</v>
      </c>
      <c r="N80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-7.407407407407407E-2</v>
      </c>
    </row>
    <row r="81" spans="2:14" x14ac:dyDescent="0.25">
      <c r="B81">
        <v>1</v>
      </c>
      <c r="C81">
        <v>6</v>
      </c>
      <c r="D81">
        <f>VALUE(RIGHT(Sim_Output[[#This Row],[OUTPUT]],LEN(Sim_Output[[#This Row],[OUTPUT]])-6))</f>
        <v>12</v>
      </c>
      <c r="E81">
        <v>2</v>
      </c>
      <c r="F81" t="str">
        <f>Sim_Output[[#This Row],[SIM_ID]]&amp;" - "&amp;Sim_Output[[#This Row],[WEEK]]&amp;" - "&amp;Sim_Output[[#This Row],[REGIME]]</f>
        <v>1 - 6 - 2</v>
      </c>
      <c r="G81" t="s">
        <v>56</v>
      </c>
      <c r="H81">
        <v>46</v>
      </c>
      <c r="I81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81" s="7">
        <f>Sim_Output[[#This Row],[VALUE]]/SUMIFS(Sim_Output[VALUE],Sim_Output[SIM_ID],Sim_Output[[#This Row],[SIM_ID]],Sim_Output[WEEK],Sim_Output[[#This Row],[WEEK]],Sim_Output[OUTPUT],"PRICE_0")-1</f>
        <v>-0.54455445544554459</v>
      </c>
      <c r="K81" s="4">
        <f ca="1">IF(Sim_Output[[#This Row],[OUTPUT]]="PRICE_0",0,_xlfn.RANK.EQ(Sim_Output[[#This Row],[WTD_RET]],OFFSET(Sim_Output[[#This Row],[WTD_RET]],-Sim_Output[[#This Row],[OBS]]+1,0,12)))</f>
        <v>12</v>
      </c>
      <c r="L81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-1.5001621709286317</v>
      </c>
      <c r="M81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</v>
      </c>
      <c r="N81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-7.999999999999996E-2</v>
      </c>
    </row>
    <row r="82" spans="2:14" x14ac:dyDescent="0.25">
      <c r="B82">
        <v>1</v>
      </c>
      <c r="C82">
        <v>7</v>
      </c>
      <c r="D82">
        <f>VALUE(RIGHT(Sim_Output[[#This Row],[OUTPUT]],LEN(Sim_Output[[#This Row],[OUTPUT]])-6))</f>
        <v>0</v>
      </c>
      <c r="E82">
        <v>1</v>
      </c>
      <c r="F82" t="str">
        <f>Sim_Output[[#This Row],[SIM_ID]]&amp;" - "&amp;Sim_Output[[#This Row],[WEEK]]&amp;" - "&amp;Sim_Output[[#This Row],[REGIME]]</f>
        <v>1 - 7 - 1</v>
      </c>
      <c r="G82" t="s">
        <v>44</v>
      </c>
      <c r="H82">
        <v>103</v>
      </c>
      <c r="I82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82" s="7">
        <f>Sim_Output[[#This Row],[VALUE]]/SUMIFS(Sim_Output[VALUE],Sim_Output[SIM_ID],Sim_Output[[#This Row],[SIM_ID]],Sim_Output[WEEK],Sim_Output[[#This Row],[WEEK]],Sim_Output[OUTPUT],"PRICE_0")-1</f>
        <v>0</v>
      </c>
      <c r="K82" s="4">
        <f ca="1">IF(Sim_Output[[#This Row],[OUTPUT]]="PRICE_0",0,_xlfn.RANK.EQ(Sim_Output[[#This Row],[WTD_RET]],OFFSET(Sim_Output[[#This Row],[WTD_RET]],-Sim_Output[[#This Row],[OBS]]+1,0,12)))</f>
        <v>0</v>
      </c>
      <c r="L82" s="3" t="str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/>
      </c>
      <c r="M82" s="3" t="str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/>
      </c>
      <c r="N82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</v>
      </c>
    </row>
    <row r="83" spans="2:14" x14ac:dyDescent="0.25">
      <c r="B83">
        <v>1</v>
      </c>
      <c r="C83">
        <v>7</v>
      </c>
      <c r="D83">
        <f>VALUE(RIGHT(Sim_Output[[#This Row],[OUTPUT]],LEN(Sim_Output[[#This Row],[OUTPUT]])-6))</f>
        <v>1</v>
      </c>
      <c r="E83">
        <v>1</v>
      </c>
      <c r="F83" t="str">
        <f>Sim_Output[[#This Row],[SIM_ID]]&amp;" - "&amp;Sim_Output[[#This Row],[WEEK]]&amp;" - "&amp;Sim_Output[[#This Row],[REGIME]]</f>
        <v>1 - 7 - 1</v>
      </c>
      <c r="G83" t="s">
        <v>45</v>
      </c>
      <c r="H83">
        <v>91</v>
      </c>
      <c r="I83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83" s="7">
        <f>Sim_Output[[#This Row],[VALUE]]/SUMIFS(Sim_Output[VALUE],Sim_Output[SIM_ID],Sim_Output[[#This Row],[SIM_ID]],Sim_Output[WEEK],Sim_Output[[#This Row],[WEEK]],Sim_Output[OUTPUT],"PRICE_0")-1</f>
        <v>-0.11650485436893199</v>
      </c>
      <c r="K83" s="4">
        <f ca="1">IF(Sim_Output[[#This Row],[OUTPUT]]="PRICE_0",0,_xlfn.RANK.EQ(Sim_Output[[#This Row],[WTD_RET]],OFFSET(Sim_Output[[#This Row],[WTD_RET]],-Sim_Output[[#This Row],[OBS]]+1,0,12)))</f>
        <v>6</v>
      </c>
      <c r="L83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-0.42605588078459883</v>
      </c>
      <c r="M83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7.6086956521739149E-2</v>
      </c>
      <c r="N83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-0.11650485436893199</v>
      </c>
    </row>
    <row r="84" spans="2:14" x14ac:dyDescent="0.25">
      <c r="B84">
        <v>1</v>
      </c>
      <c r="C84">
        <v>7</v>
      </c>
      <c r="D84">
        <f>VALUE(RIGHT(Sim_Output[[#This Row],[OUTPUT]],LEN(Sim_Output[[#This Row],[OUTPUT]])-6))</f>
        <v>2</v>
      </c>
      <c r="E84">
        <v>1</v>
      </c>
      <c r="F84" t="str">
        <f>Sim_Output[[#This Row],[SIM_ID]]&amp;" - "&amp;Sim_Output[[#This Row],[WEEK]]&amp;" - "&amp;Sim_Output[[#This Row],[REGIME]]</f>
        <v>1 - 7 - 1</v>
      </c>
      <c r="G84" t="s">
        <v>46</v>
      </c>
      <c r="H84">
        <v>87</v>
      </c>
      <c r="I84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84" s="7">
        <f>Sim_Output[[#This Row],[VALUE]]/SUMIFS(Sim_Output[VALUE],Sim_Output[SIM_ID],Sim_Output[[#This Row],[SIM_ID]],Sim_Output[WEEK],Sim_Output[[#This Row],[WEEK]],Sim_Output[OUTPUT],"PRICE_0")-1</f>
        <v>-0.15533980582524276</v>
      </c>
      <c r="K84" s="4">
        <f ca="1">IF(Sim_Output[[#This Row],[OUTPUT]]="PRICE_0",0,_xlfn.RANK.EQ(Sim_Output[[#This Row],[WTD_RET]],OFFSET(Sim_Output[[#This Row],[WTD_RET]],-Sim_Output[[#This Row],[OBS]]+1,0,12)))</f>
        <v>7</v>
      </c>
      <c r="L84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-0.47667638147187807</v>
      </c>
      <c r="M84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6.1594202898550707E-2</v>
      </c>
      <c r="N84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-4.3956043956043911E-2</v>
      </c>
    </row>
    <row r="85" spans="2:14" x14ac:dyDescent="0.25">
      <c r="B85">
        <v>1</v>
      </c>
      <c r="C85">
        <v>7</v>
      </c>
      <c r="D85">
        <f>VALUE(RIGHT(Sim_Output[[#This Row],[OUTPUT]],LEN(Sim_Output[[#This Row],[OUTPUT]])-6))</f>
        <v>3</v>
      </c>
      <c r="E85">
        <v>1</v>
      </c>
      <c r="F85" t="str">
        <f>Sim_Output[[#This Row],[SIM_ID]]&amp;" - "&amp;Sim_Output[[#This Row],[WEEK]]&amp;" - "&amp;Sim_Output[[#This Row],[REGIME]]</f>
        <v>1 - 7 - 1</v>
      </c>
      <c r="G85" t="s">
        <v>47</v>
      </c>
      <c r="H85">
        <v>83</v>
      </c>
      <c r="I85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85" s="7">
        <f>Sim_Output[[#This Row],[VALUE]]/SUMIFS(Sim_Output[VALUE],Sim_Output[SIM_ID],Sim_Output[[#This Row],[SIM_ID]],Sim_Output[WEEK],Sim_Output[[#This Row],[WEEK]],Sim_Output[OUTPUT],"PRICE_0")-1</f>
        <v>-0.19417475728155342</v>
      </c>
      <c r="K85" s="4">
        <f ca="1">IF(Sim_Output[[#This Row],[OUTPUT]]="PRICE_0",0,_xlfn.RANK.EQ(Sim_Output[[#This Row],[WTD_RET]],OFFSET(Sim_Output[[#This Row],[WTD_RET]],-Sim_Output[[#This Row],[OBS]]+1,0,12)))</f>
        <v>9</v>
      </c>
      <c r="L85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-0.52729688215915715</v>
      </c>
      <c r="M85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4.7101449275362306E-2</v>
      </c>
      <c r="N85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-4.5977011494252928E-2</v>
      </c>
    </row>
    <row r="86" spans="2:14" x14ac:dyDescent="0.25">
      <c r="B86">
        <v>1</v>
      </c>
      <c r="C86">
        <v>7</v>
      </c>
      <c r="D86">
        <f>VALUE(RIGHT(Sim_Output[[#This Row],[OUTPUT]],LEN(Sim_Output[[#This Row],[OUTPUT]])-6))</f>
        <v>4</v>
      </c>
      <c r="E86">
        <v>1</v>
      </c>
      <c r="F86" t="str">
        <f>Sim_Output[[#This Row],[SIM_ID]]&amp;" - "&amp;Sim_Output[[#This Row],[WEEK]]&amp;" - "&amp;Sim_Output[[#This Row],[REGIME]]</f>
        <v>1 - 7 - 1</v>
      </c>
      <c r="G86" t="s">
        <v>48</v>
      </c>
      <c r="H86">
        <v>80</v>
      </c>
      <c r="I86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86" s="7">
        <f>Sim_Output[[#This Row],[VALUE]]/SUMIFS(Sim_Output[VALUE],Sim_Output[SIM_ID],Sim_Output[[#This Row],[SIM_ID]],Sim_Output[WEEK],Sim_Output[[#This Row],[WEEK]],Sim_Output[OUTPUT],"PRICE_0")-1</f>
        <v>-0.22330097087378642</v>
      </c>
      <c r="K86" s="4">
        <f ca="1">IF(Sim_Output[[#This Row],[OUTPUT]]="PRICE_0",0,_xlfn.RANK.EQ(Sim_Output[[#This Row],[WTD_RET]],OFFSET(Sim_Output[[#This Row],[WTD_RET]],-Sim_Output[[#This Row],[OBS]]+1,0,12)))</f>
        <v>10</v>
      </c>
      <c r="L86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-0.56526225767461635</v>
      </c>
      <c r="M86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3.6231884057971002E-2</v>
      </c>
      <c r="N86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-3.6144578313253017E-2</v>
      </c>
    </row>
    <row r="87" spans="2:14" x14ac:dyDescent="0.25">
      <c r="B87">
        <v>1</v>
      </c>
      <c r="C87">
        <v>7</v>
      </c>
      <c r="D87">
        <f>VALUE(RIGHT(Sim_Output[[#This Row],[OUTPUT]],LEN(Sim_Output[[#This Row],[OUTPUT]])-6))</f>
        <v>5</v>
      </c>
      <c r="E87">
        <v>1</v>
      </c>
      <c r="F87" t="str">
        <f>Sim_Output[[#This Row],[SIM_ID]]&amp;" - "&amp;Sim_Output[[#This Row],[WEEK]]&amp;" - "&amp;Sim_Output[[#This Row],[REGIME]]</f>
        <v>1 - 7 - 1</v>
      </c>
      <c r="G87" t="s">
        <v>49</v>
      </c>
      <c r="H87">
        <v>75</v>
      </c>
      <c r="I87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87" s="7">
        <f>Sim_Output[[#This Row],[VALUE]]/SUMIFS(Sim_Output[VALUE],Sim_Output[SIM_ID],Sim_Output[[#This Row],[SIM_ID]],Sim_Output[WEEK],Sim_Output[[#This Row],[WEEK]],Sim_Output[OUTPUT],"PRICE_0")-1</f>
        <v>-0.27184466019417475</v>
      </c>
      <c r="K87" s="4">
        <f ca="1">IF(Sim_Output[[#This Row],[OUTPUT]]="PRICE_0",0,_xlfn.RANK.EQ(Sim_Output[[#This Row],[WTD_RET]],OFFSET(Sim_Output[[#This Row],[WTD_RET]],-Sim_Output[[#This Row],[OBS]]+1,0,12)))</f>
        <v>11</v>
      </c>
      <c r="L87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-0.6285378835337152</v>
      </c>
      <c r="M87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1.8115942028985501E-2</v>
      </c>
      <c r="N87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-6.25E-2</v>
      </c>
    </row>
    <row r="88" spans="2:14" x14ac:dyDescent="0.25">
      <c r="B88">
        <v>1</v>
      </c>
      <c r="C88">
        <v>7</v>
      </c>
      <c r="D88">
        <f>VALUE(RIGHT(Sim_Output[[#This Row],[OUTPUT]],LEN(Sim_Output[[#This Row],[OUTPUT]])-6))</f>
        <v>6</v>
      </c>
      <c r="E88">
        <v>1</v>
      </c>
      <c r="F88" t="str">
        <f>Sim_Output[[#This Row],[SIM_ID]]&amp;" - "&amp;Sim_Output[[#This Row],[WEEK]]&amp;" - "&amp;Sim_Output[[#This Row],[REGIME]]</f>
        <v>1 - 7 - 1</v>
      </c>
      <c r="G88" t="s">
        <v>50</v>
      </c>
      <c r="H88">
        <v>70</v>
      </c>
      <c r="I88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88" s="7">
        <f>Sim_Output[[#This Row],[VALUE]]/SUMIFS(Sim_Output[VALUE],Sim_Output[SIM_ID],Sim_Output[[#This Row],[SIM_ID]],Sim_Output[WEEK],Sim_Output[[#This Row],[WEEK]],Sim_Output[OUTPUT],"PRICE_0")-1</f>
        <v>-0.32038834951456308</v>
      </c>
      <c r="K88" s="4">
        <f ca="1">IF(Sim_Output[[#This Row],[OUTPUT]]="PRICE_0",0,_xlfn.RANK.EQ(Sim_Output[[#This Row],[WTD_RET]],OFFSET(Sim_Output[[#This Row],[WTD_RET]],-Sim_Output[[#This Row],[OBS]]+1,0,12)))</f>
        <v>12</v>
      </c>
      <c r="L88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-0.69181350939281405</v>
      </c>
      <c r="M88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</v>
      </c>
      <c r="N88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-6.6666666666666652E-2</v>
      </c>
    </row>
    <row r="89" spans="2:14" x14ac:dyDescent="0.25">
      <c r="B89">
        <v>1</v>
      </c>
      <c r="C89">
        <v>7</v>
      </c>
      <c r="D89">
        <f>VALUE(RIGHT(Sim_Output[[#This Row],[OUTPUT]],LEN(Sim_Output[[#This Row],[OUTPUT]])-6))</f>
        <v>7</v>
      </c>
      <c r="E89">
        <v>1</v>
      </c>
      <c r="F89" t="str">
        <f>Sim_Output[[#This Row],[SIM_ID]]&amp;" - "&amp;Sim_Output[[#This Row],[WEEK]]&amp;" - "&amp;Sim_Output[[#This Row],[REGIME]]</f>
        <v>1 - 7 - 1</v>
      </c>
      <c r="G89" t="s">
        <v>51</v>
      </c>
      <c r="H89">
        <v>117</v>
      </c>
      <c r="I89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89" s="7">
        <f>Sim_Output[[#This Row],[VALUE]]/SUMIFS(Sim_Output[VALUE],Sim_Output[SIM_ID],Sim_Output[[#This Row],[SIM_ID]],Sim_Output[WEEK],Sim_Output[[#This Row],[WEEK]],Sim_Output[OUTPUT],"PRICE_0")-1</f>
        <v>0.13592233009708732</v>
      </c>
      <c r="K89" s="4">
        <f ca="1">IF(Sim_Output[[#This Row],[OUTPUT]]="PRICE_0",0,_xlfn.RANK.EQ(Sim_Output[[#This Row],[WTD_RET]],OFFSET(Sim_Output[[#This Row],[WTD_RET]],-Sim_Output[[#This Row],[OBS]]+1,0,12)))</f>
        <v>4</v>
      </c>
      <c r="L89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-9.7022626317285005E-2</v>
      </c>
      <c r="M89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0.17028985507246375</v>
      </c>
      <c r="N89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0.67142857142857149</v>
      </c>
    </row>
    <row r="90" spans="2:14" x14ac:dyDescent="0.25">
      <c r="B90">
        <v>1</v>
      </c>
      <c r="C90">
        <v>7</v>
      </c>
      <c r="D90">
        <f>VALUE(RIGHT(Sim_Output[[#This Row],[OUTPUT]],LEN(Sim_Output[[#This Row],[OUTPUT]])-6))</f>
        <v>8</v>
      </c>
      <c r="E90">
        <v>1</v>
      </c>
      <c r="F90" t="str">
        <f>Sim_Output[[#This Row],[SIM_ID]]&amp;" - "&amp;Sim_Output[[#This Row],[WEEK]]&amp;" - "&amp;Sim_Output[[#This Row],[REGIME]]</f>
        <v>1 - 7 - 1</v>
      </c>
      <c r="G90" t="s">
        <v>52</v>
      </c>
      <c r="H90">
        <v>166</v>
      </c>
      <c r="I90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90" s="7">
        <f>Sim_Output[[#This Row],[VALUE]]/SUMIFS(Sim_Output[VALUE],Sim_Output[SIM_ID],Sim_Output[[#This Row],[SIM_ID]],Sim_Output[WEEK],Sim_Output[[#This Row],[WEEK]],Sim_Output[OUTPUT],"PRICE_0")-1</f>
        <v>0.61165048543689315</v>
      </c>
      <c r="K90" s="4">
        <f ca="1">IF(Sim_Output[[#This Row],[OUTPUT]]="PRICE_0",0,_xlfn.RANK.EQ(Sim_Output[[#This Row],[WTD_RET]],OFFSET(Sim_Output[[#This Row],[WTD_RET]],-Sim_Output[[#This Row],[OBS]]+1,0,12)))</f>
        <v>3</v>
      </c>
      <c r="L90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0.52307850710188364</v>
      </c>
      <c r="M90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0.34782608695652173</v>
      </c>
      <c r="N90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0.41880341880341887</v>
      </c>
    </row>
    <row r="91" spans="2:14" x14ac:dyDescent="0.25">
      <c r="B91">
        <v>1</v>
      </c>
      <c r="C91">
        <v>7</v>
      </c>
      <c r="D91">
        <f>VALUE(RIGHT(Sim_Output[[#This Row],[OUTPUT]],LEN(Sim_Output[[#This Row],[OUTPUT]])-6))</f>
        <v>9</v>
      </c>
      <c r="E91">
        <v>1</v>
      </c>
      <c r="F91" t="str">
        <f>Sim_Output[[#This Row],[SIM_ID]]&amp;" - "&amp;Sim_Output[[#This Row],[WEEK]]&amp;" - "&amp;Sim_Output[[#This Row],[REGIME]]</f>
        <v>1 - 7 - 1</v>
      </c>
      <c r="G91" t="s">
        <v>53</v>
      </c>
      <c r="H91">
        <v>346</v>
      </c>
      <c r="I91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91" s="7">
        <f>Sim_Output[[#This Row],[VALUE]]/SUMIFS(Sim_Output[VALUE],Sim_Output[SIM_ID],Sim_Output[[#This Row],[SIM_ID]],Sim_Output[WEEK],Sim_Output[[#This Row],[WEEK]],Sim_Output[OUTPUT],"PRICE_0")-1</f>
        <v>2.3592233009708736</v>
      </c>
      <c r="K91" s="4">
        <f ca="1">IF(Sim_Output[[#This Row],[OUTPUT]]="PRICE_0",0,_xlfn.RANK.EQ(Sim_Output[[#This Row],[WTD_RET]],OFFSET(Sim_Output[[#This Row],[WTD_RET]],-Sim_Output[[#This Row],[OBS]]+1,0,12)))</f>
        <v>1</v>
      </c>
      <c r="L91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2.8010010380294417</v>
      </c>
      <c r="M91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1</v>
      </c>
      <c r="N91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1.0843373493975905</v>
      </c>
    </row>
    <row r="92" spans="2:14" x14ac:dyDescent="0.25">
      <c r="B92">
        <v>1</v>
      </c>
      <c r="C92">
        <v>7</v>
      </c>
      <c r="D92">
        <f>VALUE(RIGHT(Sim_Output[[#This Row],[OUTPUT]],LEN(Sim_Output[[#This Row],[OUTPUT]])-6))</f>
        <v>10</v>
      </c>
      <c r="E92">
        <v>1</v>
      </c>
      <c r="F92" t="str">
        <f>Sim_Output[[#This Row],[SIM_ID]]&amp;" - "&amp;Sim_Output[[#This Row],[WEEK]]&amp;" - "&amp;Sim_Output[[#This Row],[REGIME]]</f>
        <v>1 - 7 - 1</v>
      </c>
      <c r="G92" t="s">
        <v>54</v>
      </c>
      <c r="H92">
        <v>190</v>
      </c>
      <c r="I92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92" s="7">
        <f>Sim_Output[[#This Row],[VALUE]]/SUMIFS(Sim_Output[VALUE],Sim_Output[SIM_ID],Sim_Output[[#This Row],[SIM_ID]],Sim_Output[WEEK],Sim_Output[[#This Row],[WEEK]],Sim_Output[OUTPUT],"PRICE_0")-1</f>
        <v>0.84466019417475735</v>
      </c>
      <c r="K92" s="4">
        <f ca="1">IF(Sim_Output[[#This Row],[OUTPUT]]="PRICE_0",0,_xlfn.RANK.EQ(Sim_Output[[#This Row],[WTD_RET]],OFFSET(Sim_Output[[#This Row],[WTD_RET]],-Sim_Output[[#This Row],[OBS]]+1,0,12)))</f>
        <v>2</v>
      </c>
      <c r="L92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0.82680151122555823</v>
      </c>
      <c r="M92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0.43478260869565222</v>
      </c>
      <c r="N92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-0.45086705202312138</v>
      </c>
    </row>
    <row r="93" spans="2:14" x14ac:dyDescent="0.25">
      <c r="B93">
        <v>1</v>
      </c>
      <c r="C93">
        <v>7</v>
      </c>
      <c r="D93">
        <f>VALUE(RIGHT(Sim_Output[[#This Row],[OUTPUT]],LEN(Sim_Output[[#This Row],[OUTPUT]])-6))</f>
        <v>11</v>
      </c>
      <c r="E93">
        <v>1</v>
      </c>
      <c r="F93" t="str">
        <f>Sim_Output[[#This Row],[SIM_ID]]&amp;" - "&amp;Sim_Output[[#This Row],[WEEK]]&amp;" - "&amp;Sim_Output[[#This Row],[REGIME]]</f>
        <v>1 - 7 - 1</v>
      </c>
      <c r="G93" t="s">
        <v>55</v>
      </c>
      <c r="H93">
        <v>106</v>
      </c>
      <c r="I93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93" s="7">
        <f>Sim_Output[[#This Row],[VALUE]]/SUMIFS(Sim_Output[VALUE],Sim_Output[SIM_ID],Sim_Output[[#This Row],[SIM_ID]],Sim_Output[WEEK],Sim_Output[[#This Row],[WEEK]],Sim_Output[OUTPUT],"PRICE_0")-1</f>
        <v>2.9126213592232997E-2</v>
      </c>
      <c r="K93" s="4">
        <f ca="1">IF(Sim_Output[[#This Row],[OUTPUT]]="PRICE_0",0,_xlfn.RANK.EQ(Sim_Output[[#This Row],[WTD_RET]],OFFSET(Sim_Output[[#This Row],[WTD_RET]],-Sim_Output[[#This Row],[OBS]]+1,0,12)))</f>
        <v>5</v>
      </c>
      <c r="L93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-0.23622900320730239</v>
      </c>
      <c r="M93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0.13043478260869565</v>
      </c>
      <c r="N93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-0.44210526315789478</v>
      </c>
    </row>
    <row r="94" spans="2:14" x14ac:dyDescent="0.25">
      <c r="B94">
        <v>1</v>
      </c>
      <c r="C94">
        <v>7</v>
      </c>
      <c r="D94">
        <f>VALUE(RIGHT(Sim_Output[[#This Row],[OUTPUT]],LEN(Sim_Output[[#This Row],[OUTPUT]])-6))</f>
        <v>12</v>
      </c>
      <c r="E94">
        <v>1</v>
      </c>
      <c r="F94" t="str">
        <f>Sim_Output[[#This Row],[SIM_ID]]&amp;" - "&amp;Sim_Output[[#This Row],[WEEK]]&amp;" - "&amp;Sim_Output[[#This Row],[REGIME]]</f>
        <v>1 - 7 - 1</v>
      </c>
      <c r="G94" t="s">
        <v>56</v>
      </c>
      <c r="H94">
        <v>85</v>
      </c>
      <c r="I94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94" s="7">
        <f>Sim_Output[[#This Row],[VALUE]]/SUMIFS(Sim_Output[VALUE],Sim_Output[SIM_ID],Sim_Output[[#This Row],[SIM_ID]],Sim_Output[WEEK],Sim_Output[[#This Row],[WEEK]],Sim_Output[OUTPUT],"PRICE_0")-1</f>
        <v>-0.17475728155339809</v>
      </c>
      <c r="K94" s="4">
        <f ca="1">IF(Sim_Output[[#This Row],[OUTPUT]]="PRICE_0",0,_xlfn.RANK.EQ(Sim_Output[[#This Row],[WTD_RET]],OFFSET(Sim_Output[[#This Row],[WTD_RET]],-Sim_Output[[#This Row],[OBS]]+1,0,12)))</f>
        <v>8</v>
      </c>
      <c r="L94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-0.50198663181551761</v>
      </c>
      <c r="M94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5.4347826086956506E-2</v>
      </c>
      <c r="N94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-0.19811320754716977</v>
      </c>
    </row>
    <row r="95" spans="2:14" x14ac:dyDescent="0.25">
      <c r="B95">
        <v>1</v>
      </c>
      <c r="C95">
        <v>8</v>
      </c>
      <c r="D95">
        <f>VALUE(RIGHT(Sim_Output[[#This Row],[OUTPUT]],LEN(Sim_Output[[#This Row],[OUTPUT]])-6))</f>
        <v>0</v>
      </c>
      <c r="E95">
        <v>0</v>
      </c>
      <c r="F95" t="str">
        <f>Sim_Output[[#This Row],[SIM_ID]]&amp;" - "&amp;Sim_Output[[#This Row],[WEEK]]&amp;" - "&amp;Sim_Output[[#This Row],[REGIME]]</f>
        <v>1 - 8 - 0</v>
      </c>
      <c r="G95" t="s">
        <v>44</v>
      </c>
      <c r="H95">
        <v>98</v>
      </c>
      <c r="I95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95" s="7">
        <f>Sim_Output[[#This Row],[VALUE]]/SUMIFS(Sim_Output[VALUE],Sim_Output[SIM_ID],Sim_Output[[#This Row],[SIM_ID]],Sim_Output[WEEK],Sim_Output[[#This Row],[WEEK]],Sim_Output[OUTPUT],"PRICE_0")-1</f>
        <v>0</v>
      </c>
      <c r="K95" s="4">
        <f ca="1">IF(Sim_Output[[#This Row],[OUTPUT]]="PRICE_0",0,_xlfn.RANK.EQ(Sim_Output[[#This Row],[WTD_RET]],OFFSET(Sim_Output[[#This Row],[WTD_RET]],-Sim_Output[[#This Row],[OBS]]+1,0,12)))</f>
        <v>0</v>
      </c>
      <c r="L95" s="3" t="str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/>
      </c>
      <c r="M95" s="3" t="str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/>
      </c>
      <c r="N95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</v>
      </c>
    </row>
    <row r="96" spans="2:14" x14ac:dyDescent="0.25">
      <c r="B96">
        <v>1</v>
      </c>
      <c r="C96">
        <v>8</v>
      </c>
      <c r="D96">
        <f>VALUE(RIGHT(Sim_Output[[#This Row],[OUTPUT]],LEN(Sim_Output[[#This Row],[OUTPUT]])-6))</f>
        <v>1</v>
      </c>
      <c r="E96">
        <v>0</v>
      </c>
      <c r="F96" t="str">
        <f>Sim_Output[[#This Row],[SIM_ID]]&amp;" - "&amp;Sim_Output[[#This Row],[WEEK]]&amp;" - "&amp;Sim_Output[[#This Row],[REGIME]]</f>
        <v>1 - 8 - 0</v>
      </c>
      <c r="G96" t="s">
        <v>45</v>
      </c>
      <c r="H96">
        <v>137</v>
      </c>
      <c r="I96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96" s="7">
        <f>Sim_Output[[#This Row],[VALUE]]/SUMIFS(Sim_Output[VALUE],Sim_Output[SIM_ID],Sim_Output[[#This Row],[SIM_ID]],Sim_Output[WEEK],Sim_Output[[#This Row],[WEEK]],Sim_Output[OUTPUT],"PRICE_0")-1</f>
        <v>0.3979591836734695</v>
      </c>
      <c r="K96" s="4">
        <f ca="1">IF(Sim_Output[[#This Row],[OUTPUT]]="PRICE_0",0,_xlfn.RANK.EQ(Sim_Output[[#This Row],[WTD_RET]],OFFSET(Sim_Output[[#This Row],[WTD_RET]],-Sim_Output[[#This Row],[OBS]]+1,0,12)))</f>
        <v>1</v>
      </c>
      <c r="L96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1.3005121775247106</v>
      </c>
      <c r="M96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1</v>
      </c>
      <c r="N96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0.3979591836734695</v>
      </c>
    </row>
    <row r="97" spans="2:14" x14ac:dyDescent="0.25">
      <c r="B97">
        <v>1</v>
      </c>
      <c r="C97">
        <v>8</v>
      </c>
      <c r="D97">
        <f>VALUE(RIGHT(Sim_Output[[#This Row],[OUTPUT]],LEN(Sim_Output[[#This Row],[OUTPUT]])-6))</f>
        <v>2</v>
      </c>
      <c r="E97">
        <v>0</v>
      </c>
      <c r="F97" t="str">
        <f>Sim_Output[[#This Row],[SIM_ID]]&amp;" - "&amp;Sim_Output[[#This Row],[WEEK]]&amp;" - "&amp;Sim_Output[[#This Row],[REGIME]]</f>
        <v>1 - 8 - 0</v>
      </c>
      <c r="G97" t="s">
        <v>46</v>
      </c>
      <c r="H97">
        <v>132</v>
      </c>
      <c r="I97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97" s="7">
        <f>Sim_Output[[#This Row],[VALUE]]/SUMIFS(Sim_Output[VALUE],Sim_Output[SIM_ID],Sim_Output[[#This Row],[SIM_ID]],Sim_Output[WEEK],Sim_Output[[#This Row],[WEEK]],Sim_Output[OUTPUT],"PRICE_0")-1</f>
        <v>0.34693877551020402</v>
      </c>
      <c r="K97" s="4">
        <f ca="1">IF(Sim_Output[[#This Row],[OUTPUT]]="PRICE_0",0,_xlfn.RANK.EQ(Sim_Output[[#This Row],[WTD_RET]],OFFSET(Sim_Output[[#This Row],[WTD_RET]],-Sim_Output[[#This Row],[OBS]]+1,0,12)))</f>
        <v>3</v>
      </c>
      <c r="L97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1.1379481553341213</v>
      </c>
      <c r="M97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0.93827160493827144</v>
      </c>
      <c r="N97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-3.6496350364963459E-2</v>
      </c>
    </row>
    <row r="98" spans="2:14" x14ac:dyDescent="0.25">
      <c r="B98">
        <v>1</v>
      </c>
      <c r="C98">
        <v>8</v>
      </c>
      <c r="D98">
        <f>VALUE(RIGHT(Sim_Output[[#This Row],[OUTPUT]],LEN(Sim_Output[[#This Row],[OUTPUT]])-6))</f>
        <v>3</v>
      </c>
      <c r="E98">
        <v>0</v>
      </c>
      <c r="F98" t="str">
        <f>Sim_Output[[#This Row],[SIM_ID]]&amp;" - "&amp;Sim_Output[[#This Row],[WEEK]]&amp;" - "&amp;Sim_Output[[#This Row],[REGIME]]</f>
        <v>1 - 8 - 0</v>
      </c>
      <c r="G98" t="s">
        <v>47</v>
      </c>
      <c r="H98">
        <v>123</v>
      </c>
      <c r="I98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98" s="7">
        <f>Sim_Output[[#This Row],[VALUE]]/SUMIFS(Sim_Output[VALUE],Sim_Output[SIM_ID],Sim_Output[[#This Row],[SIM_ID]],Sim_Output[WEEK],Sim_Output[[#This Row],[WEEK]],Sim_Output[OUTPUT],"PRICE_0")-1</f>
        <v>0.25510204081632648</v>
      </c>
      <c r="K98" s="4">
        <f ca="1">IF(Sim_Output[[#This Row],[OUTPUT]]="PRICE_0",0,_xlfn.RANK.EQ(Sim_Output[[#This Row],[WTD_RET]],OFFSET(Sim_Output[[#This Row],[WTD_RET]],-Sim_Output[[#This Row],[OBS]]+1,0,12)))</f>
        <v>4</v>
      </c>
      <c r="L98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0.84533291539106159</v>
      </c>
      <c r="M98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0.82716049382716028</v>
      </c>
      <c r="N98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-6.8181818181818232E-2</v>
      </c>
    </row>
    <row r="99" spans="2:14" x14ac:dyDescent="0.25">
      <c r="B99">
        <v>1</v>
      </c>
      <c r="C99">
        <v>8</v>
      </c>
      <c r="D99">
        <f>VALUE(RIGHT(Sim_Output[[#This Row],[OUTPUT]],LEN(Sim_Output[[#This Row],[OUTPUT]])-6))</f>
        <v>4</v>
      </c>
      <c r="E99">
        <v>0</v>
      </c>
      <c r="F99" t="str">
        <f>Sim_Output[[#This Row],[SIM_ID]]&amp;" - "&amp;Sim_Output[[#This Row],[WEEK]]&amp;" - "&amp;Sim_Output[[#This Row],[REGIME]]</f>
        <v>1 - 8 - 0</v>
      </c>
      <c r="G99" t="s">
        <v>48</v>
      </c>
      <c r="H99">
        <v>71</v>
      </c>
      <c r="I99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99" s="7">
        <f>Sim_Output[[#This Row],[VALUE]]/SUMIFS(Sim_Output[VALUE],Sim_Output[SIM_ID],Sim_Output[[#This Row],[SIM_ID]],Sim_Output[WEEK],Sim_Output[[#This Row],[WEEK]],Sim_Output[OUTPUT],"PRICE_0")-1</f>
        <v>-0.27551020408163263</v>
      </c>
      <c r="K99" s="4">
        <f ca="1">IF(Sim_Output[[#This Row],[OUTPUT]]="PRICE_0",0,_xlfn.RANK.EQ(Sim_Output[[#This Row],[WTD_RET]],OFFSET(Sim_Output[[#This Row],[WTD_RET]],-Sim_Output[[#This Row],[OBS]]+1,0,12)))</f>
        <v>8</v>
      </c>
      <c r="L99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-0.84533291539106159</v>
      </c>
      <c r="M99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0.18518518518518523</v>
      </c>
      <c r="N99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-0.42276422764227639</v>
      </c>
    </row>
    <row r="100" spans="2:14" x14ac:dyDescent="0.25">
      <c r="B100">
        <v>1</v>
      </c>
      <c r="C100">
        <v>8</v>
      </c>
      <c r="D100">
        <f>VALUE(RIGHT(Sim_Output[[#This Row],[OUTPUT]],LEN(Sim_Output[[#This Row],[OUTPUT]])-6))</f>
        <v>5</v>
      </c>
      <c r="E100">
        <v>0</v>
      </c>
      <c r="F100" t="str">
        <f>Sim_Output[[#This Row],[SIM_ID]]&amp;" - "&amp;Sim_Output[[#This Row],[WEEK]]&amp;" - "&amp;Sim_Output[[#This Row],[REGIME]]</f>
        <v>1 - 8 - 0</v>
      </c>
      <c r="G100" t="s">
        <v>49</v>
      </c>
      <c r="H100">
        <v>62</v>
      </c>
      <c r="I100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100" s="7">
        <f>Sim_Output[[#This Row],[VALUE]]/SUMIFS(Sim_Output[VALUE],Sim_Output[SIM_ID],Sim_Output[[#This Row],[SIM_ID]],Sim_Output[WEEK],Sim_Output[[#This Row],[WEEK]],Sim_Output[OUTPUT],"PRICE_0")-1</f>
        <v>-0.36734693877551017</v>
      </c>
      <c r="K100" s="4">
        <f ca="1">IF(Sim_Output[[#This Row],[OUTPUT]]="PRICE_0",0,_xlfn.RANK.EQ(Sim_Output[[#This Row],[WTD_RET]],OFFSET(Sim_Output[[#This Row],[WTD_RET]],-Sim_Output[[#This Row],[OBS]]+1,0,12)))</f>
        <v>11</v>
      </c>
      <c r="L100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-1.1379481553341213</v>
      </c>
      <c r="M100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7.4074074074074139E-2</v>
      </c>
      <c r="N100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-0.12676056338028174</v>
      </c>
    </row>
    <row r="101" spans="2:14" x14ac:dyDescent="0.25">
      <c r="B101">
        <v>1</v>
      </c>
      <c r="C101">
        <v>8</v>
      </c>
      <c r="D101">
        <f>VALUE(RIGHT(Sim_Output[[#This Row],[OUTPUT]],LEN(Sim_Output[[#This Row],[OUTPUT]])-6))</f>
        <v>6</v>
      </c>
      <c r="E101">
        <v>0</v>
      </c>
      <c r="F101" t="str">
        <f>Sim_Output[[#This Row],[SIM_ID]]&amp;" - "&amp;Sim_Output[[#This Row],[WEEK]]&amp;" - "&amp;Sim_Output[[#This Row],[REGIME]]</f>
        <v>1 - 8 - 0</v>
      </c>
      <c r="G101" t="s">
        <v>50</v>
      </c>
      <c r="H101">
        <v>105</v>
      </c>
      <c r="I101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101" s="7">
        <f>Sim_Output[[#This Row],[VALUE]]/SUMIFS(Sim_Output[VALUE],Sim_Output[SIM_ID],Sim_Output[[#This Row],[SIM_ID]],Sim_Output[WEEK],Sim_Output[[#This Row],[WEEK]],Sim_Output[OUTPUT],"PRICE_0")-1</f>
        <v>7.1428571428571397E-2</v>
      </c>
      <c r="K101" s="4">
        <f ca="1">IF(Sim_Output[[#This Row],[OUTPUT]]="PRICE_0",0,_xlfn.RANK.EQ(Sim_Output[[#This Row],[WTD_RET]],OFFSET(Sim_Output[[#This Row],[WTD_RET]],-Sim_Output[[#This Row],[OBS]]+1,0,12)))</f>
        <v>6</v>
      </c>
      <c r="L101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0.26010243550494194</v>
      </c>
      <c r="M101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0.60493827160493818</v>
      </c>
      <c r="N101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0.69354838709677424</v>
      </c>
    </row>
    <row r="102" spans="2:14" x14ac:dyDescent="0.25">
      <c r="B102">
        <v>1</v>
      </c>
      <c r="C102">
        <v>8</v>
      </c>
      <c r="D102">
        <f>VALUE(RIGHT(Sim_Output[[#This Row],[OUTPUT]],LEN(Sim_Output[[#This Row],[OUTPUT]])-6))</f>
        <v>7</v>
      </c>
      <c r="E102">
        <v>0</v>
      </c>
      <c r="F102" t="str">
        <f>Sim_Output[[#This Row],[SIM_ID]]&amp;" - "&amp;Sim_Output[[#This Row],[WEEK]]&amp;" - "&amp;Sim_Output[[#This Row],[REGIME]]</f>
        <v>1 - 8 - 0</v>
      </c>
      <c r="G102" t="s">
        <v>51</v>
      </c>
      <c r="H102">
        <v>107</v>
      </c>
      <c r="I102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102" s="7">
        <f>Sim_Output[[#This Row],[VALUE]]/SUMIFS(Sim_Output[VALUE],Sim_Output[SIM_ID],Sim_Output[[#This Row],[SIM_ID]],Sim_Output[WEEK],Sim_Output[[#This Row],[WEEK]],Sim_Output[OUTPUT],"PRICE_0")-1</f>
        <v>9.1836734693877542E-2</v>
      </c>
      <c r="K102" s="4">
        <f ca="1">IF(Sim_Output[[#This Row],[OUTPUT]]="PRICE_0",0,_xlfn.RANK.EQ(Sim_Output[[#This Row],[WTD_RET]],OFFSET(Sim_Output[[#This Row],[WTD_RET]],-Sim_Output[[#This Row],[OBS]]+1,0,12)))</f>
        <v>5</v>
      </c>
      <c r="L102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0.32512804438117754</v>
      </c>
      <c r="M102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0.62962962962962954</v>
      </c>
      <c r="N102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1.904761904761898E-2</v>
      </c>
    </row>
    <row r="103" spans="2:14" x14ac:dyDescent="0.25">
      <c r="B103">
        <v>1</v>
      </c>
      <c r="C103">
        <v>8</v>
      </c>
      <c r="D103">
        <f>VALUE(RIGHT(Sim_Output[[#This Row],[OUTPUT]],LEN(Sim_Output[[#This Row],[OUTPUT]])-6))</f>
        <v>8</v>
      </c>
      <c r="E103">
        <v>0</v>
      </c>
      <c r="F103" t="str">
        <f>Sim_Output[[#This Row],[SIM_ID]]&amp;" - "&amp;Sim_Output[[#This Row],[WEEK]]&amp;" - "&amp;Sim_Output[[#This Row],[REGIME]]</f>
        <v>1 - 8 - 0</v>
      </c>
      <c r="G103" t="s">
        <v>52</v>
      </c>
      <c r="H103">
        <v>102</v>
      </c>
      <c r="I103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103" s="7">
        <f>Sim_Output[[#This Row],[VALUE]]/SUMIFS(Sim_Output[VALUE],Sim_Output[SIM_ID],Sim_Output[[#This Row],[SIM_ID]],Sim_Output[WEEK],Sim_Output[[#This Row],[WEEK]],Sim_Output[OUTPUT],"PRICE_0")-1</f>
        <v>4.081632653061229E-2</v>
      </c>
      <c r="K103" s="4">
        <f ca="1">IF(Sim_Output[[#This Row],[OUTPUT]]="PRICE_0",0,_xlfn.RANK.EQ(Sim_Output[[#This Row],[WTD_RET]],OFFSET(Sim_Output[[#This Row],[WTD_RET]],-Sim_Output[[#This Row],[OBS]]+1,0,12)))</f>
        <v>7</v>
      </c>
      <c r="L103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0.16256402219058894</v>
      </c>
      <c r="M103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0.5679012345679012</v>
      </c>
      <c r="N103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-4.6728971962616828E-2</v>
      </c>
    </row>
    <row r="104" spans="2:14" x14ac:dyDescent="0.25">
      <c r="B104">
        <v>1</v>
      </c>
      <c r="C104">
        <v>8</v>
      </c>
      <c r="D104">
        <f>VALUE(RIGHT(Sim_Output[[#This Row],[OUTPUT]],LEN(Sim_Output[[#This Row],[OUTPUT]])-6))</f>
        <v>9</v>
      </c>
      <c r="E104">
        <v>0</v>
      </c>
      <c r="F104" t="str">
        <f>Sim_Output[[#This Row],[SIM_ID]]&amp;" - "&amp;Sim_Output[[#This Row],[WEEK]]&amp;" - "&amp;Sim_Output[[#This Row],[REGIME]]</f>
        <v>1 - 8 - 0</v>
      </c>
      <c r="G104" t="s">
        <v>53</v>
      </c>
      <c r="H104">
        <v>134</v>
      </c>
      <c r="I104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104" s="7">
        <f>Sim_Output[[#This Row],[VALUE]]/SUMIFS(Sim_Output[VALUE],Sim_Output[SIM_ID],Sim_Output[[#This Row],[SIM_ID]],Sim_Output[WEEK],Sim_Output[[#This Row],[WEEK]],Sim_Output[OUTPUT],"PRICE_0")-1</f>
        <v>0.36734693877551017</v>
      </c>
      <c r="K104" s="4">
        <f ca="1">IF(Sim_Output[[#This Row],[OUTPUT]]="PRICE_0",0,_xlfn.RANK.EQ(Sim_Output[[#This Row],[WTD_RET]],OFFSET(Sim_Output[[#This Row],[WTD_RET]],-Sim_Output[[#This Row],[OBS]]+1,0,12)))</f>
        <v>2</v>
      </c>
      <c r="L104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1.2029737642103568</v>
      </c>
      <c r="M104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0.9629629629629628</v>
      </c>
      <c r="N104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0.31372549019607843</v>
      </c>
    </row>
    <row r="105" spans="2:14" x14ac:dyDescent="0.25">
      <c r="B105">
        <v>1</v>
      </c>
      <c r="C105">
        <v>8</v>
      </c>
      <c r="D105">
        <f>VALUE(RIGHT(Sim_Output[[#This Row],[OUTPUT]],LEN(Sim_Output[[#This Row],[OUTPUT]])-6))</f>
        <v>10</v>
      </c>
      <c r="E105">
        <v>0</v>
      </c>
      <c r="F105" t="str">
        <f>Sim_Output[[#This Row],[SIM_ID]]&amp;" - "&amp;Sim_Output[[#This Row],[WEEK]]&amp;" - "&amp;Sim_Output[[#This Row],[REGIME]]</f>
        <v>1 - 8 - 0</v>
      </c>
      <c r="G105" t="s">
        <v>54</v>
      </c>
      <c r="H105">
        <v>71</v>
      </c>
      <c r="I105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105" s="7">
        <f>Sim_Output[[#This Row],[VALUE]]/SUMIFS(Sim_Output[VALUE],Sim_Output[SIM_ID],Sim_Output[[#This Row],[SIM_ID]],Sim_Output[WEEK],Sim_Output[[#This Row],[WEEK]],Sim_Output[OUTPUT],"PRICE_0")-1</f>
        <v>-0.27551020408163263</v>
      </c>
      <c r="K105" s="4">
        <f ca="1">IF(Sim_Output[[#This Row],[OUTPUT]]="PRICE_0",0,_xlfn.RANK.EQ(Sim_Output[[#This Row],[WTD_RET]],OFFSET(Sim_Output[[#This Row],[WTD_RET]],-Sim_Output[[#This Row],[OBS]]+1,0,12)))</f>
        <v>8</v>
      </c>
      <c r="L105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-0.84533291539106159</v>
      </c>
      <c r="M105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0.18518518518518523</v>
      </c>
      <c r="N105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-0.47014925373134331</v>
      </c>
    </row>
    <row r="106" spans="2:14" x14ac:dyDescent="0.25">
      <c r="B106">
        <v>1</v>
      </c>
      <c r="C106">
        <v>8</v>
      </c>
      <c r="D106">
        <f>VALUE(RIGHT(Sim_Output[[#This Row],[OUTPUT]],LEN(Sim_Output[[#This Row],[OUTPUT]])-6))</f>
        <v>11</v>
      </c>
      <c r="E106">
        <v>0</v>
      </c>
      <c r="F106" t="str">
        <f>Sim_Output[[#This Row],[SIM_ID]]&amp;" - "&amp;Sim_Output[[#This Row],[WEEK]]&amp;" - "&amp;Sim_Output[[#This Row],[REGIME]]</f>
        <v>1 - 8 - 0</v>
      </c>
      <c r="G106" t="s">
        <v>55</v>
      </c>
      <c r="H106">
        <v>64</v>
      </c>
      <c r="I106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106" s="7">
        <f>Sim_Output[[#This Row],[VALUE]]/SUMIFS(Sim_Output[VALUE],Sim_Output[SIM_ID],Sim_Output[[#This Row],[SIM_ID]],Sim_Output[WEEK],Sim_Output[[#This Row],[WEEK]],Sim_Output[OUTPUT],"PRICE_0")-1</f>
        <v>-0.34693877551020413</v>
      </c>
      <c r="K106" s="4">
        <f ca="1">IF(Sim_Output[[#This Row],[OUTPUT]]="PRICE_0",0,_xlfn.RANK.EQ(Sim_Output[[#This Row],[WTD_RET]],OFFSET(Sim_Output[[#This Row],[WTD_RET]],-Sim_Output[[#This Row],[OBS]]+1,0,12)))</f>
        <v>10</v>
      </c>
      <c r="L106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-1.072922546457886</v>
      </c>
      <c r="M106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9.8765432098765385E-2</v>
      </c>
      <c r="N106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-9.8591549295774628E-2</v>
      </c>
    </row>
    <row r="107" spans="2:14" x14ac:dyDescent="0.25">
      <c r="B107">
        <v>1</v>
      </c>
      <c r="C107">
        <v>8</v>
      </c>
      <c r="D107">
        <f>VALUE(RIGHT(Sim_Output[[#This Row],[OUTPUT]],LEN(Sim_Output[[#This Row],[OUTPUT]])-6))</f>
        <v>12</v>
      </c>
      <c r="E107">
        <v>0</v>
      </c>
      <c r="F107" t="str">
        <f>Sim_Output[[#This Row],[SIM_ID]]&amp;" - "&amp;Sim_Output[[#This Row],[WEEK]]&amp;" - "&amp;Sim_Output[[#This Row],[REGIME]]</f>
        <v>1 - 8 - 0</v>
      </c>
      <c r="G107" t="s">
        <v>56</v>
      </c>
      <c r="H107">
        <v>56</v>
      </c>
      <c r="I107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107" s="7">
        <f>Sim_Output[[#This Row],[VALUE]]/SUMIFS(Sim_Output[VALUE],Sim_Output[SIM_ID],Sim_Output[[#This Row],[SIM_ID]],Sim_Output[WEEK],Sim_Output[[#This Row],[WEEK]],Sim_Output[OUTPUT],"PRICE_0")-1</f>
        <v>-0.4285714285714286</v>
      </c>
      <c r="K107" s="4">
        <f ca="1">IF(Sim_Output[[#This Row],[OUTPUT]]="PRICE_0",0,_xlfn.RANK.EQ(Sim_Output[[#This Row],[WTD_RET]],OFFSET(Sim_Output[[#This Row],[WTD_RET]],-Sim_Output[[#This Row],[OBS]]+1,0,12)))</f>
        <v>12</v>
      </c>
      <c r="L107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-1.3330249819628281</v>
      </c>
      <c r="M107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</v>
      </c>
      <c r="N107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-0.125</v>
      </c>
    </row>
    <row r="108" spans="2:14" x14ac:dyDescent="0.25">
      <c r="B108">
        <v>1</v>
      </c>
      <c r="C108">
        <v>9</v>
      </c>
      <c r="D108">
        <f>VALUE(RIGHT(Sim_Output[[#This Row],[OUTPUT]],LEN(Sim_Output[[#This Row],[OUTPUT]])-6))</f>
        <v>0</v>
      </c>
      <c r="E108">
        <v>0</v>
      </c>
      <c r="F108" t="str">
        <f>Sim_Output[[#This Row],[SIM_ID]]&amp;" - "&amp;Sim_Output[[#This Row],[WEEK]]&amp;" - "&amp;Sim_Output[[#This Row],[REGIME]]</f>
        <v>1 - 9 - 0</v>
      </c>
      <c r="G108" t="s">
        <v>44</v>
      </c>
      <c r="H108">
        <v>99</v>
      </c>
      <c r="I108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108" s="7">
        <f>Sim_Output[[#This Row],[VALUE]]/SUMIFS(Sim_Output[VALUE],Sim_Output[SIM_ID],Sim_Output[[#This Row],[SIM_ID]],Sim_Output[WEEK],Sim_Output[[#This Row],[WEEK]],Sim_Output[OUTPUT],"PRICE_0")-1</f>
        <v>0</v>
      </c>
      <c r="K108" s="4">
        <f ca="1">IF(Sim_Output[[#This Row],[OUTPUT]]="PRICE_0",0,_xlfn.RANK.EQ(Sim_Output[[#This Row],[WTD_RET]],OFFSET(Sim_Output[[#This Row],[WTD_RET]],-Sim_Output[[#This Row],[OBS]]+1,0,12)))</f>
        <v>0</v>
      </c>
      <c r="L108" s="3" t="str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/>
      </c>
      <c r="M108" s="3" t="str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/>
      </c>
      <c r="N108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</v>
      </c>
    </row>
    <row r="109" spans="2:14" x14ac:dyDescent="0.25">
      <c r="B109">
        <v>1</v>
      </c>
      <c r="C109">
        <v>9</v>
      </c>
      <c r="D109">
        <f>VALUE(RIGHT(Sim_Output[[#This Row],[OUTPUT]],LEN(Sim_Output[[#This Row],[OUTPUT]])-6))</f>
        <v>1</v>
      </c>
      <c r="E109">
        <v>0</v>
      </c>
      <c r="F109" t="str">
        <f>Sim_Output[[#This Row],[SIM_ID]]&amp;" - "&amp;Sim_Output[[#This Row],[WEEK]]&amp;" - "&amp;Sim_Output[[#This Row],[REGIME]]</f>
        <v>1 - 9 - 0</v>
      </c>
      <c r="G109" t="s">
        <v>45</v>
      </c>
      <c r="H109">
        <v>95</v>
      </c>
      <c r="I109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109" s="7">
        <f>Sim_Output[[#This Row],[VALUE]]/SUMIFS(Sim_Output[VALUE],Sim_Output[SIM_ID],Sim_Output[[#This Row],[SIM_ID]],Sim_Output[WEEK],Sim_Output[[#This Row],[WEEK]],Sim_Output[OUTPUT],"PRICE_0")-1</f>
        <v>-4.0404040404040442E-2</v>
      </c>
      <c r="K109" s="4">
        <f ca="1">IF(Sim_Output[[#This Row],[OUTPUT]]="PRICE_0",0,_xlfn.RANK.EQ(Sim_Output[[#This Row],[WTD_RET]],OFFSET(Sim_Output[[#This Row],[WTD_RET]],-Sim_Output[[#This Row],[OBS]]+1,0,12)))</f>
        <v>5</v>
      </c>
      <c r="L109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7.7935780802610308E-2</v>
      </c>
      <c r="M109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0.43835616438356162</v>
      </c>
      <c r="N109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-4.0404040404040442E-2</v>
      </c>
    </row>
    <row r="110" spans="2:14" x14ac:dyDescent="0.25">
      <c r="B110">
        <v>1</v>
      </c>
      <c r="C110">
        <v>9</v>
      </c>
      <c r="D110">
        <f>VALUE(RIGHT(Sim_Output[[#This Row],[OUTPUT]],LEN(Sim_Output[[#This Row],[OUTPUT]])-6))</f>
        <v>2</v>
      </c>
      <c r="E110">
        <v>0</v>
      </c>
      <c r="F110" t="str">
        <f>Sim_Output[[#This Row],[SIM_ID]]&amp;" - "&amp;Sim_Output[[#This Row],[WEEK]]&amp;" - "&amp;Sim_Output[[#This Row],[REGIME]]</f>
        <v>1 - 9 - 0</v>
      </c>
      <c r="G110" t="s">
        <v>46</v>
      </c>
      <c r="H110">
        <v>116</v>
      </c>
      <c r="I110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110" s="7">
        <f>Sim_Output[[#This Row],[VALUE]]/SUMIFS(Sim_Output[VALUE],Sim_Output[SIM_ID],Sim_Output[[#This Row],[SIM_ID]],Sim_Output[WEEK],Sim_Output[[#This Row],[WEEK]],Sim_Output[OUTPUT],"PRICE_0")-1</f>
        <v>0.17171717171717171</v>
      </c>
      <c r="K110" s="4">
        <f ca="1">IF(Sim_Output[[#This Row],[OUTPUT]]="PRICE_0",0,_xlfn.RANK.EQ(Sim_Output[[#This Row],[WTD_RET]],OFFSET(Sim_Output[[#This Row],[WTD_RET]],-Sim_Output[[#This Row],[OBS]]+1,0,12)))</f>
        <v>3</v>
      </c>
      <c r="L110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0.9318408574225161</v>
      </c>
      <c r="M110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0.72602739726027399</v>
      </c>
      <c r="N110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0.22105263157894739</v>
      </c>
    </row>
    <row r="111" spans="2:14" x14ac:dyDescent="0.25">
      <c r="B111">
        <v>1</v>
      </c>
      <c r="C111">
        <v>9</v>
      </c>
      <c r="D111">
        <f>VALUE(RIGHT(Sim_Output[[#This Row],[OUTPUT]],LEN(Sim_Output[[#This Row],[OUTPUT]])-6))</f>
        <v>3</v>
      </c>
      <c r="E111">
        <v>0</v>
      </c>
      <c r="F111" t="str">
        <f>Sim_Output[[#This Row],[SIM_ID]]&amp;" - "&amp;Sim_Output[[#This Row],[WEEK]]&amp;" - "&amp;Sim_Output[[#This Row],[REGIME]]</f>
        <v>1 - 9 - 0</v>
      </c>
      <c r="G111" t="s">
        <v>47</v>
      </c>
      <c r="H111">
        <v>91</v>
      </c>
      <c r="I111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111" s="7">
        <f>Sim_Output[[#This Row],[VALUE]]/SUMIFS(Sim_Output[VALUE],Sim_Output[SIM_ID],Sim_Output[[#This Row],[SIM_ID]],Sim_Output[WEEK],Sim_Output[[#This Row],[WEEK]],Sim_Output[OUTPUT],"PRICE_0")-1</f>
        <v>-8.0808080808080773E-2</v>
      </c>
      <c r="K111" s="4">
        <f ca="1">IF(Sim_Output[[#This Row],[OUTPUT]]="PRICE_0",0,_xlfn.RANK.EQ(Sim_Output[[#This Row],[WTD_RET]],OFFSET(Sim_Output[[#This Row],[WTD_RET]],-Sim_Output[[#This Row],[OBS]]+1,0,12)))</f>
        <v>7</v>
      </c>
      <c r="L111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-8.4712805220228574E-2</v>
      </c>
      <c r="M111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0.38356164383561653</v>
      </c>
      <c r="N111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-0.21551724137931039</v>
      </c>
    </row>
    <row r="112" spans="2:14" x14ac:dyDescent="0.25">
      <c r="B112">
        <v>1</v>
      </c>
      <c r="C112">
        <v>9</v>
      </c>
      <c r="D112">
        <f>VALUE(RIGHT(Sim_Output[[#This Row],[OUTPUT]],LEN(Sim_Output[[#This Row],[OUTPUT]])-6))</f>
        <v>4</v>
      </c>
      <c r="E112">
        <v>0</v>
      </c>
      <c r="F112" t="str">
        <f>Sim_Output[[#This Row],[SIM_ID]]&amp;" - "&amp;Sim_Output[[#This Row],[WEEK]]&amp;" - "&amp;Sim_Output[[#This Row],[REGIME]]</f>
        <v>1 - 9 - 0</v>
      </c>
      <c r="G112" t="s">
        <v>48</v>
      </c>
      <c r="H112">
        <v>94</v>
      </c>
      <c r="I112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112" s="7">
        <f>Sim_Output[[#This Row],[VALUE]]/SUMIFS(Sim_Output[VALUE],Sim_Output[SIM_ID],Sim_Output[[#This Row],[SIM_ID]],Sim_Output[WEEK],Sim_Output[[#This Row],[WEEK]],Sim_Output[OUTPUT],"PRICE_0")-1</f>
        <v>-5.0505050505050497E-2</v>
      </c>
      <c r="K112" s="4">
        <f ca="1">IF(Sim_Output[[#This Row],[OUTPUT]]="PRICE_0",0,_xlfn.RANK.EQ(Sim_Output[[#This Row],[WTD_RET]],OFFSET(Sim_Output[[#This Row],[WTD_RET]],-Sim_Output[[#This Row],[OBS]]+1,0,12)))</f>
        <v>6</v>
      </c>
      <c r="L112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3.7273634296900698E-2</v>
      </c>
      <c r="M112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0.42465753424657537</v>
      </c>
      <c r="N112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3.2967032967033072E-2</v>
      </c>
    </row>
    <row r="113" spans="2:14" x14ac:dyDescent="0.25">
      <c r="B113">
        <v>1</v>
      </c>
      <c r="C113">
        <v>9</v>
      </c>
      <c r="D113">
        <f>VALUE(RIGHT(Sim_Output[[#This Row],[OUTPUT]],LEN(Sim_Output[[#This Row],[OUTPUT]])-6))</f>
        <v>5</v>
      </c>
      <c r="E113">
        <v>0</v>
      </c>
      <c r="F113" t="str">
        <f>Sim_Output[[#This Row],[SIM_ID]]&amp;" - "&amp;Sim_Output[[#This Row],[WEEK]]&amp;" - "&amp;Sim_Output[[#This Row],[REGIME]]</f>
        <v>1 - 9 - 0</v>
      </c>
      <c r="G113" t="s">
        <v>49</v>
      </c>
      <c r="H113">
        <v>136</v>
      </c>
      <c r="I113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113" s="7">
        <f>Sim_Output[[#This Row],[VALUE]]/SUMIFS(Sim_Output[VALUE],Sim_Output[SIM_ID],Sim_Output[[#This Row],[SIM_ID]],Sim_Output[WEEK],Sim_Output[[#This Row],[WEEK]],Sim_Output[OUTPUT],"PRICE_0")-1</f>
        <v>0.3737373737373737</v>
      </c>
      <c r="K113" s="4">
        <f ca="1">IF(Sim_Output[[#This Row],[OUTPUT]]="PRICE_0",0,_xlfn.RANK.EQ(Sim_Output[[#This Row],[WTD_RET]],OFFSET(Sim_Output[[#This Row],[WTD_RET]],-Sim_Output[[#This Row],[OBS]]+1,0,12)))</f>
        <v>1</v>
      </c>
      <c r="L113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1.745083787536712</v>
      </c>
      <c r="M113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1</v>
      </c>
      <c r="N113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0.44680851063829796</v>
      </c>
    </row>
    <row r="114" spans="2:14" x14ac:dyDescent="0.25">
      <c r="B114">
        <v>1</v>
      </c>
      <c r="C114">
        <v>9</v>
      </c>
      <c r="D114">
        <f>VALUE(RIGHT(Sim_Output[[#This Row],[OUTPUT]],LEN(Sim_Output[[#This Row],[OUTPUT]])-6))</f>
        <v>6</v>
      </c>
      <c r="E114">
        <v>0</v>
      </c>
      <c r="F114" t="str">
        <f>Sim_Output[[#This Row],[SIM_ID]]&amp;" - "&amp;Sim_Output[[#This Row],[WEEK]]&amp;" - "&amp;Sim_Output[[#This Row],[REGIME]]</f>
        <v>1 - 9 - 0</v>
      </c>
      <c r="G114" t="s">
        <v>50</v>
      </c>
      <c r="H114">
        <v>99</v>
      </c>
      <c r="I114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114" s="7">
        <f>Sim_Output[[#This Row],[VALUE]]/SUMIFS(Sim_Output[VALUE],Sim_Output[SIM_ID],Sim_Output[[#This Row],[SIM_ID]],Sim_Output[WEEK],Sim_Output[[#This Row],[WEEK]],Sim_Output[OUTPUT],"PRICE_0")-1</f>
        <v>0</v>
      </c>
      <c r="K114" s="4">
        <f ca="1">IF(Sim_Output[[#This Row],[OUTPUT]]="PRICE_0",0,_xlfn.RANK.EQ(Sim_Output[[#This Row],[WTD_RET]],OFFSET(Sim_Output[[#This Row],[WTD_RET]],-Sim_Output[[#This Row],[OBS]]+1,0,12)))</f>
        <v>4</v>
      </c>
      <c r="L114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0.24058436682544962</v>
      </c>
      <c r="M114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0.49315068493150688</v>
      </c>
      <c r="N114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-0.2720588235294118</v>
      </c>
    </row>
    <row r="115" spans="2:14" x14ac:dyDescent="0.25">
      <c r="B115">
        <v>1</v>
      </c>
      <c r="C115">
        <v>9</v>
      </c>
      <c r="D115">
        <f>VALUE(RIGHT(Sim_Output[[#This Row],[OUTPUT]],LEN(Sim_Output[[#This Row],[OUTPUT]])-6))</f>
        <v>7</v>
      </c>
      <c r="E115">
        <v>0</v>
      </c>
      <c r="F115" t="str">
        <f>Sim_Output[[#This Row],[SIM_ID]]&amp;" - "&amp;Sim_Output[[#This Row],[WEEK]]&amp;" - "&amp;Sim_Output[[#This Row],[REGIME]]</f>
        <v>1 - 9 - 0</v>
      </c>
      <c r="G115" t="s">
        <v>51</v>
      </c>
      <c r="H115">
        <v>76</v>
      </c>
      <c r="I115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115" s="7">
        <f>Sim_Output[[#This Row],[VALUE]]/SUMIFS(Sim_Output[VALUE],Sim_Output[SIM_ID],Sim_Output[[#This Row],[SIM_ID]],Sim_Output[WEEK],Sim_Output[[#This Row],[WEEK]],Sim_Output[OUTPUT],"PRICE_0")-1</f>
        <v>-0.23232323232323238</v>
      </c>
      <c r="K115" s="4">
        <f ca="1">IF(Sim_Output[[#This Row],[OUTPUT]]="PRICE_0",0,_xlfn.RANK.EQ(Sim_Output[[#This Row],[WTD_RET]],OFFSET(Sim_Output[[#This Row],[WTD_RET]],-Sim_Output[[#This Row],[OBS]]+1,0,12)))</f>
        <v>8</v>
      </c>
      <c r="L115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-0.69464500280587582</v>
      </c>
      <c r="M115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0.17808219178082185</v>
      </c>
      <c r="N115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-0.23232323232323238</v>
      </c>
    </row>
    <row r="116" spans="2:14" x14ac:dyDescent="0.25">
      <c r="B116">
        <v>1</v>
      </c>
      <c r="C116">
        <v>9</v>
      </c>
      <c r="D116">
        <f>VALUE(RIGHT(Sim_Output[[#This Row],[OUTPUT]],LEN(Sim_Output[[#This Row],[OUTPUT]])-6))</f>
        <v>8</v>
      </c>
      <c r="E116">
        <v>0</v>
      </c>
      <c r="F116" t="str">
        <f>Sim_Output[[#This Row],[SIM_ID]]&amp;" - "&amp;Sim_Output[[#This Row],[WEEK]]&amp;" - "&amp;Sim_Output[[#This Row],[REGIME]]</f>
        <v>1 - 9 - 0</v>
      </c>
      <c r="G116" t="s">
        <v>52</v>
      </c>
      <c r="H116">
        <v>69</v>
      </c>
      <c r="I116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116" s="7">
        <f>Sim_Output[[#This Row],[VALUE]]/SUMIFS(Sim_Output[VALUE],Sim_Output[SIM_ID],Sim_Output[[#This Row],[SIM_ID]],Sim_Output[WEEK],Sim_Output[[#This Row],[WEEK]],Sim_Output[OUTPUT],"PRICE_0")-1</f>
        <v>-0.30303030303030298</v>
      </c>
      <c r="K116" s="4">
        <f ca="1">IF(Sim_Output[[#This Row],[OUTPUT]]="PRICE_0",0,_xlfn.RANK.EQ(Sim_Output[[#This Row],[WTD_RET]],OFFSET(Sim_Output[[#This Row],[WTD_RET]],-Sim_Output[[#This Row],[OBS]]+1,0,12)))</f>
        <v>10</v>
      </c>
      <c r="L116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-0.97928002834584393</v>
      </c>
      <c r="M116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8.2191780821917887E-2</v>
      </c>
      <c r="N116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-9.210526315789469E-2</v>
      </c>
    </row>
    <row r="117" spans="2:14" x14ac:dyDescent="0.25">
      <c r="B117">
        <v>1</v>
      </c>
      <c r="C117">
        <v>9</v>
      </c>
      <c r="D117">
        <f>VALUE(RIGHT(Sim_Output[[#This Row],[OUTPUT]],LEN(Sim_Output[[#This Row],[OUTPUT]])-6))</f>
        <v>9</v>
      </c>
      <c r="E117">
        <v>0</v>
      </c>
      <c r="F117" t="str">
        <f>Sim_Output[[#This Row],[SIM_ID]]&amp;" - "&amp;Sim_Output[[#This Row],[WEEK]]&amp;" - "&amp;Sim_Output[[#This Row],[REGIME]]</f>
        <v>1 - 9 - 0</v>
      </c>
      <c r="G117" t="s">
        <v>53</v>
      </c>
      <c r="H117">
        <v>63</v>
      </c>
      <c r="I117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117" s="7">
        <f>Sim_Output[[#This Row],[VALUE]]/SUMIFS(Sim_Output[VALUE],Sim_Output[SIM_ID],Sim_Output[[#This Row],[SIM_ID]],Sim_Output[WEEK],Sim_Output[[#This Row],[WEEK]],Sim_Output[OUTPUT],"PRICE_0")-1</f>
        <v>-0.36363636363636365</v>
      </c>
      <c r="K117" s="4">
        <f ca="1">IF(Sim_Output[[#This Row],[OUTPUT]]="PRICE_0",0,_xlfn.RANK.EQ(Sim_Output[[#This Row],[WTD_RET]],OFFSET(Sim_Output[[#This Row],[WTD_RET]],-Sim_Output[[#This Row],[OBS]]+1,0,12)))</f>
        <v>12</v>
      </c>
      <c r="L117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-1.2232529073801028</v>
      </c>
      <c r="M117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</v>
      </c>
      <c r="N117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-8.6956521739130488E-2</v>
      </c>
    </row>
    <row r="118" spans="2:14" x14ac:dyDescent="0.25">
      <c r="B118">
        <v>1</v>
      </c>
      <c r="C118">
        <v>9</v>
      </c>
      <c r="D118">
        <f>VALUE(RIGHT(Sim_Output[[#This Row],[OUTPUT]],LEN(Sim_Output[[#This Row],[OUTPUT]])-6))</f>
        <v>10</v>
      </c>
      <c r="E118">
        <v>0</v>
      </c>
      <c r="F118" t="str">
        <f>Sim_Output[[#This Row],[SIM_ID]]&amp;" - "&amp;Sim_Output[[#This Row],[WEEK]]&amp;" - "&amp;Sim_Output[[#This Row],[REGIME]]</f>
        <v>1 - 9 - 0</v>
      </c>
      <c r="G118" t="s">
        <v>54</v>
      </c>
      <c r="H118">
        <v>133</v>
      </c>
      <c r="I118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118" s="7">
        <f>Sim_Output[[#This Row],[VALUE]]/SUMIFS(Sim_Output[VALUE],Sim_Output[SIM_ID],Sim_Output[[#This Row],[SIM_ID]],Sim_Output[WEEK],Sim_Output[[#This Row],[WEEK]],Sim_Output[OUTPUT],"PRICE_0")-1</f>
        <v>0.34343434343434343</v>
      </c>
      <c r="K118" s="4">
        <f ca="1">IF(Sim_Output[[#This Row],[OUTPUT]]="PRICE_0",0,_xlfn.RANK.EQ(Sim_Output[[#This Row],[WTD_RET]],OFFSET(Sim_Output[[#This Row],[WTD_RET]],-Sim_Output[[#This Row],[OBS]]+1,0,12)))</f>
        <v>2</v>
      </c>
      <c r="L118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1.6230973480195827</v>
      </c>
      <c r="M118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0.95890410958904115</v>
      </c>
      <c r="N118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1.1111111111111112</v>
      </c>
    </row>
    <row r="119" spans="2:14" x14ac:dyDescent="0.25">
      <c r="B119">
        <v>1</v>
      </c>
      <c r="C119">
        <v>9</v>
      </c>
      <c r="D119">
        <f>VALUE(RIGHT(Sim_Output[[#This Row],[OUTPUT]],LEN(Sim_Output[[#This Row],[OUTPUT]])-6))</f>
        <v>11</v>
      </c>
      <c r="E119">
        <v>0</v>
      </c>
      <c r="F119" t="str">
        <f>Sim_Output[[#This Row],[SIM_ID]]&amp;" - "&amp;Sim_Output[[#This Row],[WEEK]]&amp;" - "&amp;Sim_Output[[#This Row],[REGIME]]</f>
        <v>1 - 9 - 0</v>
      </c>
      <c r="G119" t="s">
        <v>55</v>
      </c>
      <c r="H119">
        <v>76</v>
      </c>
      <c r="I119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119" s="7">
        <f>Sim_Output[[#This Row],[VALUE]]/SUMIFS(Sim_Output[VALUE],Sim_Output[SIM_ID],Sim_Output[[#This Row],[SIM_ID]],Sim_Output[WEEK],Sim_Output[[#This Row],[WEEK]],Sim_Output[OUTPUT],"PRICE_0")-1</f>
        <v>-0.23232323232323238</v>
      </c>
      <c r="K119" s="4">
        <f ca="1">IF(Sim_Output[[#This Row],[OUTPUT]]="PRICE_0",0,_xlfn.RANK.EQ(Sim_Output[[#This Row],[WTD_RET]],OFFSET(Sim_Output[[#This Row],[WTD_RET]],-Sim_Output[[#This Row],[OBS]]+1,0,12)))</f>
        <v>8</v>
      </c>
      <c r="L119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-0.69464500280587582</v>
      </c>
      <c r="M119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0.17808219178082185</v>
      </c>
      <c r="N119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-0.4285714285714286</v>
      </c>
    </row>
    <row r="120" spans="2:14" x14ac:dyDescent="0.25">
      <c r="B120">
        <v>1</v>
      </c>
      <c r="C120">
        <v>9</v>
      </c>
      <c r="D120">
        <f>VALUE(RIGHT(Sim_Output[[#This Row],[OUTPUT]],LEN(Sim_Output[[#This Row],[OUTPUT]])-6))</f>
        <v>12</v>
      </c>
      <c r="E120">
        <v>0</v>
      </c>
      <c r="F120" t="str">
        <f>Sim_Output[[#This Row],[SIM_ID]]&amp;" - "&amp;Sim_Output[[#This Row],[WEEK]]&amp;" - "&amp;Sim_Output[[#This Row],[REGIME]]</f>
        <v>1 - 9 - 0</v>
      </c>
      <c r="G120" t="s">
        <v>56</v>
      </c>
      <c r="H120">
        <v>69</v>
      </c>
      <c r="I120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120" s="7">
        <f>Sim_Output[[#This Row],[VALUE]]/SUMIFS(Sim_Output[VALUE],Sim_Output[SIM_ID],Sim_Output[[#This Row],[SIM_ID]],Sim_Output[WEEK],Sim_Output[[#This Row],[WEEK]],Sim_Output[OUTPUT],"PRICE_0")-1</f>
        <v>-0.30303030303030298</v>
      </c>
      <c r="K120" s="4">
        <f ca="1">IF(Sim_Output[[#This Row],[OUTPUT]]="PRICE_0",0,_xlfn.RANK.EQ(Sim_Output[[#This Row],[WTD_RET]],OFFSET(Sim_Output[[#This Row],[WTD_RET]],-Sim_Output[[#This Row],[OBS]]+1,0,12)))</f>
        <v>10</v>
      </c>
      <c r="L120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-0.97928002834584393</v>
      </c>
      <c r="M120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8.2191780821917887E-2</v>
      </c>
      <c r="N120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-9.210526315789469E-2</v>
      </c>
    </row>
    <row r="121" spans="2:14" x14ac:dyDescent="0.25">
      <c r="B121">
        <v>1</v>
      </c>
      <c r="C121">
        <v>10</v>
      </c>
      <c r="D121">
        <f>VALUE(RIGHT(Sim_Output[[#This Row],[OUTPUT]],LEN(Sim_Output[[#This Row],[OUTPUT]])-6))</f>
        <v>0</v>
      </c>
      <c r="E121">
        <v>2</v>
      </c>
      <c r="F121" t="str">
        <f>Sim_Output[[#This Row],[SIM_ID]]&amp;" - "&amp;Sim_Output[[#This Row],[WEEK]]&amp;" - "&amp;Sim_Output[[#This Row],[REGIME]]</f>
        <v>1 - 10 - 2</v>
      </c>
      <c r="G121" t="s">
        <v>44</v>
      </c>
      <c r="H121">
        <v>95</v>
      </c>
      <c r="I121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121" s="7">
        <f>Sim_Output[[#This Row],[VALUE]]/SUMIFS(Sim_Output[VALUE],Sim_Output[SIM_ID],Sim_Output[[#This Row],[SIM_ID]],Sim_Output[WEEK],Sim_Output[[#This Row],[WEEK]],Sim_Output[OUTPUT],"PRICE_0")-1</f>
        <v>0</v>
      </c>
      <c r="K121" s="4">
        <f ca="1">IF(Sim_Output[[#This Row],[OUTPUT]]="PRICE_0",0,_xlfn.RANK.EQ(Sim_Output[[#This Row],[WTD_RET]],OFFSET(Sim_Output[[#This Row],[WTD_RET]],-Sim_Output[[#This Row],[OBS]]+1,0,12)))</f>
        <v>0</v>
      </c>
      <c r="L121" s="3" t="str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/>
      </c>
      <c r="M121" s="3" t="str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/>
      </c>
      <c r="N121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</v>
      </c>
    </row>
    <row r="122" spans="2:14" x14ac:dyDescent="0.25">
      <c r="B122">
        <v>1</v>
      </c>
      <c r="C122">
        <v>10</v>
      </c>
      <c r="D122">
        <f>VALUE(RIGHT(Sim_Output[[#This Row],[OUTPUT]],LEN(Sim_Output[[#This Row],[OUTPUT]])-6))</f>
        <v>1</v>
      </c>
      <c r="E122">
        <v>2</v>
      </c>
      <c r="F122" t="str">
        <f>Sim_Output[[#This Row],[SIM_ID]]&amp;" - "&amp;Sim_Output[[#This Row],[WEEK]]&amp;" - "&amp;Sim_Output[[#This Row],[REGIME]]</f>
        <v>1 - 10 - 2</v>
      </c>
      <c r="G122" t="s">
        <v>45</v>
      </c>
      <c r="H122">
        <v>83</v>
      </c>
      <c r="I122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122" s="7">
        <f>Sim_Output[[#This Row],[VALUE]]/SUMIFS(Sim_Output[VALUE],Sim_Output[SIM_ID],Sim_Output[[#This Row],[SIM_ID]],Sim_Output[WEEK],Sim_Output[[#This Row],[WEEK]],Sim_Output[OUTPUT],"PRICE_0")-1</f>
        <v>-0.12631578947368416</v>
      </c>
      <c r="K122" s="4">
        <f ca="1">IF(Sim_Output[[#This Row],[OUTPUT]]="PRICE_0",0,_xlfn.RANK.EQ(Sim_Output[[#This Row],[WTD_RET]],OFFSET(Sim_Output[[#This Row],[WTD_RET]],-Sim_Output[[#This Row],[OBS]]+1,0,12)))</f>
        <v>1</v>
      </c>
      <c r="L122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1.4828289983395653</v>
      </c>
      <c r="M122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1</v>
      </c>
      <c r="N122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-0.12631578947368416</v>
      </c>
    </row>
    <row r="123" spans="2:14" x14ac:dyDescent="0.25">
      <c r="B123">
        <v>1</v>
      </c>
      <c r="C123">
        <v>10</v>
      </c>
      <c r="D123">
        <f>VALUE(RIGHT(Sim_Output[[#This Row],[OUTPUT]],LEN(Sim_Output[[#This Row],[OUTPUT]])-6))</f>
        <v>2</v>
      </c>
      <c r="E123">
        <v>2</v>
      </c>
      <c r="F123" t="str">
        <f>Sim_Output[[#This Row],[SIM_ID]]&amp;" - "&amp;Sim_Output[[#This Row],[WEEK]]&amp;" - "&amp;Sim_Output[[#This Row],[REGIME]]</f>
        <v>1 - 10 - 2</v>
      </c>
      <c r="G123" t="s">
        <v>46</v>
      </c>
      <c r="H123">
        <v>79</v>
      </c>
      <c r="I123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123" s="7">
        <f>Sim_Output[[#This Row],[VALUE]]/SUMIFS(Sim_Output[VALUE],Sim_Output[SIM_ID],Sim_Output[[#This Row],[SIM_ID]],Sim_Output[WEEK],Sim_Output[[#This Row],[WEEK]],Sim_Output[OUTPUT],"PRICE_0")-1</f>
        <v>-0.16842105263157892</v>
      </c>
      <c r="K123" s="4">
        <f ca="1">IF(Sim_Output[[#This Row],[OUTPUT]]="PRICE_0",0,_xlfn.RANK.EQ(Sim_Output[[#This Row],[WTD_RET]],OFFSET(Sim_Output[[#This Row],[WTD_RET]],-Sim_Output[[#This Row],[OBS]]+1,0,12)))</f>
        <v>2</v>
      </c>
      <c r="L123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1.1706544723733407</v>
      </c>
      <c r="M123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0.89999999999999991</v>
      </c>
      <c r="N123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-4.8192771084337394E-2</v>
      </c>
    </row>
    <row r="124" spans="2:14" x14ac:dyDescent="0.25">
      <c r="B124">
        <v>1</v>
      </c>
      <c r="C124">
        <v>10</v>
      </c>
      <c r="D124">
        <f>VALUE(RIGHT(Sim_Output[[#This Row],[OUTPUT]],LEN(Sim_Output[[#This Row],[OUTPUT]])-6))</f>
        <v>3</v>
      </c>
      <c r="E124">
        <v>2</v>
      </c>
      <c r="F124" t="str">
        <f>Sim_Output[[#This Row],[SIM_ID]]&amp;" - "&amp;Sim_Output[[#This Row],[WEEK]]&amp;" - "&amp;Sim_Output[[#This Row],[REGIME]]</f>
        <v>1 - 10 - 2</v>
      </c>
      <c r="G124" t="s">
        <v>47</v>
      </c>
      <c r="H124">
        <v>76</v>
      </c>
      <c r="I124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124" s="7">
        <f>Sim_Output[[#This Row],[VALUE]]/SUMIFS(Sim_Output[VALUE],Sim_Output[SIM_ID],Sim_Output[[#This Row],[SIM_ID]],Sim_Output[WEEK],Sim_Output[[#This Row],[WEEK]],Sim_Output[OUTPUT],"PRICE_0")-1</f>
        <v>-0.19999999999999996</v>
      </c>
      <c r="K124" s="4">
        <f ca="1">IF(Sim_Output[[#This Row],[OUTPUT]]="PRICE_0",0,_xlfn.RANK.EQ(Sim_Output[[#This Row],[WTD_RET]],OFFSET(Sim_Output[[#This Row],[WTD_RET]],-Sim_Output[[#This Row],[OBS]]+1,0,12)))</f>
        <v>3</v>
      </c>
      <c r="L124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0.93652357789867269</v>
      </c>
      <c r="M124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0.82499999999999996</v>
      </c>
      <c r="N124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-3.7974683544303778E-2</v>
      </c>
    </row>
    <row r="125" spans="2:14" x14ac:dyDescent="0.25">
      <c r="B125">
        <v>1</v>
      </c>
      <c r="C125">
        <v>10</v>
      </c>
      <c r="D125">
        <f>VALUE(RIGHT(Sim_Output[[#This Row],[OUTPUT]],LEN(Sim_Output[[#This Row],[OUTPUT]])-6))</f>
        <v>4</v>
      </c>
      <c r="E125">
        <v>2</v>
      </c>
      <c r="F125" t="str">
        <f>Sim_Output[[#This Row],[SIM_ID]]&amp;" - "&amp;Sim_Output[[#This Row],[WEEK]]&amp;" - "&amp;Sim_Output[[#This Row],[REGIME]]</f>
        <v>1 - 10 - 2</v>
      </c>
      <c r="G125" t="s">
        <v>48</v>
      </c>
      <c r="H125">
        <v>73</v>
      </c>
      <c r="I125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125" s="7">
        <f>Sim_Output[[#This Row],[VALUE]]/SUMIFS(Sim_Output[VALUE],Sim_Output[SIM_ID],Sim_Output[[#This Row],[SIM_ID]],Sim_Output[WEEK],Sim_Output[[#This Row],[WEEK]],Sim_Output[OUTPUT],"PRICE_0")-1</f>
        <v>-0.23157894736842111</v>
      </c>
      <c r="K125" s="4">
        <f ca="1">IF(Sim_Output[[#This Row],[OUTPUT]]="PRICE_0",0,_xlfn.RANK.EQ(Sim_Output[[#This Row],[WTD_RET]],OFFSET(Sim_Output[[#This Row],[WTD_RET]],-Sim_Output[[#This Row],[OBS]]+1,0,12)))</f>
        <v>4</v>
      </c>
      <c r="L125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0.70239268342400385</v>
      </c>
      <c r="M125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0.74999999999999978</v>
      </c>
      <c r="N125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-3.9473684210526327E-2</v>
      </c>
    </row>
    <row r="126" spans="2:14" x14ac:dyDescent="0.25">
      <c r="B126">
        <v>1</v>
      </c>
      <c r="C126">
        <v>10</v>
      </c>
      <c r="D126">
        <f>VALUE(RIGHT(Sim_Output[[#This Row],[OUTPUT]],LEN(Sim_Output[[#This Row],[OUTPUT]])-6))</f>
        <v>5</v>
      </c>
      <c r="E126">
        <v>2</v>
      </c>
      <c r="F126" t="str">
        <f>Sim_Output[[#This Row],[SIM_ID]]&amp;" - "&amp;Sim_Output[[#This Row],[WEEK]]&amp;" - "&amp;Sim_Output[[#This Row],[REGIME]]</f>
        <v>1 - 10 - 2</v>
      </c>
      <c r="G126" t="s">
        <v>49</v>
      </c>
      <c r="H126">
        <v>70</v>
      </c>
      <c r="I126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126" s="7">
        <f>Sim_Output[[#This Row],[VALUE]]/SUMIFS(Sim_Output[VALUE],Sim_Output[SIM_ID],Sim_Output[[#This Row],[SIM_ID]],Sim_Output[WEEK],Sim_Output[[#This Row],[WEEK]],Sim_Output[OUTPUT],"PRICE_0")-1</f>
        <v>-0.26315789473684215</v>
      </c>
      <c r="K126" s="4">
        <f ca="1">IF(Sim_Output[[#This Row],[OUTPUT]]="PRICE_0",0,_xlfn.RANK.EQ(Sim_Output[[#This Row],[WTD_RET]],OFFSET(Sim_Output[[#This Row],[WTD_RET]],-Sim_Output[[#This Row],[OBS]]+1,0,12)))</f>
        <v>5</v>
      </c>
      <c r="L126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0.46826178894933573</v>
      </c>
      <c r="M126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0.67499999999999971</v>
      </c>
      <c r="N126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-4.1095890410958957E-2</v>
      </c>
    </row>
    <row r="127" spans="2:14" x14ac:dyDescent="0.25">
      <c r="B127">
        <v>1</v>
      </c>
      <c r="C127">
        <v>10</v>
      </c>
      <c r="D127">
        <f>VALUE(RIGHT(Sim_Output[[#This Row],[OUTPUT]],LEN(Sim_Output[[#This Row],[OUTPUT]])-6))</f>
        <v>6</v>
      </c>
      <c r="E127">
        <v>2</v>
      </c>
      <c r="F127" t="str">
        <f>Sim_Output[[#This Row],[SIM_ID]]&amp;" - "&amp;Sim_Output[[#This Row],[WEEK]]&amp;" - "&amp;Sim_Output[[#This Row],[REGIME]]</f>
        <v>1 - 10 - 2</v>
      </c>
      <c r="G127" t="s">
        <v>50</v>
      </c>
      <c r="H127">
        <v>66</v>
      </c>
      <c r="I127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127" s="7">
        <f>Sim_Output[[#This Row],[VALUE]]/SUMIFS(Sim_Output[VALUE],Sim_Output[SIM_ID],Sim_Output[[#This Row],[SIM_ID]],Sim_Output[WEEK],Sim_Output[[#This Row],[WEEK]],Sim_Output[OUTPUT],"PRICE_0")-1</f>
        <v>-0.30526315789473679</v>
      </c>
      <c r="K127" s="4">
        <f ca="1">IF(Sim_Output[[#This Row],[OUTPUT]]="PRICE_0",0,_xlfn.RANK.EQ(Sim_Output[[#This Row],[WTD_RET]],OFFSET(Sim_Output[[#This Row],[WTD_RET]],-Sim_Output[[#This Row],[OBS]]+1,0,12)))</f>
        <v>6</v>
      </c>
      <c r="L127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0.15608726298311218</v>
      </c>
      <c r="M127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0.57499999999999996</v>
      </c>
      <c r="N127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-5.7142857142857162E-2</v>
      </c>
    </row>
    <row r="128" spans="2:14" x14ac:dyDescent="0.25">
      <c r="B128">
        <v>1</v>
      </c>
      <c r="C128">
        <v>10</v>
      </c>
      <c r="D128">
        <f>VALUE(RIGHT(Sim_Output[[#This Row],[OUTPUT]],LEN(Sim_Output[[#This Row],[OUTPUT]])-6))</f>
        <v>7</v>
      </c>
      <c r="E128">
        <v>2</v>
      </c>
      <c r="F128" t="str">
        <f>Sim_Output[[#This Row],[SIM_ID]]&amp;" - "&amp;Sim_Output[[#This Row],[WEEK]]&amp;" - "&amp;Sim_Output[[#This Row],[REGIME]]</f>
        <v>1 - 10 - 2</v>
      </c>
      <c r="G128" t="s">
        <v>51</v>
      </c>
      <c r="H128">
        <v>63</v>
      </c>
      <c r="I128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128" s="7">
        <f>Sim_Output[[#This Row],[VALUE]]/SUMIFS(Sim_Output[VALUE],Sim_Output[SIM_ID],Sim_Output[[#This Row],[SIM_ID]],Sim_Output[WEEK],Sim_Output[[#This Row],[WEEK]],Sim_Output[OUTPUT],"PRICE_0")-1</f>
        <v>-0.33684210526315794</v>
      </c>
      <c r="K128" s="4">
        <f ca="1">IF(Sim_Output[[#This Row],[OUTPUT]]="PRICE_0",0,_xlfn.RANK.EQ(Sim_Output[[#This Row],[WTD_RET]],OFFSET(Sim_Output[[#This Row],[WTD_RET]],-Sim_Output[[#This Row],[OBS]]+1,0,12)))</f>
        <v>7</v>
      </c>
      <c r="L128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-7.8043631491556714E-2</v>
      </c>
      <c r="M128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0.49999999999999972</v>
      </c>
      <c r="N128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-4.5454545454545414E-2</v>
      </c>
    </row>
    <row r="129" spans="2:14" x14ac:dyDescent="0.25">
      <c r="B129">
        <v>1</v>
      </c>
      <c r="C129">
        <v>10</v>
      </c>
      <c r="D129">
        <f>VALUE(RIGHT(Sim_Output[[#This Row],[OUTPUT]],LEN(Sim_Output[[#This Row],[OUTPUT]])-6))</f>
        <v>8</v>
      </c>
      <c r="E129">
        <v>2</v>
      </c>
      <c r="F129" t="str">
        <f>Sim_Output[[#This Row],[SIM_ID]]&amp;" - "&amp;Sim_Output[[#This Row],[WEEK]]&amp;" - "&amp;Sim_Output[[#This Row],[REGIME]]</f>
        <v>1 - 10 - 2</v>
      </c>
      <c r="G129" t="s">
        <v>52</v>
      </c>
      <c r="H129">
        <v>60</v>
      </c>
      <c r="I129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129" s="7">
        <f>Sim_Output[[#This Row],[VALUE]]/SUMIFS(Sim_Output[VALUE],Sim_Output[SIM_ID],Sim_Output[[#This Row],[SIM_ID]],Sim_Output[WEEK],Sim_Output[[#This Row],[WEEK]],Sim_Output[OUTPUT],"PRICE_0")-1</f>
        <v>-0.36842105263157898</v>
      </c>
      <c r="K129" s="4">
        <f ca="1">IF(Sim_Output[[#This Row],[OUTPUT]]="PRICE_0",0,_xlfn.RANK.EQ(Sim_Output[[#This Row],[WTD_RET]],OFFSET(Sim_Output[[#This Row],[WTD_RET]],-Sim_Output[[#This Row],[OBS]]+1,0,12)))</f>
        <v>8</v>
      </c>
      <c r="L129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-0.3121745259662248</v>
      </c>
      <c r="M129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0.42499999999999977</v>
      </c>
      <c r="N129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-4.7619047619047672E-2</v>
      </c>
    </row>
    <row r="130" spans="2:14" x14ac:dyDescent="0.25">
      <c r="B130">
        <v>1</v>
      </c>
      <c r="C130">
        <v>10</v>
      </c>
      <c r="D130">
        <f>VALUE(RIGHT(Sim_Output[[#This Row],[OUTPUT]],LEN(Sim_Output[[#This Row],[OUTPUT]])-6))</f>
        <v>9</v>
      </c>
      <c r="E130">
        <v>2</v>
      </c>
      <c r="F130" t="str">
        <f>Sim_Output[[#This Row],[SIM_ID]]&amp;" - "&amp;Sim_Output[[#This Row],[WEEK]]&amp;" - "&amp;Sim_Output[[#This Row],[REGIME]]</f>
        <v>1 - 10 - 2</v>
      </c>
      <c r="G130" t="s">
        <v>53</v>
      </c>
      <c r="H130">
        <v>56</v>
      </c>
      <c r="I130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130" s="7">
        <f>Sim_Output[[#This Row],[VALUE]]/SUMIFS(Sim_Output[VALUE],Sim_Output[SIM_ID],Sim_Output[[#This Row],[SIM_ID]],Sim_Output[WEEK],Sim_Output[[#This Row],[WEEK]],Sim_Output[OUTPUT],"PRICE_0")-1</f>
        <v>-0.41052631578947374</v>
      </c>
      <c r="K130" s="4">
        <f ca="1">IF(Sim_Output[[#This Row],[OUTPUT]]="PRICE_0",0,_xlfn.RANK.EQ(Sim_Output[[#This Row],[WTD_RET]],OFFSET(Sim_Output[[#This Row],[WTD_RET]],-Sim_Output[[#This Row],[OBS]]+1,0,12)))</f>
        <v>9</v>
      </c>
      <c r="L130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-0.62434905193244916</v>
      </c>
      <c r="M130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0.32499999999999973</v>
      </c>
      <c r="N130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-6.6666666666666652E-2</v>
      </c>
    </row>
    <row r="131" spans="2:14" x14ac:dyDescent="0.25">
      <c r="B131">
        <v>1</v>
      </c>
      <c r="C131">
        <v>10</v>
      </c>
      <c r="D131">
        <f>VALUE(RIGHT(Sim_Output[[#This Row],[OUTPUT]],LEN(Sim_Output[[#This Row],[OUTPUT]])-6))</f>
        <v>10</v>
      </c>
      <c r="E131">
        <v>2</v>
      </c>
      <c r="F131" t="str">
        <f>Sim_Output[[#This Row],[SIM_ID]]&amp;" - "&amp;Sim_Output[[#This Row],[WEEK]]&amp;" - "&amp;Sim_Output[[#This Row],[REGIME]]</f>
        <v>1 - 10 - 2</v>
      </c>
      <c r="G131" t="s">
        <v>54</v>
      </c>
      <c r="H131">
        <v>52</v>
      </c>
      <c r="I131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131" s="7">
        <f>Sim_Output[[#This Row],[VALUE]]/SUMIFS(Sim_Output[VALUE],Sim_Output[SIM_ID],Sim_Output[[#This Row],[SIM_ID]],Sim_Output[WEEK],Sim_Output[[#This Row],[WEEK]],Sim_Output[OUTPUT],"PRICE_0")-1</f>
        <v>-0.45263157894736838</v>
      </c>
      <c r="K131" s="4">
        <f ca="1">IF(Sim_Output[[#This Row],[OUTPUT]]="PRICE_0",0,_xlfn.RANK.EQ(Sim_Output[[#This Row],[WTD_RET]],OFFSET(Sim_Output[[#This Row],[WTD_RET]],-Sim_Output[[#This Row],[OBS]]+1,0,12)))</f>
        <v>10</v>
      </c>
      <c r="L131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-0.93652357789867269</v>
      </c>
      <c r="M131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0.22499999999999992</v>
      </c>
      <c r="N131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-7.1428571428571397E-2</v>
      </c>
    </row>
    <row r="132" spans="2:14" x14ac:dyDescent="0.25">
      <c r="B132">
        <v>1</v>
      </c>
      <c r="C132">
        <v>10</v>
      </c>
      <c r="D132">
        <f>VALUE(RIGHT(Sim_Output[[#This Row],[OUTPUT]],LEN(Sim_Output[[#This Row],[OUTPUT]])-6))</f>
        <v>11</v>
      </c>
      <c r="E132">
        <v>2</v>
      </c>
      <c r="F132" t="str">
        <f>Sim_Output[[#This Row],[SIM_ID]]&amp;" - "&amp;Sim_Output[[#This Row],[WEEK]]&amp;" - "&amp;Sim_Output[[#This Row],[REGIME]]</f>
        <v>1 - 10 - 2</v>
      </c>
      <c r="G132" t="s">
        <v>55</v>
      </c>
      <c r="H132">
        <v>47</v>
      </c>
      <c r="I132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132" s="7">
        <f>Sim_Output[[#This Row],[VALUE]]/SUMIFS(Sim_Output[VALUE],Sim_Output[SIM_ID],Sim_Output[[#This Row],[SIM_ID]],Sim_Output[WEEK],Sim_Output[[#This Row],[WEEK]],Sim_Output[OUTPUT],"PRICE_0")-1</f>
        <v>-0.50526315789473686</v>
      </c>
      <c r="K132" s="4">
        <f ca="1">IF(Sim_Output[[#This Row],[OUTPUT]]="PRICE_0",0,_xlfn.RANK.EQ(Sim_Output[[#This Row],[WTD_RET]],OFFSET(Sim_Output[[#This Row],[WTD_RET]],-Sim_Output[[#This Row],[OBS]]+1,0,12)))</f>
        <v>11</v>
      </c>
      <c r="L132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-1.3267417353564535</v>
      </c>
      <c r="M132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9.9999999999999784E-2</v>
      </c>
      <c r="N132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-9.6153846153846145E-2</v>
      </c>
    </row>
    <row r="133" spans="2:14" x14ac:dyDescent="0.25">
      <c r="B133">
        <v>1</v>
      </c>
      <c r="C133">
        <v>10</v>
      </c>
      <c r="D133">
        <f>VALUE(RIGHT(Sim_Output[[#This Row],[OUTPUT]],LEN(Sim_Output[[#This Row],[OUTPUT]])-6))</f>
        <v>12</v>
      </c>
      <c r="E133">
        <v>2</v>
      </c>
      <c r="F133" t="str">
        <f>Sim_Output[[#This Row],[SIM_ID]]&amp;" - "&amp;Sim_Output[[#This Row],[WEEK]]&amp;" - "&amp;Sim_Output[[#This Row],[REGIME]]</f>
        <v>1 - 10 - 2</v>
      </c>
      <c r="G133" t="s">
        <v>56</v>
      </c>
      <c r="H133">
        <v>43</v>
      </c>
      <c r="I133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133" s="7">
        <f>Sim_Output[[#This Row],[VALUE]]/SUMIFS(Sim_Output[VALUE],Sim_Output[SIM_ID],Sim_Output[[#This Row],[SIM_ID]],Sim_Output[WEEK],Sim_Output[[#This Row],[WEEK]],Sim_Output[OUTPUT],"PRICE_0")-1</f>
        <v>-0.5473684210526315</v>
      </c>
      <c r="K133" s="4">
        <f ca="1">IF(Sim_Output[[#This Row],[OUTPUT]]="PRICE_0",0,_xlfn.RANK.EQ(Sim_Output[[#This Row],[WTD_RET]],OFFSET(Sim_Output[[#This Row],[WTD_RET]],-Sim_Output[[#This Row],[OBS]]+1,0,12)))</f>
        <v>12</v>
      </c>
      <c r="L133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-1.6389162613226769</v>
      </c>
      <c r="M133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</v>
      </c>
      <c r="N133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-8.5106382978723416E-2</v>
      </c>
    </row>
    <row r="134" spans="2:14" x14ac:dyDescent="0.25">
      <c r="B134">
        <v>2</v>
      </c>
      <c r="C134">
        <v>1</v>
      </c>
      <c r="D134">
        <f>VALUE(RIGHT(Sim_Output[[#This Row],[OUTPUT]],LEN(Sim_Output[[#This Row],[OUTPUT]])-6))</f>
        <v>0</v>
      </c>
      <c r="E134">
        <v>3</v>
      </c>
      <c r="F134" t="str">
        <f>Sim_Output[[#This Row],[SIM_ID]]&amp;" - "&amp;Sim_Output[[#This Row],[WEEK]]&amp;" - "&amp;Sim_Output[[#This Row],[REGIME]]</f>
        <v>2 - 1 - 3</v>
      </c>
      <c r="G134" t="s">
        <v>44</v>
      </c>
      <c r="H134">
        <v>105</v>
      </c>
      <c r="I134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134" s="7">
        <f>Sim_Output[[#This Row],[VALUE]]/SUMIFS(Sim_Output[VALUE],Sim_Output[SIM_ID],Sim_Output[[#This Row],[SIM_ID]],Sim_Output[WEEK],Sim_Output[[#This Row],[WEEK]],Sim_Output[OUTPUT],"PRICE_0")-1</f>
        <v>0</v>
      </c>
      <c r="K134" s="4">
        <f ca="1">IF(Sim_Output[[#This Row],[OUTPUT]]="PRICE_0",0,_xlfn.RANK.EQ(Sim_Output[[#This Row],[WTD_RET]],OFFSET(Sim_Output[[#This Row],[WTD_RET]],-Sim_Output[[#This Row],[OBS]]+1,0,12)))</f>
        <v>0</v>
      </c>
      <c r="L134" s="3" t="str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/>
      </c>
      <c r="M134" s="3" t="str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/>
      </c>
      <c r="N134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</v>
      </c>
    </row>
    <row r="135" spans="2:14" x14ac:dyDescent="0.25">
      <c r="B135">
        <v>2</v>
      </c>
      <c r="C135">
        <v>1</v>
      </c>
      <c r="D135">
        <f>VALUE(RIGHT(Sim_Output[[#This Row],[OUTPUT]],LEN(Sim_Output[[#This Row],[OUTPUT]])-6))</f>
        <v>1</v>
      </c>
      <c r="E135">
        <v>3</v>
      </c>
      <c r="F135" t="str">
        <f>Sim_Output[[#This Row],[SIM_ID]]&amp;" - "&amp;Sim_Output[[#This Row],[WEEK]]&amp;" - "&amp;Sim_Output[[#This Row],[REGIME]]</f>
        <v>2 - 1 - 3</v>
      </c>
      <c r="G135" t="s">
        <v>45</v>
      </c>
      <c r="H135">
        <v>59</v>
      </c>
      <c r="I135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135" s="7">
        <f>Sim_Output[[#This Row],[VALUE]]/SUMIFS(Sim_Output[VALUE],Sim_Output[SIM_ID],Sim_Output[[#This Row],[SIM_ID]],Sim_Output[WEEK],Sim_Output[[#This Row],[WEEK]],Sim_Output[OUTPUT],"PRICE_0")-1</f>
        <v>-0.43809523809523809</v>
      </c>
      <c r="K135" s="4">
        <f ca="1">IF(Sim_Output[[#This Row],[OUTPUT]]="PRICE_0",0,_xlfn.RANK.EQ(Sim_Output[[#This Row],[WTD_RET]],OFFSET(Sim_Output[[#This Row],[WTD_RET]],-Sim_Output[[#This Row],[OBS]]+1,0,12)))</f>
        <v>4</v>
      </c>
      <c r="L135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-0.40867703274801664</v>
      </c>
      <c r="M135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0.11403508771929825</v>
      </c>
      <c r="N135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-0.43809523809523809</v>
      </c>
    </row>
    <row r="136" spans="2:14" x14ac:dyDescent="0.25">
      <c r="B136">
        <v>2</v>
      </c>
      <c r="C136">
        <v>1</v>
      </c>
      <c r="D136">
        <f>VALUE(RIGHT(Sim_Output[[#This Row],[OUTPUT]],LEN(Sim_Output[[#This Row],[OUTPUT]])-6))</f>
        <v>2</v>
      </c>
      <c r="E136">
        <v>3</v>
      </c>
      <c r="F136" t="str">
        <f>Sim_Output[[#This Row],[SIM_ID]]&amp;" - "&amp;Sim_Output[[#This Row],[WEEK]]&amp;" - "&amp;Sim_Output[[#This Row],[REGIME]]</f>
        <v>2 - 1 - 3</v>
      </c>
      <c r="G136" t="s">
        <v>46</v>
      </c>
      <c r="H136">
        <v>53</v>
      </c>
      <c r="I136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136" s="7">
        <f>Sim_Output[[#This Row],[VALUE]]/SUMIFS(Sim_Output[VALUE],Sim_Output[SIM_ID],Sim_Output[[#This Row],[SIM_ID]],Sim_Output[WEEK],Sim_Output[[#This Row],[WEEK]],Sim_Output[OUTPUT],"PRICE_0")-1</f>
        <v>-0.49523809523809526</v>
      </c>
      <c r="K136" s="4">
        <f ca="1">IF(Sim_Output[[#This Row],[OUTPUT]]="PRICE_0",0,_xlfn.RANK.EQ(Sim_Output[[#This Row],[WTD_RET]],OFFSET(Sim_Output[[#This Row],[WTD_RET]],-Sim_Output[[#This Row],[OBS]]+1,0,12)))</f>
        <v>9</v>
      </c>
      <c r="L136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-0.55291598548261078</v>
      </c>
      <c r="M136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6.1403508771929814E-2</v>
      </c>
      <c r="N136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-0.10169491525423724</v>
      </c>
    </row>
    <row r="137" spans="2:14" x14ac:dyDescent="0.25">
      <c r="B137">
        <v>2</v>
      </c>
      <c r="C137">
        <v>1</v>
      </c>
      <c r="D137">
        <f>VALUE(RIGHT(Sim_Output[[#This Row],[OUTPUT]],LEN(Sim_Output[[#This Row],[OUTPUT]])-6))</f>
        <v>3</v>
      </c>
      <c r="E137">
        <v>3</v>
      </c>
      <c r="F137" t="str">
        <f>Sim_Output[[#This Row],[SIM_ID]]&amp;" - "&amp;Sim_Output[[#This Row],[WEEK]]&amp;" - "&amp;Sim_Output[[#This Row],[REGIME]]</f>
        <v>2 - 1 - 3</v>
      </c>
      <c r="G137" t="s">
        <v>47</v>
      </c>
      <c r="H137">
        <v>50</v>
      </c>
      <c r="I137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137" s="7">
        <f>Sim_Output[[#This Row],[VALUE]]/SUMIFS(Sim_Output[VALUE],Sim_Output[SIM_ID],Sim_Output[[#This Row],[SIM_ID]],Sim_Output[WEEK],Sim_Output[[#This Row],[WEEK]],Sim_Output[OUTPUT],"PRICE_0")-1</f>
        <v>-0.52380952380952384</v>
      </c>
      <c r="K137" s="4">
        <f ca="1">IF(Sim_Output[[#This Row],[OUTPUT]]="PRICE_0",0,_xlfn.RANK.EQ(Sim_Output[[#This Row],[WTD_RET]],OFFSET(Sim_Output[[#This Row],[WTD_RET]],-Sim_Output[[#This Row],[OBS]]+1,0,12)))</f>
        <v>11</v>
      </c>
      <c r="L137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-0.62503546184990788</v>
      </c>
      <c r="M137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3.5087719298245591E-2</v>
      </c>
      <c r="N137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-5.6603773584905648E-2</v>
      </c>
    </row>
    <row r="138" spans="2:14" x14ac:dyDescent="0.25">
      <c r="B138">
        <v>2</v>
      </c>
      <c r="C138">
        <v>1</v>
      </c>
      <c r="D138">
        <f>VALUE(RIGHT(Sim_Output[[#This Row],[OUTPUT]],LEN(Sim_Output[[#This Row],[OUTPUT]])-6))</f>
        <v>4</v>
      </c>
      <c r="E138">
        <v>3</v>
      </c>
      <c r="F138" t="str">
        <f>Sim_Output[[#This Row],[SIM_ID]]&amp;" - "&amp;Sim_Output[[#This Row],[WEEK]]&amp;" - "&amp;Sim_Output[[#This Row],[REGIME]]</f>
        <v>2 - 1 - 3</v>
      </c>
      <c r="G138" t="s">
        <v>48</v>
      </c>
      <c r="H138">
        <v>46</v>
      </c>
      <c r="I138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138" s="7">
        <f>Sim_Output[[#This Row],[VALUE]]/SUMIFS(Sim_Output[VALUE],Sim_Output[SIM_ID],Sim_Output[[#This Row],[SIM_ID]],Sim_Output[WEEK],Sim_Output[[#This Row],[WEEK]],Sim_Output[OUTPUT],"PRICE_0")-1</f>
        <v>-0.56190476190476191</v>
      </c>
      <c r="K138" s="4">
        <f ca="1">IF(Sim_Output[[#This Row],[OUTPUT]]="PRICE_0",0,_xlfn.RANK.EQ(Sim_Output[[#This Row],[WTD_RET]],OFFSET(Sim_Output[[#This Row],[WTD_RET]],-Sim_Output[[#This Row],[OBS]]+1,0,12)))</f>
        <v>12</v>
      </c>
      <c r="L138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-0.72119476367297053</v>
      </c>
      <c r="M138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</v>
      </c>
      <c r="N138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-7.999999999999996E-2</v>
      </c>
    </row>
    <row r="139" spans="2:14" x14ac:dyDescent="0.25">
      <c r="B139">
        <v>2</v>
      </c>
      <c r="C139">
        <v>1</v>
      </c>
      <c r="D139">
        <f>VALUE(RIGHT(Sim_Output[[#This Row],[OUTPUT]],LEN(Sim_Output[[#This Row],[OUTPUT]])-6))</f>
        <v>5</v>
      </c>
      <c r="E139">
        <v>3</v>
      </c>
      <c r="F139" t="str">
        <f>Sim_Output[[#This Row],[SIM_ID]]&amp;" - "&amp;Sim_Output[[#This Row],[WEEK]]&amp;" - "&amp;Sim_Output[[#This Row],[REGIME]]</f>
        <v>2 - 1 - 3</v>
      </c>
      <c r="G139" t="s">
        <v>49</v>
      </c>
      <c r="H139">
        <v>126</v>
      </c>
      <c r="I139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139" s="7">
        <f>Sim_Output[[#This Row],[VALUE]]/SUMIFS(Sim_Output[VALUE],Sim_Output[SIM_ID],Sim_Output[[#This Row],[SIM_ID]],Sim_Output[WEEK],Sim_Output[[#This Row],[WEEK]],Sim_Output[OUTPUT],"PRICE_0")-1</f>
        <v>0.19999999999999996</v>
      </c>
      <c r="K139" s="4">
        <f ca="1">IF(Sim_Output[[#This Row],[OUTPUT]]="PRICE_0",0,_xlfn.RANK.EQ(Sim_Output[[#This Row],[WTD_RET]],OFFSET(Sim_Output[[#This Row],[WTD_RET]],-Sim_Output[[#This Row],[OBS]]+1,0,12)))</f>
        <v>3</v>
      </c>
      <c r="L139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1.2019912727882838</v>
      </c>
      <c r="M139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0.70175438596491224</v>
      </c>
      <c r="N139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1.7391304347826089</v>
      </c>
    </row>
    <row r="140" spans="2:14" x14ac:dyDescent="0.25">
      <c r="B140">
        <v>2</v>
      </c>
      <c r="C140">
        <v>1</v>
      </c>
      <c r="D140">
        <f>VALUE(RIGHT(Sim_Output[[#This Row],[OUTPUT]],LEN(Sim_Output[[#This Row],[OUTPUT]])-6))</f>
        <v>6</v>
      </c>
      <c r="E140">
        <v>3</v>
      </c>
      <c r="F140" t="str">
        <f>Sim_Output[[#This Row],[SIM_ID]]&amp;" - "&amp;Sim_Output[[#This Row],[WEEK]]&amp;" - "&amp;Sim_Output[[#This Row],[REGIME]]</f>
        <v>2 - 1 - 3</v>
      </c>
      <c r="G140" t="s">
        <v>50</v>
      </c>
      <c r="H140">
        <v>145</v>
      </c>
      <c r="I140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140" s="7">
        <f>Sim_Output[[#This Row],[VALUE]]/SUMIFS(Sim_Output[VALUE],Sim_Output[SIM_ID],Sim_Output[[#This Row],[SIM_ID]],Sim_Output[WEEK],Sim_Output[[#This Row],[WEEK]],Sim_Output[OUTPUT],"PRICE_0")-1</f>
        <v>0.38095238095238093</v>
      </c>
      <c r="K140" s="4">
        <f ca="1">IF(Sim_Output[[#This Row],[OUTPUT]]="PRICE_0",0,_xlfn.RANK.EQ(Sim_Output[[#This Row],[WTD_RET]],OFFSET(Sim_Output[[#This Row],[WTD_RET]],-Sim_Output[[#This Row],[OBS]]+1,0,12)))</f>
        <v>2</v>
      </c>
      <c r="L140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1.6587479564478316</v>
      </c>
      <c r="M140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0.86842105263157898</v>
      </c>
      <c r="N140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0.1507936507936507</v>
      </c>
    </row>
    <row r="141" spans="2:14" x14ac:dyDescent="0.25">
      <c r="B141">
        <v>2</v>
      </c>
      <c r="C141">
        <v>1</v>
      </c>
      <c r="D141">
        <f>VALUE(RIGHT(Sim_Output[[#This Row],[OUTPUT]],LEN(Sim_Output[[#This Row],[OUTPUT]])-6))</f>
        <v>7</v>
      </c>
      <c r="E141">
        <v>3</v>
      </c>
      <c r="F141" t="str">
        <f>Sim_Output[[#This Row],[SIM_ID]]&amp;" - "&amp;Sim_Output[[#This Row],[WEEK]]&amp;" - "&amp;Sim_Output[[#This Row],[REGIME]]</f>
        <v>2 - 1 - 3</v>
      </c>
      <c r="G141" t="s">
        <v>51</v>
      </c>
      <c r="H141">
        <v>55</v>
      </c>
      <c r="I141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141" s="7">
        <f>Sim_Output[[#This Row],[VALUE]]/SUMIFS(Sim_Output[VALUE],Sim_Output[SIM_ID],Sim_Output[[#This Row],[SIM_ID]],Sim_Output[WEEK],Sim_Output[[#This Row],[WEEK]],Sim_Output[OUTPUT],"PRICE_0")-1</f>
        <v>-0.47619047619047616</v>
      </c>
      <c r="K141" s="4">
        <f ca="1">IF(Sim_Output[[#This Row],[OUTPUT]]="PRICE_0",0,_xlfn.RANK.EQ(Sim_Output[[#This Row],[WTD_RET]],OFFSET(Sim_Output[[#This Row],[WTD_RET]],-Sim_Output[[#This Row],[OBS]]+1,0,12)))</f>
        <v>6</v>
      </c>
      <c r="L141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-0.50483633457107935</v>
      </c>
      <c r="M141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7.8947368421052669E-2</v>
      </c>
      <c r="N141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-0.62068965517241381</v>
      </c>
    </row>
    <row r="142" spans="2:14" x14ac:dyDescent="0.25">
      <c r="B142">
        <v>2</v>
      </c>
      <c r="C142">
        <v>1</v>
      </c>
      <c r="D142">
        <f>VALUE(RIGHT(Sim_Output[[#This Row],[OUTPUT]],LEN(Sim_Output[[#This Row],[OUTPUT]])-6))</f>
        <v>8</v>
      </c>
      <c r="E142">
        <v>3</v>
      </c>
      <c r="F142" t="str">
        <f>Sim_Output[[#This Row],[SIM_ID]]&amp;" - "&amp;Sim_Output[[#This Row],[WEEK]]&amp;" - "&amp;Sim_Output[[#This Row],[REGIME]]</f>
        <v>2 - 1 - 3</v>
      </c>
      <c r="G142" t="s">
        <v>52</v>
      </c>
      <c r="H142">
        <v>160</v>
      </c>
      <c r="I142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142" s="7">
        <f>Sim_Output[[#This Row],[VALUE]]/SUMIFS(Sim_Output[VALUE],Sim_Output[SIM_ID],Sim_Output[[#This Row],[SIM_ID]],Sim_Output[WEEK],Sim_Output[[#This Row],[WEEK]],Sim_Output[OUTPUT],"PRICE_0")-1</f>
        <v>0.52380952380952372</v>
      </c>
      <c r="K142" s="4">
        <f ca="1">IF(Sim_Output[[#This Row],[OUTPUT]]="PRICE_0",0,_xlfn.RANK.EQ(Sim_Output[[#This Row],[WTD_RET]],OFFSET(Sim_Output[[#This Row],[WTD_RET]],-Sim_Output[[#This Row],[OBS]]+1,0,12)))</f>
        <v>1</v>
      </c>
      <c r="L142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2.0193453382843165</v>
      </c>
      <c r="M142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1</v>
      </c>
      <c r="N142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1.9090909090909092</v>
      </c>
    </row>
    <row r="143" spans="2:14" x14ac:dyDescent="0.25">
      <c r="B143">
        <v>2</v>
      </c>
      <c r="C143">
        <v>1</v>
      </c>
      <c r="D143">
        <f>VALUE(RIGHT(Sim_Output[[#This Row],[OUTPUT]],LEN(Sim_Output[[#This Row],[OUTPUT]])-6))</f>
        <v>9</v>
      </c>
      <c r="E143">
        <v>3</v>
      </c>
      <c r="F143" t="str">
        <f>Sim_Output[[#This Row],[SIM_ID]]&amp;" - "&amp;Sim_Output[[#This Row],[WEEK]]&amp;" - "&amp;Sim_Output[[#This Row],[REGIME]]</f>
        <v>2 - 1 - 3</v>
      </c>
      <c r="G143" t="s">
        <v>53</v>
      </c>
      <c r="H143">
        <v>54</v>
      </c>
      <c r="I143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143" s="7">
        <f>Sim_Output[[#This Row],[VALUE]]/SUMIFS(Sim_Output[VALUE],Sim_Output[SIM_ID],Sim_Output[[#This Row],[SIM_ID]],Sim_Output[WEEK],Sim_Output[[#This Row],[WEEK]],Sim_Output[OUTPUT],"PRICE_0")-1</f>
        <v>-0.48571428571428577</v>
      </c>
      <c r="K143" s="4">
        <f ca="1">IF(Sim_Output[[#This Row],[OUTPUT]]="PRICE_0",0,_xlfn.RANK.EQ(Sim_Output[[#This Row],[WTD_RET]],OFFSET(Sim_Output[[#This Row],[WTD_RET]],-Sim_Output[[#This Row],[OBS]]+1,0,12)))</f>
        <v>7</v>
      </c>
      <c r="L143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-0.52887616002684512</v>
      </c>
      <c r="M143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7.0175438596491183E-2</v>
      </c>
      <c r="N143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-0.66249999999999998</v>
      </c>
    </row>
    <row r="144" spans="2:14" x14ac:dyDescent="0.25">
      <c r="B144">
        <v>2</v>
      </c>
      <c r="C144">
        <v>1</v>
      </c>
      <c r="D144">
        <f>VALUE(RIGHT(Sim_Output[[#This Row],[OUTPUT]],LEN(Sim_Output[[#This Row],[OUTPUT]])-6))</f>
        <v>10</v>
      </c>
      <c r="E144">
        <v>3</v>
      </c>
      <c r="F144" t="str">
        <f>Sim_Output[[#This Row],[SIM_ID]]&amp;" - "&amp;Sim_Output[[#This Row],[WEEK]]&amp;" - "&amp;Sim_Output[[#This Row],[REGIME]]</f>
        <v>2 - 1 - 3</v>
      </c>
      <c r="G144" t="s">
        <v>54</v>
      </c>
      <c r="H144">
        <v>59</v>
      </c>
      <c r="I144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144" s="7">
        <f>Sim_Output[[#This Row],[VALUE]]/SUMIFS(Sim_Output[VALUE],Sim_Output[SIM_ID],Sim_Output[[#This Row],[SIM_ID]],Sim_Output[WEEK],Sim_Output[[#This Row],[WEEK]],Sim_Output[OUTPUT],"PRICE_0")-1</f>
        <v>-0.43809523809523809</v>
      </c>
      <c r="K144" s="4">
        <f ca="1">IF(Sim_Output[[#This Row],[OUTPUT]]="PRICE_0",0,_xlfn.RANK.EQ(Sim_Output[[#This Row],[WTD_RET]],OFFSET(Sim_Output[[#This Row],[WTD_RET]],-Sim_Output[[#This Row],[OBS]]+1,0,12)))</f>
        <v>4</v>
      </c>
      <c r="L144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-0.40867703274801664</v>
      </c>
      <c r="M144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0.11403508771929825</v>
      </c>
      <c r="N144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9.259259259259256E-2</v>
      </c>
    </row>
    <row r="145" spans="2:14" x14ac:dyDescent="0.25">
      <c r="B145">
        <v>2</v>
      </c>
      <c r="C145">
        <v>1</v>
      </c>
      <c r="D145">
        <f>VALUE(RIGHT(Sim_Output[[#This Row],[OUTPUT]],LEN(Sim_Output[[#This Row],[OUTPUT]])-6))</f>
        <v>11</v>
      </c>
      <c r="E145">
        <v>3</v>
      </c>
      <c r="F145" t="str">
        <f>Sim_Output[[#This Row],[SIM_ID]]&amp;" - "&amp;Sim_Output[[#This Row],[WEEK]]&amp;" - "&amp;Sim_Output[[#This Row],[REGIME]]</f>
        <v>2 - 1 - 3</v>
      </c>
      <c r="G145" t="s">
        <v>55</v>
      </c>
      <c r="H145">
        <v>54</v>
      </c>
      <c r="I145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145" s="7">
        <f>Sim_Output[[#This Row],[VALUE]]/SUMIFS(Sim_Output[VALUE],Sim_Output[SIM_ID],Sim_Output[[#This Row],[SIM_ID]],Sim_Output[WEEK],Sim_Output[[#This Row],[WEEK]],Sim_Output[OUTPUT],"PRICE_0")-1</f>
        <v>-0.48571428571428577</v>
      </c>
      <c r="K145" s="4">
        <f ca="1">IF(Sim_Output[[#This Row],[OUTPUT]]="PRICE_0",0,_xlfn.RANK.EQ(Sim_Output[[#This Row],[WTD_RET]],OFFSET(Sim_Output[[#This Row],[WTD_RET]],-Sim_Output[[#This Row],[OBS]]+1,0,12)))</f>
        <v>7</v>
      </c>
      <c r="L145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-0.52887616002684512</v>
      </c>
      <c r="M145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7.0175438596491183E-2</v>
      </c>
      <c r="N145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-8.4745762711864403E-2</v>
      </c>
    </row>
    <row r="146" spans="2:14" x14ac:dyDescent="0.25">
      <c r="B146">
        <v>2</v>
      </c>
      <c r="C146">
        <v>1</v>
      </c>
      <c r="D146">
        <f>VALUE(RIGHT(Sim_Output[[#This Row],[OUTPUT]],LEN(Sim_Output[[#This Row],[OUTPUT]])-6))</f>
        <v>12</v>
      </c>
      <c r="E146">
        <v>3</v>
      </c>
      <c r="F146" t="str">
        <f>Sim_Output[[#This Row],[SIM_ID]]&amp;" - "&amp;Sim_Output[[#This Row],[WEEK]]&amp;" - "&amp;Sim_Output[[#This Row],[REGIME]]</f>
        <v>2 - 1 - 3</v>
      </c>
      <c r="G146" t="s">
        <v>56</v>
      </c>
      <c r="H146">
        <v>51</v>
      </c>
      <c r="I146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146" s="7">
        <f>Sim_Output[[#This Row],[VALUE]]/SUMIFS(Sim_Output[VALUE],Sim_Output[SIM_ID],Sim_Output[[#This Row],[SIM_ID]],Sim_Output[WEEK],Sim_Output[[#This Row],[WEEK]],Sim_Output[OUTPUT],"PRICE_0")-1</f>
        <v>-0.51428571428571423</v>
      </c>
      <c r="K146" s="4">
        <f ca="1">IF(Sim_Output[[#This Row],[OUTPUT]]="PRICE_0",0,_xlfn.RANK.EQ(Sim_Output[[#This Row],[WTD_RET]],OFFSET(Sim_Output[[#This Row],[WTD_RET]],-Sim_Output[[#This Row],[OBS]]+1,0,12)))</f>
        <v>10</v>
      </c>
      <c r="L146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-0.600995636394142</v>
      </c>
      <c r="M146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4.3859649122807071E-2</v>
      </c>
      <c r="N146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-5.555555555555558E-2</v>
      </c>
    </row>
    <row r="147" spans="2:14" x14ac:dyDescent="0.25">
      <c r="B147">
        <v>2</v>
      </c>
      <c r="C147">
        <v>2</v>
      </c>
      <c r="D147">
        <f>VALUE(RIGHT(Sim_Output[[#This Row],[OUTPUT]],LEN(Sim_Output[[#This Row],[OUTPUT]])-6))</f>
        <v>0</v>
      </c>
      <c r="E147">
        <v>1</v>
      </c>
      <c r="F147" t="str">
        <f>Sim_Output[[#This Row],[SIM_ID]]&amp;" - "&amp;Sim_Output[[#This Row],[WEEK]]&amp;" - "&amp;Sim_Output[[#This Row],[REGIME]]</f>
        <v>2 - 2 - 1</v>
      </c>
      <c r="G147" t="s">
        <v>44</v>
      </c>
      <c r="H147">
        <v>106</v>
      </c>
      <c r="I147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147" s="7">
        <f>Sim_Output[[#This Row],[VALUE]]/SUMIFS(Sim_Output[VALUE],Sim_Output[SIM_ID],Sim_Output[[#This Row],[SIM_ID]],Sim_Output[WEEK],Sim_Output[[#This Row],[WEEK]],Sim_Output[OUTPUT],"PRICE_0")-1</f>
        <v>0</v>
      </c>
      <c r="K147" s="4">
        <f ca="1">IF(Sim_Output[[#This Row],[OUTPUT]]="PRICE_0",0,_xlfn.RANK.EQ(Sim_Output[[#This Row],[WTD_RET]],OFFSET(Sim_Output[[#This Row],[WTD_RET]],-Sim_Output[[#This Row],[OBS]]+1,0,12)))</f>
        <v>0</v>
      </c>
      <c r="L147" s="3" t="str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/>
      </c>
      <c r="M147" s="3" t="str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/>
      </c>
      <c r="N147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</v>
      </c>
    </row>
    <row r="148" spans="2:14" x14ac:dyDescent="0.25">
      <c r="B148">
        <v>2</v>
      </c>
      <c r="C148">
        <v>2</v>
      </c>
      <c r="D148">
        <f>VALUE(RIGHT(Sim_Output[[#This Row],[OUTPUT]],LEN(Sim_Output[[#This Row],[OUTPUT]])-6))</f>
        <v>1</v>
      </c>
      <c r="E148">
        <v>1</v>
      </c>
      <c r="F148" t="str">
        <f>Sim_Output[[#This Row],[SIM_ID]]&amp;" - "&amp;Sim_Output[[#This Row],[WEEK]]&amp;" - "&amp;Sim_Output[[#This Row],[REGIME]]</f>
        <v>2 - 2 - 1</v>
      </c>
      <c r="G148" t="s">
        <v>45</v>
      </c>
      <c r="H148">
        <v>91</v>
      </c>
      <c r="I148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148" s="7">
        <f>Sim_Output[[#This Row],[VALUE]]/SUMIFS(Sim_Output[VALUE],Sim_Output[SIM_ID],Sim_Output[[#This Row],[SIM_ID]],Sim_Output[WEEK],Sim_Output[[#This Row],[WEEK]],Sim_Output[OUTPUT],"PRICE_0")-1</f>
        <v>-0.14150943396226412</v>
      </c>
      <c r="K148" s="4">
        <f ca="1">IF(Sim_Output[[#This Row],[OUTPUT]]="PRICE_0",0,_xlfn.RANK.EQ(Sim_Output[[#This Row],[WTD_RET]],OFFSET(Sim_Output[[#This Row],[WTD_RET]],-Sim_Output[[#This Row],[OBS]]+1,0,12)))</f>
        <v>6</v>
      </c>
      <c r="L148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-0.41070236104148228</v>
      </c>
      <c r="M148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7.487922705314011E-2</v>
      </c>
      <c r="N148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-0.14150943396226412</v>
      </c>
    </row>
    <row r="149" spans="2:14" x14ac:dyDescent="0.25">
      <c r="B149">
        <v>2</v>
      </c>
      <c r="C149">
        <v>2</v>
      </c>
      <c r="D149">
        <f>VALUE(RIGHT(Sim_Output[[#This Row],[OUTPUT]],LEN(Sim_Output[[#This Row],[OUTPUT]])-6))</f>
        <v>2</v>
      </c>
      <c r="E149">
        <v>1</v>
      </c>
      <c r="F149" t="str">
        <f>Sim_Output[[#This Row],[SIM_ID]]&amp;" - "&amp;Sim_Output[[#This Row],[WEEK]]&amp;" - "&amp;Sim_Output[[#This Row],[REGIME]]</f>
        <v>2 - 2 - 1</v>
      </c>
      <c r="G149" t="s">
        <v>46</v>
      </c>
      <c r="H149">
        <v>86</v>
      </c>
      <c r="I149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149" s="7">
        <f>Sim_Output[[#This Row],[VALUE]]/SUMIFS(Sim_Output[VALUE],Sim_Output[SIM_ID],Sim_Output[[#This Row],[SIM_ID]],Sim_Output[WEEK],Sim_Output[[#This Row],[WEEK]],Sim_Output[OUTPUT],"PRICE_0")-1</f>
        <v>-0.18867924528301883</v>
      </c>
      <c r="K149" s="4">
        <f ca="1">IF(Sim_Output[[#This Row],[OUTPUT]]="PRICE_0",0,_xlfn.RANK.EQ(Sim_Output[[#This Row],[WTD_RET]],OFFSET(Sim_Output[[#This Row],[WTD_RET]],-Sim_Output[[#This Row],[OBS]]+1,0,12)))</f>
        <v>9</v>
      </c>
      <c r="L149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-0.45355825958494128</v>
      </c>
      <c r="M149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6.2801932367149774E-2</v>
      </c>
      <c r="N149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-5.4945054945054972E-2</v>
      </c>
    </row>
    <row r="150" spans="2:14" x14ac:dyDescent="0.25">
      <c r="B150">
        <v>2</v>
      </c>
      <c r="C150">
        <v>2</v>
      </c>
      <c r="D150">
        <f>VALUE(RIGHT(Sim_Output[[#This Row],[OUTPUT]],LEN(Sim_Output[[#This Row],[OUTPUT]])-6))</f>
        <v>3</v>
      </c>
      <c r="E150">
        <v>1</v>
      </c>
      <c r="F150" t="str">
        <f>Sim_Output[[#This Row],[SIM_ID]]&amp;" - "&amp;Sim_Output[[#This Row],[WEEK]]&amp;" - "&amp;Sim_Output[[#This Row],[REGIME]]</f>
        <v>2 - 2 - 1</v>
      </c>
      <c r="G150" t="s">
        <v>47</v>
      </c>
      <c r="H150">
        <v>115</v>
      </c>
      <c r="I150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150" s="7">
        <f>Sim_Output[[#This Row],[VALUE]]/SUMIFS(Sim_Output[VALUE],Sim_Output[SIM_ID],Sim_Output[[#This Row],[SIM_ID]],Sim_Output[WEEK],Sim_Output[[#This Row],[WEEK]],Sim_Output[OUTPUT],"PRICE_0")-1</f>
        <v>8.4905660377358583E-2</v>
      </c>
      <c r="K150" s="4">
        <f ca="1">IF(Sim_Output[[#This Row],[OUTPUT]]="PRICE_0",0,_xlfn.RANK.EQ(Sim_Output[[#This Row],[WTD_RET]],OFFSET(Sim_Output[[#This Row],[WTD_RET]],-Sim_Output[[#This Row],[OBS]]+1,0,12)))</f>
        <v>4</v>
      </c>
      <c r="L150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-0.20499404803287893</v>
      </c>
      <c r="M150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0.13285024154589373</v>
      </c>
      <c r="N150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0.33720930232558133</v>
      </c>
    </row>
    <row r="151" spans="2:14" x14ac:dyDescent="0.25">
      <c r="B151">
        <v>2</v>
      </c>
      <c r="C151">
        <v>2</v>
      </c>
      <c r="D151">
        <f>VALUE(RIGHT(Sim_Output[[#This Row],[OUTPUT]],LEN(Sim_Output[[#This Row],[OUTPUT]])-6))</f>
        <v>4</v>
      </c>
      <c r="E151">
        <v>1</v>
      </c>
      <c r="F151" t="str">
        <f>Sim_Output[[#This Row],[SIM_ID]]&amp;" - "&amp;Sim_Output[[#This Row],[WEEK]]&amp;" - "&amp;Sim_Output[[#This Row],[REGIME]]</f>
        <v>2 - 2 - 1</v>
      </c>
      <c r="G151" t="s">
        <v>48</v>
      </c>
      <c r="H151">
        <v>209</v>
      </c>
      <c r="I151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151" s="7">
        <f>Sim_Output[[#This Row],[VALUE]]/SUMIFS(Sim_Output[VALUE],Sim_Output[SIM_ID],Sim_Output[[#This Row],[SIM_ID]],Sim_Output[WEEK],Sim_Output[[#This Row],[WEEK]],Sim_Output[OUTPUT],"PRICE_0")-1</f>
        <v>0.97169811320754707</v>
      </c>
      <c r="K151" s="4">
        <f ca="1">IF(Sim_Output[[#This Row],[OUTPUT]]="PRICE_0",0,_xlfn.RANK.EQ(Sim_Output[[#This Row],[WTD_RET]],OFFSET(Sim_Output[[#This Row],[WTD_RET]],-Sim_Output[[#This Row],[OBS]]+1,0,12)))</f>
        <v>2</v>
      </c>
      <c r="L151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0.6006968445841504</v>
      </c>
      <c r="M151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0.35990338164251201</v>
      </c>
      <c r="N151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0.81739130434782603</v>
      </c>
    </row>
    <row r="152" spans="2:14" x14ac:dyDescent="0.25">
      <c r="B152">
        <v>2</v>
      </c>
      <c r="C152">
        <v>2</v>
      </c>
      <c r="D152">
        <f>VALUE(RIGHT(Sim_Output[[#This Row],[OUTPUT]],LEN(Sim_Output[[#This Row],[OUTPUT]])-6))</f>
        <v>5</v>
      </c>
      <c r="E152">
        <v>1</v>
      </c>
      <c r="F152" t="str">
        <f>Sim_Output[[#This Row],[SIM_ID]]&amp;" - "&amp;Sim_Output[[#This Row],[WEEK]]&amp;" - "&amp;Sim_Output[[#This Row],[REGIME]]</f>
        <v>2 - 2 - 1</v>
      </c>
      <c r="G152" t="s">
        <v>49</v>
      </c>
      <c r="H152">
        <v>474</v>
      </c>
      <c r="I152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152" s="7">
        <f>Sim_Output[[#This Row],[VALUE]]/SUMIFS(Sim_Output[VALUE],Sim_Output[SIM_ID],Sim_Output[[#This Row],[SIM_ID]],Sim_Output[WEEK],Sim_Output[[#This Row],[WEEK]],Sim_Output[OUTPUT],"PRICE_0")-1</f>
        <v>3.4716981132075473</v>
      </c>
      <c r="K152" s="4">
        <f ca="1">IF(Sim_Output[[#This Row],[OUTPUT]]="PRICE_0",0,_xlfn.RANK.EQ(Sim_Output[[#This Row],[WTD_RET]],OFFSET(Sim_Output[[#This Row],[WTD_RET]],-Sim_Output[[#This Row],[OBS]]+1,0,12)))</f>
        <v>1</v>
      </c>
      <c r="L152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2.8720594673874786</v>
      </c>
      <c r="M152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1</v>
      </c>
      <c r="N152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1.2679425837320575</v>
      </c>
    </row>
    <row r="153" spans="2:14" x14ac:dyDescent="0.25">
      <c r="B153">
        <v>2</v>
      </c>
      <c r="C153">
        <v>2</v>
      </c>
      <c r="D153">
        <f>VALUE(RIGHT(Sim_Output[[#This Row],[OUTPUT]],LEN(Sim_Output[[#This Row],[OUTPUT]])-6))</f>
        <v>6</v>
      </c>
      <c r="E153">
        <v>1</v>
      </c>
      <c r="F153" t="str">
        <f>Sim_Output[[#This Row],[SIM_ID]]&amp;" - "&amp;Sim_Output[[#This Row],[WEEK]]&amp;" - "&amp;Sim_Output[[#This Row],[REGIME]]</f>
        <v>2 - 2 - 1</v>
      </c>
      <c r="G153" t="s">
        <v>50</v>
      </c>
      <c r="H153">
        <v>206</v>
      </c>
      <c r="I153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153" s="7">
        <f>Sim_Output[[#This Row],[VALUE]]/SUMIFS(Sim_Output[VALUE],Sim_Output[SIM_ID],Sim_Output[[#This Row],[SIM_ID]],Sim_Output[WEEK],Sim_Output[[#This Row],[WEEK]],Sim_Output[OUTPUT],"PRICE_0")-1</f>
        <v>0.94339622641509435</v>
      </c>
      <c r="K153" s="4">
        <f ca="1">IF(Sim_Output[[#This Row],[OUTPUT]]="PRICE_0",0,_xlfn.RANK.EQ(Sim_Output[[#This Row],[WTD_RET]],OFFSET(Sim_Output[[#This Row],[WTD_RET]],-Sim_Output[[#This Row],[OBS]]+1,0,12)))</f>
        <v>3</v>
      </c>
      <c r="L153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0.57498330545807508</v>
      </c>
      <c r="M153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0.35265700483091783</v>
      </c>
      <c r="N153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-0.56540084388185652</v>
      </c>
    </row>
    <row r="154" spans="2:14" x14ac:dyDescent="0.25">
      <c r="B154">
        <v>2</v>
      </c>
      <c r="C154">
        <v>2</v>
      </c>
      <c r="D154">
        <f>VALUE(RIGHT(Sim_Output[[#This Row],[OUTPUT]],LEN(Sim_Output[[#This Row],[OUTPUT]])-6))</f>
        <v>7</v>
      </c>
      <c r="E154">
        <v>1</v>
      </c>
      <c r="F154" t="str">
        <f>Sim_Output[[#This Row],[SIM_ID]]&amp;" - "&amp;Sim_Output[[#This Row],[WEEK]]&amp;" - "&amp;Sim_Output[[#This Row],[REGIME]]</f>
        <v>2 - 2 - 1</v>
      </c>
      <c r="G154" t="s">
        <v>51</v>
      </c>
      <c r="H154">
        <v>115</v>
      </c>
      <c r="I154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154" s="7">
        <f>Sim_Output[[#This Row],[VALUE]]/SUMIFS(Sim_Output[VALUE],Sim_Output[SIM_ID],Sim_Output[[#This Row],[SIM_ID]],Sim_Output[WEEK],Sim_Output[[#This Row],[WEEK]],Sim_Output[OUTPUT],"PRICE_0")-1</f>
        <v>8.4905660377358583E-2</v>
      </c>
      <c r="K154" s="4">
        <f ca="1">IF(Sim_Output[[#This Row],[OUTPUT]]="PRICE_0",0,_xlfn.RANK.EQ(Sim_Output[[#This Row],[WTD_RET]],OFFSET(Sim_Output[[#This Row],[WTD_RET]],-Sim_Output[[#This Row],[OBS]]+1,0,12)))</f>
        <v>4</v>
      </c>
      <c r="L154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-0.20499404803287893</v>
      </c>
      <c r="M154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0.13285024154589373</v>
      </c>
      <c r="N154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-0.44174757281553401</v>
      </c>
    </row>
    <row r="155" spans="2:14" x14ac:dyDescent="0.25">
      <c r="B155">
        <v>2</v>
      </c>
      <c r="C155">
        <v>2</v>
      </c>
      <c r="D155">
        <f>VALUE(RIGHT(Sim_Output[[#This Row],[OUTPUT]],LEN(Sim_Output[[#This Row],[OUTPUT]])-6))</f>
        <v>8</v>
      </c>
      <c r="E155">
        <v>1</v>
      </c>
      <c r="F155" t="str">
        <f>Sim_Output[[#This Row],[SIM_ID]]&amp;" - "&amp;Sim_Output[[#This Row],[WEEK]]&amp;" - "&amp;Sim_Output[[#This Row],[REGIME]]</f>
        <v>2 - 2 - 1</v>
      </c>
      <c r="G155" t="s">
        <v>52</v>
      </c>
      <c r="H155">
        <v>60</v>
      </c>
      <c r="I155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155" s="7">
        <f>Sim_Output[[#This Row],[VALUE]]/SUMIFS(Sim_Output[VALUE],Sim_Output[SIM_ID],Sim_Output[[#This Row],[SIM_ID]],Sim_Output[WEEK],Sim_Output[[#This Row],[WEEK]],Sim_Output[OUTPUT],"PRICE_0")-1</f>
        <v>-0.43396226415094341</v>
      </c>
      <c r="K155" s="4">
        <f ca="1">IF(Sim_Output[[#This Row],[OUTPUT]]="PRICE_0",0,_xlfn.RANK.EQ(Sim_Output[[#This Row],[WTD_RET]],OFFSET(Sim_Output[[#This Row],[WTD_RET]],-Sim_Output[[#This Row],[OBS]]+1,0,12)))</f>
        <v>12</v>
      </c>
      <c r="L155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-0.67640893201092822</v>
      </c>
      <c r="M155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</v>
      </c>
      <c r="N155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-0.47826086956521741</v>
      </c>
    </row>
    <row r="156" spans="2:14" x14ac:dyDescent="0.25">
      <c r="B156">
        <v>2</v>
      </c>
      <c r="C156">
        <v>2</v>
      </c>
      <c r="D156">
        <f>VALUE(RIGHT(Sim_Output[[#This Row],[OUTPUT]],LEN(Sim_Output[[#This Row],[OUTPUT]])-6))</f>
        <v>9</v>
      </c>
      <c r="E156">
        <v>1</v>
      </c>
      <c r="F156" t="str">
        <f>Sim_Output[[#This Row],[SIM_ID]]&amp;" - "&amp;Sim_Output[[#This Row],[WEEK]]&amp;" - "&amp;Sim_Output[[#This Row],[REGIME]]</f>
        <v>2 - 2 - 1</v>
      </c>
      <c r="G156" t="s">
        <v>53</v>
      </c>
      <c r="H156">
        <v>90</v>
      </c>
      <c r="I156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156" s="7">
        <f>Sim_Output[[#This Row],[VALUE]]/SUMIFS(Sim_Output[VALUE],Sim_Output[SIM_ID],Sim_Output[[#This Row],[SIM_ID]],Sim_Output[WEEK],Sim_Output[[#This Row],[WEEK]],Sim_Output[OUTPUT],"PRICE_0")-1</f>
        <v>-0.15094339622641506</v>
      </c>
      <c r="K156" s="4">
        <f ca="1">IF(Sim_Output[[#This Row],[OUTPUT]]="PRICE_0",0,_xlfn.RANK.EQ(Sim_Output[[#This Row],[WTD_RET]],OFFSET(Sim_Output[[#This Row],[WTD_RET]],-Sim_Output[[#This Row],[OBS]]+1,0,12)))</f>
        <v>7</v>
      </c>
      <c r="L156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-0.41927354075017409</v>
      </c>
      <c r="M156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7.2463768115942032E-2</v>
      </c>
      <c r="N156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0.5</v>
      </c>
    </row>
    <row r="157" spans="2:14" x14ac:dyDescent="0.25">
      <c r="B157">
        <v>2</v>
      </c>
      <c r="C157">
        <v>2</v>
      </c>
      <c r="D157">
        <f>VALUE(RIGHT(Sim_Output[[#This Row],[OUTPUT]],LEN(Sim_Output[[#This Row],[OUTPUT]])-6))</f>
        <v>10</v>
      </c>
      <c r="E157">
        <v>1</v>
      </c>
      <c r="F157" t="str">
        <f>Sim_Output[[#This Row],[SIM_ID]]&amp;" - "&amp;Sim_Output[[#This Row],[WEEK]]&amp;" - "&amp;Sim_Output[[#This Row],[REGIME]]</f>
        <v>2 - 2 - 1</v>
      </c>
      <c r="G157" t="s">
        <v>54</v>
      </c>
      <c r="H157">
        <v>90</v>
      </c>
      <c r="I157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157" s="7">
        <f>Sim_Output[[#This Row],[VALUE]]/SUMIFS(Sim_Output[VALUE],Sim_Output[SIM_ID],Sim_Output[[#This Row],[SIM_ID]],Sim_Output[WEEK],Sim_Output[[#This Row],[WEEK]],Sim_Output[OUTPUT],"PRICE_0")-1</f>
        <v>-0.15094339622641506</v>
      </c>
      <c r="K157" s="4">
        <f ca="1">IF(Sim_Output[[#This Row],[OUTPUT]]="PRICE_0",0,_xlfn.RANK.EQ(Sim_Output[[#This Row],[WTD_RET]],OFFSET(Sim_Output[[#This Row],[WTD_RET]],-Sim_Output[[#This Row],[OBS]]+1,0,12)))</f>
        <v>7</v>
      </c>
      <c r="L157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-0.41927354075017409</v>
      </c>
      <c r="M157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7.2463768115942032E-2</v>
      </c>
      <c r="N157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</v>
      </c>
    </row>
    <row r="158" spans="2:14" x14ac:dyDescent="0.25">
      <c r="B158">
        <v>2</v>
      </c>
      <c r="C158">
        <v>2</v>
      </c>
      <c r="D158">
        <f>VALUE(RIGHT(Sim_Output[[#This Row],[OUTPUT]],LEN(Sim_Output[[#This Row],[OUTPUT]])-6))</f>
        <v>11</v>
      </c>
      <c r="E158">
        <v>1</v>
      </c>
      <c r="F158" t="str">
        <f>Sim_Output[[#This Row],[SIM_ID]]&amp;" - "&amp;Sim_Output[[#This Row],[WEEK]]&amp;" - "&amp;Sim_Output[[#This Row],[REGIME]]</f>
        <v>2 - 2 - 1</v>
      </c>
      <c r="G158" t="s">
        <v>55</v>
      </c>
      <c r="H158">
        <v>67</v>
      </c>
      <c r="I158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158" s="7">
        <f>Sim_Output[[#This Row],[VALUE]]/SUMIFS(Sim_Output[VALUE],Sim_Output[SIM_ID],Sim_Output[[#This Row],[SIM_ID]],Sim_Output[WEEK],Sim_Output[[#This Row],[WEEK]],Sim_Output[OUTPUT],"PRICE_0")-1</f>
        <v>-0.36792452830188682</v>
      </c>
      <c r="K158" s="4">
        <f ca="1">IF(Sim_Output[[#This Row],[OUTPUT]]="PRICE_0",0,_xlfn.RANK.EQ(Sim_Output[[#This Row],[WTD_RET]],OFFSET(Sim_Output[[#This Row],[WTD_RET]],-Sim_Output[[#This Row],[OBS]]+1,0,12)))</f>
        <v>10</v>
      </c>
      <c r="L158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-0.61641067405008565</v>
      </c>
      <c r="M158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1.6908212560386469E-2</v>
      </c>
      <c r="N158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-0.25555555555555554</v>
      </c>
    </row>
    <row r="159" spans="2:14" x14ac:dyDescent="0.25">
      <c r="B159">
        <v>2</v>
      </c>
      <c r="C159">
        <v>2</v>
      </c>
      <c r="D159">
        <f>VALUE(RIGHT(Sim_Output[[#This Row],[OUTPUT]],LEN(Sim_Output[[#This Row],[OUTPUT]])-6))</f>
        <v>12</v>
      </c>
      <c r="E159">
        <v>1</v>
      </c>
      <c r="F159" t="str">
        <f>Sim_Output[[#This Row],[SIM_ID]]&amp;" - "&amp;Sim_Output[[#This Row],[WEEK]]&amp;" - "&amp;Sim_Output[[#This Row],[REGIME]]</f>
        <v>2 - 2 - 1</v>
      </c>
      <c r="G159" t="s">
        <v>56</v>
      </c>
      <c r="H159">
        <v>64</v>
      </c>
      <c r="I159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159" s="7">
        <f>Sim_Output[[#This Row],[VALUE]]/SUMIFS(Sim_Output[VALUE],Sim_Output[SIM_ID],Sim_Output[[#This Row],[SIM_ID]],Sim_Output[WEEK],Sim_Output[[#This Row],[WEEK]],Sim_Output[OUTPUT],"PRICE_0")-1</f>
        <v>-0.39622641509433965</v>
      </c>
      <c r="K159" s="4">
        <f ca="1">IF(Sim_Output[[#This Row],[OUTPUT]]="PRICE_0",0,_xlfn.RANK.EQ(Sim_Output[[#This Row],[WTD_RET]],OFFSET(Sim_Output[[#This Row],[WTD_RET]],-Sim_Output[[#This Row],[OBS]]+1,0,12)))</f>
        <v>11</v>
      </c>
      <c r="L159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-0.64212421317616097</v>
      </c>
      <c r="M159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9.6618357487922683E-3</v>
      </c>
      <c r="N159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-4.4776119402985093E-2</v>
      </c>
    </row>
    <row r="160" spans="2:14" x14ac:dyDescent="0.25">
      <c r="B160">
        <v>2</v>
      </c>
      <c r="C160">
        <v>3</v>
      </c>
      <c r="D160">
        <f>VALUE(RIGHT(Sim_Output[[#This Row],[OUTPUT]],LEN(Sim_Output[[#This Row],[OUTPUT]])-6))</f>
        <v>0</v>
      </c>
      <c r="E160">
        <v>0</v>
      </c>
      <c r="F160" t="str">
        <f>Sim_Output[[#This Row],[SIM_ID]]&amp;" - "&amp;Sim_Output[[#This Row],[WEEK]]&amp;" - "&amp;Sim_Output[[#This Row],[REGIME]]</f>
        <v>2 - 3 - 0</v>
      </c>
      <c r="G160" t="s">
        <v>44</v>
      </c>
      <c r="H160">
        <v>102</v>
      </c>
      <c r="I160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160" s="7">
        <f>Sim_Output[[#This Row],[VALUE]]/SUMIFS(Sim_Output[VALUE],Sim_Output[SIM_ID],Sim_Output[[#This Row],[SIM_ID]],Sim_Output[WEEK],Sim_Output[[#This Row],[WEEK]],Sim_Output[OUTPUT],"PRICE_0")-1</f>
        <v>0</v>
      </c>
      <c r="K160" s="4">
        <f ca="1">IF(Sim_Output[[#This Row],[OUTPUT]]="PRICE_0",0,_xlfn.RANK.EQ(Sim_Output[[#This Row],[WTD_RET]],OFFSET(Sim_Output[[#This Row],[WTD_RET]],-Sim_Output[[#This Row],[OBS]]+1,0,12)))</f>
        <v>0</v>
      </c>
      <c r="L160" s="3" t="str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/>
      </c>
      <c r="M160" s="3" t="str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/>
      </c>
      <c r="N160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</v>
      </c>
    </row>
    <row r="161" spans="2:14" x14ac:dyDescent="0.25">
      <c r="B161">
        <v>2</v>
      </c>
      <c r="C161">
        <v>3</v>
      </c>
      <c r="D161">
        <f>VALUE(RIGHT(Sim_Output[[#This Row],[OUTPUT]],LEN(Sim_Output[[#This Row],[OUTPUT]])-6))</f>
        <v>1</v>
      </c>
      <c r="E161">
        <v>0</v>
      </c>
      <c r="F161" t="str">
        <f>Sim_Output[[#This Row],[SIM_ID]]&amp;" - "&amp;Sim_Output[[#This Row],[WEEK]]&amp;" - "&amp;Sim_Output[[#This Row],[REGIME]]</f>
        <v>2 - 3 - 0</v>
      </c>
      <c r="G161" t="s">
        <v>45</v>
      </c>
      <c r="H161">
        <v>123</v>
      </c>
      <c r="I161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161" s="7">
        <f>Sim_Output[[#This Row],[VALUE]]/SUMIFS(Sim_Output[VALUE],Sim_Output[SIM_ID],Sim_Output[[#This Row],[SIM_ID]],Sim_Output[WEEK],Sim_Output[[#This Row],[WEEK]],Sim_Output[OUTPUT],"PRICE_0")-1</f>
        <v>0.20588235294117641</v>
      </c>
      <c r="K161" s="4">
        <f ca="1">IF(Sim_Output[[#This Row],[OUTPUT]]="PRICE_0",0,_xlfn.RANK.EQ(Sim_Output[[#This Row],[WTD_RET]],OFFSET(Sim_Output[[#This Row],[WTD_RET]],-Sim_Output[[#This Row],[OBS]]+1,0,12)))</f>
        <v>3</v>
      </c>
      <c r="L161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0.93687799436012131</v>
      </c>
      <c r="M161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0.85185185185185186</v>
      </c>
      <c r="N161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0.20588235294117641</v>
      </c>
    </row>
    <row r="162" spans="2:14" x14ac:dyDescent="0.25">
      <c r="B162">
        <v>2</v>
      </c>
      <c r="C162">
        <v>3</v>
      </c>
      <c r="D162">
        <f>VALUE(RIGHT(Sim_Output[[#This Row],[OUTPUT]],LEN(Sim_Output[[#This Row],[OUTPUT]])-6))</f>
        <v>2</v>
      </c>
      <c r="E162">
        <v>0</v>
      </c>
      <c r="F162" t="str">
        <f>Sim_Output[[#This Row],[SIM_ID]]&amp;" - "&amp;Sim_Output[[#This Row],[WEEK]]&amp;" - "&amp;Sim_Output[[#This Row],[REGIME]]</f>
        <v>2 - 3 - 0</v>
      </c>
      <c r="G162" t="s">
        <v>46</v>
      </c>
      <c r="H162">
        <v>104</v>
      </c>
      <c r="I162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162" s="7">
        <f>Sim_Output[[#This Row],[VALUE]]/SUMIFS(Sim_Output[VALUE],Sim_Output[SIM_ID],Sim_Output[[#This Row],[SIM_ID]],Sim_Output[WEEK],Sim_Output[[#This Row],[WEEK]],Sim_Output[OUTPUT],"PRICE_0")-1</f>
        <v>1.9607843137254832E-2</v>
      </c>
      <c r="K162" s="4">
        <f ca="1">IF(Sim_Output[[#This Row],[OUTPUT]]="PRICE_0",0,_xlfn.RANK.EQ(Sim_Output[[#This Row],[WTD_RET]],OFFSET(Sim_Output[[#This Row],[WTD_RET]],-Sim_Output[[#This Row],[OBS]]+1,0,12)))</f>
        <v>7</v>
      </c>
      <c r="L162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0.3159239748423664</v>
      </c>
      <c r="M162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0.61728395061728392</v>
      </c>
      <c r="N162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-0.15447154471544711</v>
      </c>
    </row>
    <row r="163" spans="2:14" x14ac:dyDescent="0.25">
      <c r="B163">
        <v>2</v>
      </c>
      <c r="C163">
        <v>3</v>
      </c>
      <c r="D163">
        <f>VALUE(RIGHT(Sim_Output[[#This Row],[OUTPUT]],LEN(Sim_Output[[#This Row],[OUTPUT]])-6))</f>
        <v>3</v>
      </c>
      <c r="E163">
        <v>0</v>
      </c>
      <c r="F163" t="str">
        <f>Sim_Output[[#This Row],[SIM_ID]]&amp;" - "&amp;Sim_Output[[#This Row],[WEEK]]&amp;" - "&amp;Sim_Output[[#This Row],[REGIME]]</f>
        <v>2 - 3 - 0</v>
      </c>
      <c r="G163" t="s">
        <v>47</v>
      </c>
      <c r="H163">
        <v>113</v>
      </c>
      <c r="I163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163" s="7">
        <f>Sim_Output[[#This Row],[VALUE]]/SUMIFS(Sim_Output[VALUE],Sim_Output[SIM_ID],Sim_Output[[#This Row],[SIM_ID]],Sim_Output[WEEK],Sim_Output[[#This Row],[WEEK]],Sim_Output[OUTPUT],"PRICE_0")-1</f>
        <v>0.10784313725490202</v>
      </c>
      <c r="K163" s="4">
        <f ca="1">IF(Sim_Output[[#This Row],[OUTPUT]]="PRICE_0",0,_xlfn.RANK.EQ(Sim_Output[[#This Row],[WTD_RET]],OFFSET(Sim_Output[[#This Row],[WTD_RET]],-Sim_Output[[#This Row],[OBS]]+1,0,12)))</f>
        <v>5</v>
      </c>
      <c r="L163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0.61006008935077705</v>
      </c>
      <c r="M163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0.72839506172839519</v>
      </c>
      <c r="N163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8.6538461538461453E-2</v>
      </c>
    </row>
    <row r="164" spans="2:14" x14ac:dyDescent="0.25">
      <c r="B164">
        <v>2</v>
      </c>
      <c r="C164">
        <v>3</v>
      </c>
      <c r="D164">
        <f>VALUE(RIGHT(Sim_Output[[#This Row],[OUTPUT]],LEN(Sim_Output[[#This Row],[OUTPUT]])-6))</f>
        <v>4</v>
      </c>
      <c r="E164">
        <v>0</v>
      </c>
      <c r="F164" t="str">
        <f>Sim_Output[[#This Row],[SIM_ID]]&amp;" - "&amp;Sim_Output[[#This Row],[WEEK]]&amp;" - "&amp;Sim_Output[[#This Row],[REGIME]]</f>
        <v>2 - 3 - 0</v>
      </c>
      <c r="G164" t="s">
        <v>48</v>
      </c>
      <c r="H164">
        <v>135</v>
      </c>
      <c r="I164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164" s="7">
        <f>Sim_Output[[#This Row],[VALUE]]/SUMIFS(Sim_Output[VALUE],Sim_Output[SIM_ID],Sim_Output[[#This Row],[SIM_ID]],Sim_Output[WEEK],Sim_Output[[#This Row],[WEEK]],Sim_Output[OUTPUT],"PRICE_0")-1</f>
        <v>0.32352941176470584</v>
      </c>
      <c r="K164" s="4">
        <f ca="1">IF(Sim_Output[[#This Row],[OUTPUT]]="PRICE_0",0,_xlfn.RANK.EQ(Sim_Output[[#This Row],[WTD_RET]],OFFSET(Sim_Output[[#This Row],[WTD_RET]],-Sim_Output[[#This Row],[OBS]]+1,0,12)))</f>
        <v>1</v>
      </c>
      <c r="L164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1.3290594803713351</v>
      </c>
      <c r="M164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1</v>
      </c>
      <c r="N164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0.19469026548672574</v>
      </c>
    </row>
    <row r="165" spans="2:14" x14ac:dyDescent="0.25">
      <c r="B165">
        <v>2</v>
      </c>
      <c r="C165">
        <v>3</v>
      </c>
      <c r="D165">
        <f>VALUE(RIGHT(Sim_Output[[#This Row],[OUTPUT]],LEN(Sim_Output[[#This Row],[OUTPUT]])-6))</f>
        <v>5</v>
      </c>
      <c r="E165">
        <v>0</v>
      </c>
      <c r="F165" t="str">
        <f>Sim_Output[[#This Row],[SIM_ID]]&amp;" - "&amp;Sim_Output[[#This Row],[WEEK]]&amp;" - "&amp;Sim_Output[[#This Row],[REGIME]]</f>
        <v>2 - 3 - 0</v>
      </c>
      <c r="G165" t="s">
        <v>49</v>
      </c>
      <c r="H165">
        <v>116</v>
      </c>
      <c r="I165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165" s="7">
        <f>Sim_Output[[#This Row],[VALUE]]/SUMIFS(Sim_Output[VALUE],Sim_Output[SIM_ID],Sim_Output[[#This Row],[SIM_ID]],Sim_Output[WEEK],Sim_Output[[#This Row],[WEEK]],Sim_Output[OUTPUT],"PRICE_0")-1</f>
        <v>0.13725490196078427</v>
      </c>
      <c r="K165" s="4">
        <f ca="1">IF(Sim_Output[[#This Row],[OUTPUT]]="PRICE_0",0,_xlfn.RANK.EQ(Sim_Output[[#This Row],[WTD_RET]],OFFSET(Sim_Output[[#This Row],[WTD_RET]],-Sim_Output[[#This Row],[OBS]]+1,0,12)))</f>
        <v>4</v>
      </c>
      <c r="L165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0.70810546085358017</v>
      </c>
      <c r="M165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0.76543209876543206</v>
      </c>
      <c r="N165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-0.14074074074074072</v>
      </c>
    </row>
    <row r="166" spans="2:14" x14ac:dyDescent="0.25">
      <c r="B166">
        <v>2</v>
      </c>
      <c r="C166">
        <v>3</v>
      </c>
      <c r="D166">
        <f>VALUE(RIGHT(Sim_Output[[#This Row],[OUTPUT]],LEN(Sim_Output[[#This Row],[OUTPUT]])-6))</f>
        <v>6</v>
      </c>
      <c r="E166">
        <v>0</v>
      </c>
      <c r="F166" t="str">
        <f>Sim_Output[[#This Row],[SIM_ID]]&amp;" - "&amp;Sim_Output[[#This Row],[WEEK]]&amp;" - "&amp;Sim_Output[[#This Row],[REGIME]]</f>
        <v>2 - 3 - 0</v>
      </c>
      <c r="G166" t="s">
        <v>50</v>
      </c>
      <c r="H166">
        <v>67</v>
      </c>
      <c r="I166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166" s="7">
        <f>Sim_Output[[#This Row],[VALUE]]/SUMIFS(Sim_Output[VALUE],Sim_Output[SIM_ID],Sim_Output[[#This Row],[SIM_ID]],Sim_Output[WEEK],Sim_Output[[#This Row],[WEEK]],Sim_Output[OUTPUT],"PRICE_0")-1</f>
        <v>-0.34313725490196079</v>
      </c>
      <c r="K166" s="4">
        <f ca="1">IF(Sim_Output[[#This Row],[OUTPUT]]="PRICE_0",0,_xlfn.RANK.EQ(Sim_Output[[#This Row],[WTD_RET]],OFFSET(Sim_Output[[#This Row],[WTD_RET]],-Sim_Output[[#This Row],[OBS]]+1,0,12)))</f>
        <v>8</v>
      </c>
      <c r="L166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-0.89330227369220883</v>
      </c>
      <c r="M166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0.16049382716049382</v>
      </c>
      <c r="N166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-0.42241379310344829</v>
      </c>
    </row>
    <row r="167" spans="2:14" x14ac:dyDescent="0.25">
      <c r="B167">
        <v>2</v>
      </c>
      <c r="C167">
        <v>3</v>
      </c>
      <c r="D167">
        <f>VALUE(RIGHT(Sim_Output[[#This Row],[OUTPUT]],LEN(Sim_Output[[#This Row],[OUTPUT]])-6))</f>
        <v>7</v>
      </c>
      <c r="E167">
        <v>0</v>
      </c>
      <c r="F167" t="str">
        <f>Sim_Output[[#This Row],[SIM_ID]]&amp;" - "&amp;Sim_Output[[#This Row],[WEEK]]&amp;" - "&amp;Sim_Output[[#This Row],[REGIME]]</f>
        <v>2 - 3 - 0</v>
      </c>
      <c r="G167" t="s">
        <v>51</v>
      </c>
      <c r="H167">
        <v>60</v>
      </c>
      <c r="I167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167" s="7">
        <f>Sim_Output[[#This Row],[VALUE]]/SUMIFS(Sim_Output[VALUE],Sim_Output[SIM_ID],Sim_Output[[#This Row],[SIM_ID]],Sim_Output[WEEK],Sim_Output[[#This Row],[WEEK]],Sim_Output[OUTPUT],"PRICE_0")-1</f>
        <v>-0.41176470588235292</v>
      </c>
      <c r="K167" s="4">
        <f ca="1">IF(Sim_Output[[#This Row],[OUTPUT]]="PRICE_0",0,_xlfn.RANK.EQ(Sim_Output[[#This Row],[WTD_RET]],OFFSET(Sim_Output[[#This Row],[WTD_RET]],-Sim_Output[[#This Row],[OBS]]+1,0,12)))</f>
        <v>10</v>
      </c>
      <c r="L167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-1.1220748071987501</v>
      </c>
      <c r="M167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7.4074074074074098E-2</v>
      </c>
      <c r="N167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-0.10447761194029848</v>
      </c>
    </row>
    <row r="168" spans="2:14" x14ac:dyDescent="0.25">
      <c r="B168">
        <v>2</v>
      </c>
      <c r="C168">
        <v>3</v>
      </c>
      <c r="D168">
        <f>VALUE(RIGHT(Sim_Output[[#This Row],[OUTPUT]],LEN(Sim_Output[[#This Row],[OUTPUT]])-6))</f>
        <v>8</v>
      </c>
      <c r="E168">
        <v>0</v>
      </c>
      <c r="F168" t="str">
        <f>Sim_Output[[#This Row],[SIM_ID]]&amp;" - "&amp;Sim_Output[[#This Row],[WEEK]]&amp;" - "&amp;Sim_Output[[#This Row],[REGIME]]</f>
        <v>2 - 3 - 0</v>
      </c>
      <c r="G168" t="s">
        <v>52</v>
      </c>
      <c r="H168">
        <v>54</v>
      </c>
      <c r="I168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168" s="7">
        <f>Sim_Output[[#This Row],[VALUE]]/SUMIFS(Sim_Output[VALUE],Sim_Output[SIM_ID],Sim_Output[[#This Row],[SIM_ID]],Sim_Output[WEEK],Sim_Output[[#This Row],[WEEK]],Sim_Output[OUTPUT],"PRICE_0")-1</f>
        <v>-0.47058823529411764</v>
      </c>
      <c r="K168" s="4">
        <f ca="1">IF(Sim_Output[[#This Row],[OUTPUT]]="PRICE_0",0,_xlfn.RANK.EQ(Sim_Output[[#This Row],[WTD_RET]],OFFSET(Sim_Output[[#This Row],[WTD_RET]],-Sim_Output[[#This Row],[OBS]]+1,0,12)))</f>
        <v>12</v>
      </c>
      <c r="L168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-1.318165550204357</v>
      </c>
      <c r="M168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</v>
      </c>
      <c r="N168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-9.9999999999999978E-2</v>
      </c>
    </row>
    <row r="169" spans="2:14" x14ac:dyDescent="0.25">
      <c r="B169">
        <v>2</v>
      </c>
      <c r="C169">
        <v>3</v>
      </c>
      <c r="D169">
        <f>VALUE(RIGHT(Sim_Output[[#This Row],[OUTPUT]],LEN(Sim_Output[[#This Row],[OUTPUT]])-6))</f>
        <v>9</v>
      </c>
      <c r="E169">
        <v>0</v>
      </c>
      <c r="F169" t="str">
        <f>Sim_Output[[#This Row],[SIM_ID]]&amp;" - "&amp;Sim_Output[[#This Row],[WEEK]]&amp;" - "&amp;Sim_Output[[#This Row],[REGIME]]</f>
        <v>2 - 3 - 0</v>
      </c>
      <c r="G169" t="s">
        <v>53</v>
      </c>
      <c r="H169">
        <v>125</v>
      </c>
      <c r="I169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169" s="7">
        <f>Sim_Output[[#This Row],[VALUE]]/SUMIFS(Sim_Output[VALUE],Sim_Output[SIM_ID],Sim_Output[[#This Row],[SIM_ID]],Sim_Output[WEEK],Sim_Output[[#This Row],[WEEK]],Sim_Output[OUTPUT],"PRICE_0")-1</f>
        <v>0.22549019607843146</v>
      </c>
      <c r="K169" s="4">
        <f ca="1">IF(Sim_Output[[#This Row],[OUTPUT]]="PRICE_0",0,_xlfn.RANK.EQ(Sim_Output[[#This Row],[WTD_RET]],OFFSET(Sim_Output[[#This Row],[WTD_RET]],-Sim_Output[[#This Row],[OBS]]+1,0,12)))</f>
        <v>2</v>
      </c>
      <c r="L169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1.0022415753619909</v>
      </c>
      <c r="M169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0.87654320987654333</v>
      </c>
      <c r="N169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1.3148148148148149</v>
      </c>
    </row>
    <row r="170" spans="2:14" x14ac:dyDescent="0.25">
      <c r="B170">
        <v>2</v>
      </c>
      <c r="C170">
        <v>3</v>
      </c>
      <c r="D170">
        <f>VALUE(RIGHT(Sim_Output[[#This Row],[OUTPUT]],LEN(Sim_Output[[#This Row],[OUTPUT]])-6))</f>
        <v>10</v>
      </c>
      <c r="E170">
        <v>0</v>
      </c>
      <c r="F170" t="str">
        <f>Sim_Output[[#This Row],[SIM_ID]]&amp;" - "&amp;Sim_Output[[#This Row],[WEEK]]&amp;" - "&amp;Sim_Output[[#This Row],[REGIME]]</f>
        <v>2 - 3 - 0</v>
      </c>
      <c r="G170" t="s">
        <v>54</v>
      </c>
      <c r="H170">
        <v>67</v>
      </c>
      <c r="I170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170" s="7">
        <f>Sim_Output[[#This Row],[VALUE]]/SUMIFS(Sim_Output[VALUE],Sim_Output[SIM_ID],Sim_Output[[#This Row],[SIM_ID]],Sim_Output[WEEK],Sim_Output[[#This Row],[WEEK]],Sim_Output[OUTPUT],"PRICE_0")-1</f>
        <v>-0.34313725490196079</v>
      </c>
      <c r="K170" s="4">
        <f ca="1">IF(Sim_Output[[#This Row],[OUTPUT]]="PRICE_0",0,_xlfn.RANK.EQ(Sim_Output[[#This Row],[WTD_RET]],OFFSET(Sim_Output[[#This Row],[WTD_RET]],-Sim_Output[[#This Row],[OBS]]+1,0,12)))</f>
        <v>8</v>
      </c>
      <c r="L170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-0.89330227369220883</v>
      </c>
      <c r="M170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0.16049382716049382</v>
      </c>
      <c r="N170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-0.46399999999999997</v>
      </c>
    </row>
    <row r="171" spans="2:14" x14ac:dyDescent="0.25">
      <c r="B171">
        <v>2</v>
      </c>
      <c r="C171">
        <v>3</v>
      </c>
      <c r="D171">
        <f>VALUE(RIGHT(Sim_Output[[#This Row],[OUTPUT]],LEN(Sim_Output[[#This Row],[OUTPUT]])-6))</f>
        <v>11</v>
      </c>
      <c r="E171">
        <v>0</v>
      </c>
      <c r="F171" t="str">
        <f>Sim_Output[[#This Row],[SIM_ID]]&amp;" - "&amp;Sim_Output[[#This Row],[WEEK]]&amp;" - "&amp;Sim_Output[[#This Row],[REGIME]]</f>
        <v>2 - 3 - 0</v>
      </c>
      <c r="G171" t="s">
        <v>55</v>
      </c>
      <c r="H171">
        <v>57</v>
      </c>
      <c r="I171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171" s="7">
        <f>Sim_Output[[#This Row],[VALUE]]/SUMIFS(Sim_Output[VALUE],Sim_Output[SIM_ID],Sim_Output[[#This Row],[SIM_ID]],Sim_Output[WEEK],Sim_Output[[#This Row],[WEEK]],Sim_Output[OUTPUT],"PRICE_0")-1</f>
        <v>-0.44117647058823528</v>
      </c>
      <c r="K171" s="4">
        <f ca="1">IF(Sim_Output[[#This Row],[OUTPUT]]="PRICE_0",0,_xlfn.RANK.EQ(Sim_Output[[#This Row],[WTD_RET]],OFFSET(Sim_Output[[#This Row],[WTD_RET]],-Sim_Output[[#This Row],[OBS]]+1,0,12)))</f>
        <v>11</v>
      </c>
      <c r="L171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-1.2201201787015536</v>
      </c>
      <c r="M171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3.7037037037037049E-2</v>
      </c>
      <c r="N171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-0.14925373134328357</v>
      </c>
    </row>
    <row r="172" spans="2:14" x14ac:dyDescent="0.25">
      <c r="B172">
        <v>2</v>
      </c>
      <c r="C172">
        <v>3</v>
      </c>
      <c r="D172">
        <f>VALUE(RIGHT(Sim_Output[[#This Row],[OUTPUT]],LEN(Sim_Output[[#This Row],[OUTPUT]])-6))</f>
        <v>12</v>
      </c>
      <c r="E172">
        <v>0</v>
      </c>
      <c r="F172" t="str">
        <f>Sim_Output[[#This Row],[SIM_ID]]&amp;" - "&amp;Sim_Output[[#This Row],[WEEK]]&amp;" - "&amp;Sim_Output[[#This Row],[REGIME]]</f>
        <v>2 - 3 - 0</v>
      </c>
      <c r="G172" t="s">
        <v>56</v>
      </c>
      <c r="H172">
        <v>111</v>
      </c>
      <c r="I172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172" s="7">
        <f>Sim_Output[[#This Row],[VALUE]]/SUMIFS(Sim_Output[VALUE],Sim_Output[SIM_ID],Sim_Output[[#This Row],[SIM_ID]],Sim_Output[WEEK],Sim_Output[[#This Row],[WEEK]],Sim_Output[OUTPUT],"PRICE_0")-1</f>
        <v>8.8235294117646967E-2</v>
      </c>
      <c r="K172" s="4">
        <f ca="1">IF(Sim_Output[[#This Row],[OUTPUT]]="PRICE_0",0,_xlfn.RANK.EQ(Sim_Output[[#This Row],[WTD_RET]],OFFSET(Sim_Output[[#This Row],[WTD_RET]],-Sim_Output[[#This Row],[OBS]]+1,0,12)))</f>
        <v>6</v>
      </c>
      <c r="L172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0.54469650834890759</v>
      </c>
      <c r="M172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0.70370370370370361</v>
      </c>
      <c r="N172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0.94736842105263164</v>
      </c>
    </row>
    <row r="173" spans="2:14" x14ac:dyDescent="0.25">
      <c r="B173">
        <v>2</v>
      </c>
      <c r="C173">
        <v>4</v>
      </c>
      <c r="D173">
        <f>VALUE(RIGHT(Sim_Output[[#This Row],[OUTPUT]],LEN(Sim_Output[[#This Row],[OUTPUT]])-6))</f>
        <v>0</v>
      </c>
      <c r="E173">
        <v>3</v>
      </c>
      <c r="F173" t="str">
        <f>Sim_Output[[#This Row],[SIM_ID]]&amp;" - "&amp;Sim_Output[[#This Row],[WEEK]]&amp;" - "&amp;Sim_Output[[#This Row],[REGIME]]</f>
        <v>2 - 4 - 3</v>
      </c>
      <c r="G173" t="s">
        <v>44</v>
      </c>
      <c r="H173">
        <v>98</v>
      </c>
      <c r="I173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173" s="7">
        <f>Sim_Output[[#This Row],[VALUE]]/SUMIFS(Sim_Output[VALUE],Sim_Output[SIM_ID],Sim_Output[[#This Row],[SIM_ID]],Sim_Output[WEEK],Sim_Output[[#This Row],[WEEK]],Sim_Output[OUTPUT],"PRICE_0")-1</f>
        <v>0</v>
      </c>
      <c r="K173" s="4">
        <f ca="1">IF(Sim_Output[[#This Row],[OUTPUT]]="PRICE_0",0,_xlfn.RANK.EQ(Sim_Output[[#This Row],[WTD_RET]],OFFSET(Sim_Output[[#This Row],[WTD_RET]],-Sim_Output[[#This Row],[OBS]]+1,0,12)))</f>
        <v>0</v>
      </c>
      <c r="L173" s="3" t="str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/>
      </c>
      <c r="M173" s="3" t="str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/>
      </c>
      <c r="N173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</v>
      </c>
    </row>
    <row r="174" spans="2:14" x14ac:dyDescent="0.25">
      <c r="B174">
        <v>2</v>
      </c>
      <c r="C174">
        <v>4</v>
      </c>
      <c r="D174">
        <f>VALUE(RIGHT(Sim_Output[[#This Row],[OUTPUT]],LEN(Sim_Output[[#This Row],[OUTPUT]])-6))</f>
        <v>1</v>
      </c>
      <c r="E174">
        <v>3</v>
      </c>
      <c r="F174" t="str">
        <f>Sim_Output[[#This Row],[SIM_ID]]&amp;" - "&amp;Sim_Output[[#This Row],[WEEK]]&amp;" - "&amp;Sim_Output[[#This Row],[REGIME]]</f>
        <v>2 - 4 - 3</v>
      </c>
      <c r="G174" t="s">
        <v>45</v>
      </c>
      <c r="H174">
        <v>84</v>
      </c>
      <c r="I174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174" s="7">
        <f>Sim_Output[[#This Row],[VALUE]]/SUMIFS(Sim_Output[VALUE],Sim_Output[SIM_ID],Sim_Output[[#This Row],[SIM_ID]],Sim_Output[WEEK],Sim_Output[[#This Row],[WEEK]],Sim_Output[OUTPUT],"PRICE_0")-1</f>
        <v>-0.1428571428571429</v>
      </c>
      <c r="K174" s="4">
        <f ca="1">IF(Sim_Output[[#This Row],[OUTPUT]]="PRICE_0",0,_xlfn.RANK.EQ(Sim_Output[[#This Row],[WTD_RET]],OFFSET(Sim_Output[[#This Row],[WTD_RET]],-Sim_Output[[#This Row],[OBS]]+1,0,12)))</f>
        <v>4</v>
      </c>
      <c r="L174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-0.16901089806232572</v>
      </c>
      <c r="M174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0.26399999999999996</v>
      </c>
      <c r="N174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-0.1428571428571429</v>
      </c>
    </row>
    <row r="175" spans="2:14" x14ac:dyDescent="0.25">
      <c r="B175">
        <v>2</v>
      </c>
      <c r="C175">
        <v>4</v>
      </c>
      <c r="D175">
        <f>VALUE(RIGHT(Sim_Output[[#This Row],[OUTPUT]],LEN(Sim_Output[[#This Row],[OUTPUT]])-6))</f>
        <v>2</v>
      </c>
      <c r="E175">
        <v>3</v>
      </c>
      <c r="F175" t="str">
        <f>Sim_Output[[#This Row],[SIM_ID]]&amp;" - "&amp;Sim_Output[[#This Row],[WEEK]]&amp;" - "&amp;Sim_Output[[#This Row],[REGIME]]</f>
        <v>2 - 4 - 3</v>
      </c>
      <c r="G175" t="s">
        <v>46</v>
      </c>
      <c r="H175">
        <v>80</v>
      </c>
      <c r="I175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175" s="7">
        <f>Sim_Output[[#This Row],[VALUE]]/SUMIFS(Sim_Output[VALUE],Sim_Output[SIM_ID],Sim_Output[[#This Row],[SIM_ID]],Sim_Output[WEEK],Sim_Output[[#This Row],[WEEK]],Sim_Output[OUTPUT],"PRICE_0")-1</f>
        <v>-0.18367346938775508</v>
      </c>
      <c r="K175" s="4">
        <f ca="1">IF(Sim_Output[[#This Row],[OUTPUT]]="PRICE_0",0,_xlfn.RANK.EQ(Sim_Output[[#This Row],[WTD_RET]],OFFSET(Sim_Output[[#This Row],[WTD_RET]],-Sim_Output[[#This Row],[OBS]]+1,0,12)))</f>
        <v>6</v>
      </c>
      <c r="L175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-0.29192791483492597</v>
      </c>
      <c r="M175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0.23200000000000001</v>
      </c>
      <c r="N175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-4.7619047619047672E-2</v>
      </c>
    </row>
    <row r="176" spans="2:14" x14ac:dyDescent="0.25">
      <c r="B176">
        <v>2</v>
      </c>
      <c r="C176">
        <v>4</v>
      </c>
      <c r="D176">
        <f>VALUE(RIGHT(Sim_Output[[#This Row],[OUTPUT]],LEN(Sim_Output[[#This Row],[OUTPUT]])-6))</f>
        <v>3</v>
      </c>
      <c r="E176">
        <v>3</v>
      </c>
      <c r="F176" t="str">
        <f>Sim_Output[[#This Row],[SIM_ID]]&amp;" - "&amp;Sim_Output[[#This Row],[WEEK]]&amp;" - "&amp;Sim_Output[[#This Row],[REGIME]]</f>
        <v>2 - 4 - 3</v>
      </c>
      <c r="G176" t="s">
        <v>47</v>
      </c>
      <c r="H176">
        <v>77</v>
      </c>
      <c r="I176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176" s="7">
        <f>Sim_Output[[#This Row],[VALUE]]/SUMIFS(Sim_Output[VALUE],Sim_Output[SIM_ID],Sim_Output[[#This Row],[SIM_ID]],Sim_Output[WEEK],Sim_Output[[#This Row],[WEEK]],Sim_Output[OUTPUT],"PRICE_0")-1</f>
        <v>-0.2142857142857143</v>
      </c>
      <c r="K176" s="4">
        <f ca="1">IF(Sim_Output[[#This Row],[OUTPUT]]="PRICE_0",0,_xlfn.RANK.EQ(Sim_Output[[#This Row],[WTD_RET]],OFFSET(Sim_Output[[#This Row],[WTD_RET]],-Sim_Output[[#This Row],[OBS]]+1,0,12)))</f>
        <v>8</v>
      </c>
      <c r="L176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-0.38411567741437641</v>
      </c>
      <c r="M176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0.20799999999999996</v>
      </c>
      <c r="N176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-3.7499999999999978E-2</v>
      </c>
    </row>
    <row r="177" spans="2:14" x14ac:dyDescent="0.25">
      <c r="B177">
        <v>2</v>
      </c>
      <c r="C177">
        <v>4</v>
      </c>
      <c r="D177">
        <f>VALUE(RIGHT(Sim_Output[[#This Row],[OUTPUT]],LEN(Sim_Output[[#This Row],[OUTPUT]])-6))</f>
        <v>4</v>
      </c>
      <c r="E177">
        <v>3</v>
      </c>
      <c r="F177" t="str">
        <f>Sim_Output[[#This Row],[SIM_ID]]&amp;" - "&amp;Sim_Output[[#This Row],[WEEK]]&amp;" - "&amp;Sim_Output[[#This Row],[REGIME]]</f>
        <v>2 - 4 - 3</v>
      </c>
      <c r="G177" t="s">
        <v>48</v>
      </c>
      <c r="H177">
        <v>118</v>
      </c>
      <c r="I177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177" s="7">
        <f>Sim_Output[[#This Row],[VALUE]]/SUMIFS(Sim_Output[VALUE],Sim_Output[SIM_ID],Sim_Output[[#This Row],[SIM_ID]],Sim_Output[WEEK],Sim_Output[[#This Row],[WEEK]],Sim_Output[OUTPUT],"PRICE_0")-1</f>
        <v>0.20408163265306123</v>
      </c>
      <c r="K177" s="4">
        <f ca="1">IF(Sim_Output[[#This Row],[OUTPUT]]="PRICE_0",0,_xlfn.RANK.EQ(Sim_Output[[#This Row],[WTD_RET]],OFFSET(Sim_Output[[#This Row],[WTD_RET]],-Sim_Output[[#This Row],[OBS]]+1,0,12)))</f>
        <v>2</v>
      </c>
      <c r="L177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0.87578374450477803</v>
      </c>
      <c r="M177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0.53600000000000003</v>
      </c>
      <c r="N177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0.53246753246753253</v>
      </c>
    </row>
    <row r="178" spans="2:14" x14ac:dyDescent="0.25">
      <c r="B178">
        <v>2</v>
      </c>
      <c r="C178">
        <v>4</v>
      </c>
      <c r="D178">
        <f>VALUE(RIGHT(Sim_Output[[#This Row],[OUTPUT]],LEN(Sim_Output[[#This Row],[OUTPUT]])-6))</f>
        <v>5</v>
      </c>
      <c r="E178">
        <v>3</v>
      </c>
      <c r="F178" t="str">
        <f>Sim_Output[[#This Row],[SIM_ID]]&amp;" - "&amp;Sim_Output[[#This Row],[WEEK]]&amp;" - "&amp;Sim_Output[[#This Row],[REGIME]]</f>
        <v>2 - 4 - 3</v>
      </c>
      <c r="G178" t="s">
        <v>49</v>
      </c>
      <c r="H178">
        <v>110</v>
      </c>
      <c r="I178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178" s="7">
        <f>Sim_Output[[#This Row],[VALUE]]/SUMIFS(Sim_Output[VALUE],Sim_Output[SIM_ID],Sim_Output[[#This Row],[SIM_ID]],Sim_Output[WEEK],Sim_Output[[#This Row],[WEEK]],Sim_Output[OUTPUT],"PRICE_0")-1</f>
        <v>0.12244897959183665</v>
      </c>
      <c r="K178" s="4">
        <f ca="1">IF(Sim_Output[[#This Row],[OUTPUT]]="PRICE_0",0,_xlfn.RANK.EQ(Sim_Output[[#This Row],[WTD_RET]],OFFSET(Sim_Output[[#This Row],[WTD_RET]],-Sim_Output[[#This Row],[OBS]]+1,0,12)))</f>
        <v>3</v>
      </c>
      <c r="L178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0.62994971095957686</v>
      </c>
      <c r="M178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0.47199999999999992</v>
      </c>
      <c r="N178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-6.7796610169491567E-2</v>
      </c>
    </row>
    <row r="179" spans="2:14" x14ac:dyDescent="0.25">
      <c r="B179">
        <v>2</v>
      </c>
      <c r="C179">
        <v>4</v>
      </c>
      <c r="D179">
        <f>VALUE(RIGHT(Sim_Output[[#This Row],[OUTPUT]],LEN(Sim_Output[[#This Row],[OUTPUT]])-6))</f>
        <v>6</v>
      </c>
      <c r="E179">
        <v>3</v>
      </c>
      <c r="F179" t="str">
        <f>Sim_Output[[#This Row],[SIM_ID]]&amp;" - "&amp;Sim_Output[[#This Row],[WEEK]]&amp;" - "&amp;Sim_Output[[#This Row],[REGIME]]</f>
        <v>2 - 4 - 3</v>
      </c>
      <c r="G179" t="s">
        <v>50</v>
      </c>
      <c r="H179">
        <v>65</v>
      </c>
      <c r="I179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179" s="7">
        <f>Sim_Output[[#This Row],[VALUE]]/SUMIFS(Sim_Output[VALUE],Sim_Output[SIM_ID],Sim_Output[[#This Row],[SIM_ID]],Sim_Output[WEEK],Sim_Output[[#This Row],[WEEK]],Sim_Output[OUTPUT],"PRICE_0")-1</f>
        <v>-0.33673469387755106</v>
      </c>
      <c r="K179" s="4">
        <f ca="1">IF(Sim_Output[[#This Row],[OUTPUT]]="PRICE_0",0,_xlfn.RANK.EQ(Sim_Output[[#This Row],[WTD_RET]],OFFSET(Sim_Output[[#This Row],[WTD_RET]],-Sim_Output[[#This Row],[OBS]]+1,0,12)))</f>
        <v>11</v>
      </c>
      <c r="L179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-0.75286672773217778</v>
      </c>
      <c r="M179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0.11199999999999995</v>
      </c>
      <c r="N179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-0.40909090909090906</v>
      </c>
    </row>
    <row r="180" spans="2:14" x14ac:dyDescent="0.25">
      <c r="B180">
        <v>2</v>
      </c>
      <c r="C180">
        <v>4</v>
      </c>
      <c r="D180">
        <f>VALUE(RIGHT(Sim_Output[[#This Row],[OUTPUT]],LEN(Sim_Output[[#This Row],[OUTPUT]])-6))</f>
        <v>7</v>
      </c>
      <c r="E180">
        <v>3</v>
      </c>
      <c r="F180" t="str">
        <f>Sim_Output[[#This Row],[SIM_ID]]&amp;" - "&amp;Sim_Output[[#This Row],[WEEK]]&amp;" - "&amp;Sim_Output[[#This Row],[REGIME]]</f>
        <v>2 - 4 - 3</v>
      </c>
      <c r="G180" t="s">
        <v>51</v>
      </c>
      <c r="H180">
        <v>176</v>
      </c>
      <c r="I180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180" s="7">
        <f>Sim_Output[[#This Row],[VALUE]]/SUMIFS(Sim_Output[VALUE],Sim_Output[SIM_ID],Sim_Output[[#This Row],[SIM_ID]],Sim_Output[WEEK],Sim_Output[[#This Row],[WEEK]],Sim_Output[OUTPUT],"PRICE_0")-1</f>
        <v>0.79591836734693877</v>
      </c>
      <c r="K180" s="4">
        <f ca="1">IF(Sim_Output[[#This Row],[OUTPUT]]="PRICE_0",0,_xlfn.RANK.EQ(Sim_Output[[#This Row],[WTD_RET]],OFFSET(Sim_Output[[#This Row],[WTD_RET]],-Sim_Output[[#This Row],[OBS]]+1,0,12)))</f>
        <v>1</v>
      </c>
      <c r="L180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2.6580804877074842</v>
      </c>
      <c r="M180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1</v>
      </c>
      <c r="N180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1.7076923076923078</v>
      </c>
    </row>
    <row r="181" spans="2:14" x14ac:dyDescent="0.25">
      <c r="B181">
        <v>2</v>
      </c>
      <c r="C181">
        <v>4</v>
      </c>
      <c r="D181">
        <f>VALUE(RIGHT(Sim_Output[[#This Row],[OUTPUT]],LEN(Sim_Output[[#This Row],[OUTPUT]])-6))</f>
        <v>8</v>
      </c>
      <c r="E181">
        <v>3</v>
      </c>
      <c r="F181" t="str">
        <f>Sim_Output[[#This Row],[SIM_ID]]&amp;" - "&amp;Sim_Output[[#This Row],[WEEK]]&amp;" - "&amp;Sim_Output[[#This Row],[REGIME]]</f>
        <v>2 - 4 - 3</v>
      </c>
      <c r="G181" t="s">
        <v>52</v>
      </c>
      <c r="H181">
        <v>51</v>
      </c>
      <c r="I181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181" s="7">
        <f>Sim_Output[[#This Row],[VALUE]]/SUMIFS(Sim_Output[VALUE],Sim_Output[SIM_ID],Sim_Output[[#This Row],[SIM_ID]],Sim_Output[WEEK],Sim_Output[[#This Row],[WEEK]],Sim_Output[OUTPUT],"PRICE_0")-1</f>
        <v>-0.47959183673469385</v>
      </c>
      <c r="K181" s="4">
        <f ca="1">IF(Sim_Output[[#This Row],[OUTPUT]]="PRICE_0",0,_xlfn.RANK.EQ(Sim_Output[[#This Row],[WTD_RET]],OFFSET(Sim_Output[[#This Row],[WTD_RET]],-Sim_Output[[#This Row],[OBS]]+1,0,12)))</f>
        <v>12</v>
      </c>
      <c r="L181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-1.1830762864362792</v>
      </c>
      <c r="M181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</v>
      </c>
      <c r="N181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-0.71022727272727271</v>
      </c>
    </row>
    <row r="182" spans="2:14" x14ac:dyDescent="0.25">
      <c r="B182">
        <v>2</v>
      </c>
      <c r="C182">
        <v>4</v>
      </c>
      <c r="D182">
        <f>VALUE(RIGHT(Sim_Output[[#This Row],[OUTPUT]],LEN(Sim_Output[[#This Row],[OUTPUT]])-6))</f>
        <v>9</v>
      </c>
      <c r="E182">
        <v>3</v>
      </c>
      <c r="F182" t="str">
        <f>Sim_Output[[#This Row],[SIM_ID]]&amp;" - "&amp;Sim_Output[[#This Row],[WEEK]]&amp;" - "&amp;Sim_Output[[#This Row],[REGIME]]</f>
        <v>2 - 4 - 3</v>
      </c>
      <c r="G182" t="s">
        <v>53</v>
      </c>
      <c r="H182">
        <v>84</v>
      </c>
      <c r="I182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182" s="7">
        <f>Sim_Output[[#This Row],[VALUE]]/SUMIFS(Sim_Output[VALUE],Sim_Output[SIM_ID],Sim_Output[[#This Row],[SIM_ID]],Sim_Output[WEEK],Sim_Output[[#This Row],[WEEK]],Sim_Output[OUTPUT],"PRICE_0")-1</f>
        <v>-0.1428571428571429</v>
      </c>
      <c r="K182" s="4">
        <f ca="1">IF(Sim_Output[[#This Row],[OUTPUT]]="PRICE_0",0,_xlfn.RANK.EQ(Sim_Output[[#This Row],[WTD_RET]],OFFSET(Sim_Output[[#This Row],[WTD_RET]],-Sim_Output[[#This Row],[OBS]]+1,0,12)))</f>
        <v>4</v>
      </c>
      <c r="L182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-0.16901089806232572</v>
      </c>
      <c r="M182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0.26399999999999996</v>
      </c>
      <c r="N182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0.64705882352941169</v>
      </c>
    </row>
    <row r="183" spans="2:14" x14ac:dyDescent="0.25">
      <c r="B183">
        <v>2</v>
      </c>
      <c r="C183">
        <v>4</v>
      </c>
      <c r="D183">
        <f>VALUE(RIGHT(Sim_Output[[#This Row],[OUTPUT]],LEN(Sim_Output[[#This Row],[OUTPUT]])-6))</f>
        <v>10</v>
      </c>
      <c r="E183">
        <v>3</v>
      </c>
      <c r="F183" t="str">
        <f>Sim_Output[[#This Row],[SIM_ID]]&amp;" - "&amp;Sim_Output[[#This Row],[WEEK]]&amp;" - "&amp;Sim_Output[[#This Row],[REGIME]]</f>
        <v>2 - 4 - 3</v>
      </c>
      <c r="G183" t="s">
        <v>54</v>
      </c>
      <c r="H183">
        <v>80</v>
      </c>
      <c r="I183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183" s="7">
        <f>Sim_Output[[#This Row],[VALUE]]/SUMIFS(Sim_Output[VALUE],Sim_Output[SIM_ID],Sim_Output[[#This Row],[SIM_ID]],Sim_Output[WEEK],Sim_Output[[#This Row],[WEEK]],Sim_Output[OUTPUT],"PRICE_0")-1</f>
        <v>-0.18367346938775508</v>
      </c>
      <c r="K183" s="4">
        <f ca="1">IF(Sim_Output[[#This Row],[OUTPUT]]="PRICE_0",0,_xlfn.RANK.EQ(Sim_Output[[#This Row],[WTD_RET]],OFFSET(Sim_Output[[#This Row],[WTD_RET]],-Sim_Output[[#This Row],[OBS]]+1,0,12)))</f>
        <v>6</v>
      </c>
      <c r="L183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-0.29192791483492597</v>
      </c>
      <c r="M183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0.23200000000000001</v>
      </c>
      <c r="N183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-4.7619047619047672E-2</v>
      </c>
    </row>
    <row r="184" spans="2:14" x14ac:dyDescent="0.25">
      <c r="B184">
        <v>2</v>
      </c>
      <c r="C184">
        <v>4</v>
      </c>
      <c r="D184">
        <f>VALUE(RIGHT(Sim_Output[[#This Row],[OUTPUT]],LEN(Sim_Output[[#This Row],[OUTPUT]])-6))</f>
        <v>11</v>
      </c>
      <c r="E184">
        <v>3</v>
      </c>
      <c r="F184" t="str">
        <f>Sim_Output[[#This Row],[SIM_ID]]&amp;" - "&amp;Sim_Output[[#This Row],[WEEK]]&amp;" - "&amp;Sim_Output[[#This Row],[REGIME]]</f>
        <v>2 - 4 - 3</v>
      </c>
      <c r="G184" t="s">
        <v>55</v>
      </c>
      <c r="H184">
        <v>76</v>
      </c>
      <c r="I184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184" s="7">
        <f>Sim_Output[[#This Row],[VALUE]]/SUMIFS(Sim_Output[VALUE],Sim_Output[SIM_ID],Sim_Output[[#This Row],[SIM_ID]],Sim_Output[WEEK],Sim_Output[[#This Row],[WEEK]],Sim_Output[OUTPUT],"PRICE_0")-1</f>
        <v>-0.22448979591836737</v>
      </c>
      <c r="K184" s="4">
        <f ca="1">IF(Sim_Output[[#This Row],[OUTPUT]]="PRICE_0",0,_xlfn.RANK.EQ(Sim_Output[[#This Row],[WTD_RET]],OFFSET(Sim_Output[[#This Row],[WTD_RET]],-Sim_Output[[#This Row],[OBS]]+1,0,12)))</f>
        <v>9</v>
      </c>
      <c r="L184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-0.41484493160752656</v>
      </c>
      <c r="M184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0.19999999999999996</v>
      </c>
      <c r="N184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-5.0000000000000044E-2</v>
      </c>
    </row>
    <row r="185" spans="2:14" x14ac:dyDescent="0.25">
      <c r="B185">
        <v>2</v>
      </c>
      <c r="C185">
        <v>4</v>
      </c>
      <c r="D185">
        <f>VALUE(RIGHT(Sim_Output[[#This Row],[OUTPUT]],LEN(Sim_Output[[#This Row],[OUTPUT]])-6))</f>
        <v>12</v>
      </c>
      <c r="E185">
        <v>3</v>
      </c>
      <c r="F185" t="str">
        <f>Sim_Output[[#This Row],[SIM_ID]]&amp;" - "&amp;Sim_Output[[#This Row],[WEEK]]&amp;" - "&amp;Sim_Output[[#This Row],[REGIME]]</f>
        <v>2 - 4 - 3</v>
      </c>
      <c r="G185" t="s">
        <v>56</v>
      </c>
      <c r="H185">
        <v>73</v>
      </c>
      <c r="I185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185" s="7">
        <f>Sim_Output[[#This Row],[VALUE]]/SUMIFS(Sim_Output[VALUE],Sim_Output[SIM_ID],Sim_Output[[#This Row],[SIM_ID]],Sim_Output[WEEK],Sim_Output[[#This Row],[WEEK]],Sim_Output[OUTPUT],"PRICE_0")-1</f>
        <v>-0.25510204081632648</v>
      </c>
      <c r="K185" s="4">
        <f ca="1">IF(Sim_Output[[#This Row],[OUTPUT]]="PRICE_0",0,_xlfn.RANK.EQ(Sim_Output[[#This Row],[WTD_RET]],OFFSET(Sim_Output[[#This Row],[WTD_RET]],-Sim_Output[[#This Row],[OBS]]+1,0,12)))</f>
        <v>10</v>
      </c>
      <c r="L185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-0.50703269418697661</v>
      </c>
      <c r="M185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0.17600000000000002</v>
      </c>
      <c r="N185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-3.9473684210526327E-2</v>
      </c>
    </row>
    <row r="186" spans="2:14" x14ac:dyDescent="0.25">
      <c r="B186">
        <v>2</v>
      </c>
      <c r="C186">
        <v>5</v>
      </c>
      <c r="D186">
        <f>VALUE(RIGHT(Sim_Output[[#This Row],[OUTPUT]],LEN(Sim_Output[[#This Row],[OUTPUT]])-6))</f>
        <v>0</v>
      </c>
      <c r="E186">
        <v>1</v>
      </c>
      <c r="F186" t="str">
        <f>Sim_Output[[#This Row],[SIM_ID]]&amp;" - "&amp;Sim_Output[[#This Row],[WEEK]]&amp;" - "&amp;Sim_Output[[#This Row],[REGIME]]</f>
        <v>2 - 5 - 1</v>
      </c>
      <c r="G186" t="s">
        <v>44</v>
      </c>
      <c r="H186">
        <v>93</v>
      </c>
      <c r="I186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186" s="7">
        <f>Sim_Output[[#This Row],[VALUE]]/SUMIFS(Sim_Output[VALUE],Sim_Output[SIM_ID],Sim_Output[[#This Row],[SIM_ID]],Sim_Output[WEEK],Sim_Output[[#This Row],[WEEK]],Sim_Output[OUTPUT],"PRICE_0")-1</f>
        <v>0</v>
      </c>
      <c r="K186" s="4">
        <f ca="1">IF(Sim_Output[[#This Row],[OUTPUT]]="PRICE_0",0,_xlfn.RANK.EQ(Sim_Output[[#This Row],[WTD_RET]],OFFSET(Sim_Output[[#This Row],[WTD_RET]],-Sim_Output[[#This Row],[OBS]]+1,0,12)))</f>
        <v>0</v>
      </c>
      <c r="L186" s="3" t="str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/>
      </c>
      <c r="M186" s="3" t="str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/>
      </c>
      <c r="N186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</v>
      </c>
    </row>
    <row r="187" spans="2:14" x14ac:dyDescent="0.25">
      <c r="B187">
        <v>2</v>
      </c>
      <c r="C187">
        <v>5</v>
      </c>
      <c r="D187">
        <f>VALUE(RIGHT(Sim_Output[[#This Row],[OUTPUT]],LEN(Sim_Output[[#This Row],[OUTPUT]])-6))</f>
        <v>1</v>
      </c>
      <c r="E187">
        <v>1</v>
      </c>
      <c r="F187" t="str">
        <f>Sim_Output[[#This Row],[SIM_ID]]&amp;" - "&amp;Sim_Output[[#This Row],[WEEK]]&amp;" - "&amp;Sim_Output[[#This Row],[REGIME]]</f>
        <v>2 - 5 - 1</v>
      </c>
      <c r="G187" t="s">
        <v>45</v>
      </c>
      <c r="H187">
        <v>83</v>
      </c>
      <c r="I187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187" s="7">
        <f>Sim_Output[[#This Row],[VALUE]]/SUMIFS(Sim_Output[VALUE],Sim_Output[SIM_ID],Sim_Output[[#This Row],[SIM_ID]],Sim_Output[WEEK],Sim_Output[[#This Row],[WEEK]],Sim_Output[OUTPUT],"PRICE_0")-1</f>
        <v>-0.10752688172043012</v>
      </c>
      <c r="K187" s="4">
        <f ca="1">IF(Sim_Output[[#This Row],[OUTPUT]]="PRICE_0",0,_xlfn.RANK.EQ(Sim_Output[[#This Row],[WTD_RET]],OFFSET(Sim_Output[[#This Row],[WTD_RET]],-Sim_Output[[#This Row],[OBS]]+1,0,12)))</f>
        <v>6</v>
      </c>
      <c r="L187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-0.41416788142039379</v>
      </c>
      <c r="M187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0.18421052631578946</v>
      </c>
      <c r="N187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-0.10752688172043012</v>
      </c>
    </row>
    <row r="188" spans="2:14" x14ac:dyDescent="0.25">
      <c r="B188">
        <v>2</v>
      </c>
      <c r="C188">
        <v>5</v>
      </c>
      <c r="D188">
        <f>VALUE(RIGHT(Sim_Output[[#This Row],[OUTPUT]],LEN(Sim_Output[[#This Row],[OUTPUT]])-6))</f>
        <v>2</v>
      </c>
      <c r="E188">
        <v>1</v>
      </c>
      <c r="F188" t="str">
        <f>Sim_Output[[#This Row],[SIM_ID]]&amp;" - "&amp;Sim_Output[[#This Row],[WEEK]]&amp;" - "&amp;Sim_Output[[#This Row],[REGIME]]</f>
        <v>2 - 5 - 1</v>
      </c>
      <c r="G188" t="s">
        <v>46</v>
      </c>
      <c r="H188">
        <v>79</v>
      </c>
      <c r="I188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188" s="7">
        <f>Sim_Output[[#This Row],[VALUE]]/SUMIFS(Sim_Output[VALUE],Sim_Output[SIM_ID],Sim_Output[[#This Row],[SIM_ID]],Sim_Output[WEEK],Sim_Output[[#This Row],[WEEK]],Sim_Output[OUTPUT],"PRICE_0")-1</f>
        <v>-0.15053763440860213</v>
      </c>
      <c r="K188" s="4">
        <f ca="1">IF(Sim_Output[[#This Row],[OUTPUT]]="PRICE_0",0,_xlfn.RANK.EQ(Sim_Output[[#This Row],[WTD_RET]],OFFSET(Sim_Output[[#This Row],[WTD_RET]],-Sim_Output[[#This Row],[OBS]]+1,0,12)))</f>
        <v>7</v>
      </c>
      <c r="L188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-0.4802145867631808</v>
      </c>
      <c r="M188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0.16315789473684211</v>
      </c>
      <c r="N188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-4.8192771084337394E-2</v>
      </c>
    </row>
    <row r="189" spans="2:14" x14ac:dyDescent="0.25">
      <c r="B189">
        <v>2</v>
      </c>
      <c r="C189">
        <v>5</v>
      </c>
      <c r="D189">
        <f>VALUE(RIGHT(Sim_Output[[#This Row],[OUTPUT]],LEN(Sim_Output[[#This Row],[OUTPUT]])-6))</f>
        <v>3</v>
      </c>
      <c r="E189">
        <v>1</v>
      </c>
      <c r="F189" t="str">
        <f>Sim_Output[[#This Row],[SIM_ID]]&amp;" - "&amp;Sim_Output[[#This Row],[WEEK]]&amp;" - "&amp;Sim_Output[[#This Row],[REGIME]]</f>
        <v>2 - 5 - 1</v>
      </c>
      <c r="G189" t="s">
        <v>47</v>
      </c>
      <c r="H189">
        <v>122</v>
      </c>
      <c r="I189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189" s="7">
        <f>Sim_Output[[#This Row],[VALUE]]/SUMIFS(Sim_Output[VALUE],Sim_Output[SIM_ID],Sim_Output[[#This Row],[SIM_ID]],Sim_Output[WEEK],Sim_Output[[#This Row],[WEEK]],Sim_Output[OUTPUT],"PRICE_0")-1</f>
        <v>0.31182795698924726</v>
      </c>
      <c r="K189" s="4">
        <f ca="1">IF(Sim_Output[[#This Row],[OUTPUT]]="PRICE_0",0,_xlfn.RANK.EQ(Sim_Output[[#This Row],[WTD_RET]],OFFSET(Sim_Output[[#This Row],[WTD_RET]],-Sim_Output[[#This Row],[OBS]]+1,0,12)))</f>
        <v>4</v>
      </c>
      <c r="L189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0.22978749567177997</v>
      </c>
      <c r="M189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0.38947368421052631</v>
      </c>
      <c r="N189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0.54430379746835444</v>
      </c>
    </row>
    <row r="190" spans="2:14" x14ac:dyDescent="0.25">
      <c r="B190">
        <v>2</v>
      </c>
      <c r="C190">
        <v>5</v>
      </c>
      <c r="D190">
        <f>VALUE(RIGHT(Sim_Output[[#This Row],[OUTPUT]],LEN(Sim_Output[[#This Row],[OUTPUT]])-6))</f>
        <v>4</v>
      </c>
      <c r="E190">
        <v>1</v>
      </c>
      <c r="F190" t="str">
        <f>Sim_Output[[#This Row],[SIM_ID]]&amp;" - "&amp;Sim_Output[[#This Row],[WEEK]]&amp;" - "&amp;Sim_Output[[#This Row],[REGIME]]</f>
        <v>2 - 5 - 1</v>
      </c>
      <c r="G190" t="s">
        <v>48</v>
      </c>
      <c r="H190">
        <v>174</v>
      </c>
      <c r="I190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190" s="7">
        <f>Sim_Output[[#This Row],[VALUE]]/SUMIFS(Sim_Output[VALUE],Sim_Output[SIM_ID],Sim_Output[[#This Row],[SIM_ID]],Sim_Output[WEEK],Sim_Output[[#This Row],[WEEK]],Sim_Output[OUTPUT],"PRICE_0")-1</f>
        <v>0.87096774193548376</v>
      </c>
      <c r="K190" s="4">
        <f ca="1">IF(Sim_Output[[#This Row],[OUTPUT]]="PRICE_0",0,_xlfn.RANK.EQ(Sim_Output[[#This Row],[WTD_RET]],OFFSET(Sim_Output[[#This Row],[WTD_RET]],-Sim_Output[[#This Row],[OBS]]+1,0,12)))</f>
        <v>3</v>
      </c>
      <c r="L190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1.0883946651280116</v>
      </c>
      <c r="M190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0.66315789473684206</v>
      </c>
      <c r="N190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0.42622950819672134</v>
      </c>
    </row>
    <row r="191" spans="2:14" x14ac:dyDescent="0.25">
      <c r="B191">
        <v>2</v>
      </c>
      <c r="C191">
        <v>5</v>
      </c>
      <c r="D191">
        <f>VALUE(RIGHT(Sim_Output[[#This Row],[OUTPUT]],LEN(Sim_Output[[#This Row],[OUTPUT]])-6))</f>
        <v>5</v>
      </c>
      <c r="E191">
        <v>1</v>
      </c>
      <c r="F191" t="str">
        <f>Sim_Output[[#This Row],[SIM_ID]]&amp;" - "&amp;Sim_Output[[#This Row],[WEEK]]&amp;" - "&amp;Sim_Output[[#This Row],[REGIME]]</f>
        <v>2 - 5 - 1</v>
      </c>
      <c r="G191" t="s">
        <v>49</v>
      </c>
      <c r="H191">
        <v>238</v>
      </c>
      <c r="I191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191" s="7">
        <f>Sim_Output[[#This Row],[VALUE]]/SUMIFS(Sim_Output[VALUE],Sim_Output[SIM_ID],Sim_Output[[#This Row],[SIM_ID]],Sim_Output[WEEK],Sim_Output[[#This Row],[WEEK]],Sim_Output[OUTPUT],"PRICE_0")-1</f>
        <v>1.5591397849462365</v>
      </c>
      <c r="K191" s="4">
        <f ca="1">IF(Sim_Output[[#This Row],[OUTPUT]]="PRICE_0",0,_xlfn.RANK.EQ(Sim_Output[[#This Row],[WTD_RET]],OFFSET(Sim_Output[[#This Row],[WTD_RET]],-Sim_Output[[#This Row],[OBS]]+1,0,12)))</f>
        <v>1</v>
      </c>
      <c r="L191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2.1451419506126048</v>
      </c>
      <c r="M191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1</v>
      </c>
      <c r="N191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0.36781609195402298</v>
      </c>
    </row>
    <row r="192" spans="2:14" x14ac:dyDescent="0.25">
      <c r="B192">
        <v>2</v>
      </c>
      <c r="C192">
        <v>5</v>
      </c>
      <c r="D192">
        <f>VALUE(RIGHT(Sim_Output[[#This Row],[OUTPUT]],LEN(Sim_Output[[#This Row],[OUTPUT]])-6))</f>
        <v>6</v>
      </c>
      <c r="E192">
        <v>1</v>
      </c>
      <c r="F192" t="str">
        <f>Sim_Output[[#This Row],[SIM_ID]]&amp;" - "&amp;Sim_Output[[#This Row],[WEEK]]&amp;" - "&amp;Sim_Output[[#This Row],[REGIME]]</f>
        <v>2 - 5 - 1</v>
      </c>
      <c r="G192" t="s">
        <v>50</v>
      </c>
      <c r="H192">
        <v>185</v>
      </c>
      <c r="I192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192" s="7">
        <f>Sim_Output[[#This Row],[VALUE]]/SUMIFS(Sim_Output[VALUE],Sim_Output[SIM_ID],Sim_Output[[#This Row],[SIM_ID]],Sim_Output[WEEK],Sim_Output[[#This Row],[WEEK]],Sim_Output[OUTPUT],"PRICE_0")-1</f>
        <v>0.989247311827957</v>
      </c>
      <c r="K192" s="4">
        <f ca="1">IF(Sim_Output[[#This Row],[OUTPUT]]="PRICE_0",0,_xlfn.RANK.EQ(Sim_Output[[#This Row],[WTD_RET]],OFFSET(Sim_Output[[#This Row],[WTD_RET]],-Sim_Output[[#This Row],[OBS]]+1,0,12)))</f>
        <v>2</v>
      </c>
      <c r="L192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1.2700231048206763</v>
      </c>
      <c r="M192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0.72105263157894739</v>
      </c>
      <c r="N192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-0.22268907563025209</v>
      </c>
    </row>
    <row r="193" spans="2:14" x14ac:dyDescent="0.25">
      <c r="B193">
        <v>2</v>
      </c>
      <c r="C193">
        <v>5</v>
      </c>
      <c r="D193">
        <f>VALUE(RIGHT(Sim_Output[[#This Row],[OUTPUT]],LEN(Sim_Output[[#This Row],[OUTPUT]])-6))</f>
        <v>7</v>
      </c>
      <c r="E193">
        <v>1</v>
      </c>
      <c r="F193" t="str">
        <f>Sim_Output[[#This Row],[SIM_ID]]&amp;" - "&amp;Sim_Output[[#This Row],[WEEK]]&amp;" - "&amp;Sim_Output[[#This Row],[REGIME]]</f>
        <v>2 - 5 - 1</v>
      </c>
      <c r="G193" t="s">
        <v>51</v>
      </c>
      <c r="H193">
        <v>111</v>
      </c>
      <c r="I193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193" s="7">
        <f>Sim_Output[[#This Row],[VALUE]]/SUMIFS(Sim_Output[VALUE],Sim_Output[SIM_ID],Sim_Output[[#This Row],[SIM_ID]],Sim_Output[WEEK],Sim_Output[[#This Row],[WEEK]],Sim_Output[OUTPUT],"PRICE_0")-1</f>
        <v>0.19354838709677424</v>
      </c>
      <c r="K193" s="4">
        <f ca="1">IF(Sim_Output[[#This Row],[OUTPUT]]="PRICE_0",0,_xlfn.RANK.EQ(Sim_Output[[#This Row],[WTD_RET]],OFFSET(Sim_Output[[#This Row],[WTD_RET]],-Sim_Output[[#This Row],[OBS]]+1,0,12)))</f>
        <v>5</v>
      </c>
      <c r="L193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4.8159055979115718E-2</v>
      </c>
      <c r="M193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0.33157894736842108</v>
      </c>
      <c r="N193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-0.4</v>
      </c>
    </row>
    <row r="194" spans="2:14" x14ac:dyDescent="0.25">
      <c r="B194">
        <v>2</v>
      </c>
      <c r="C194">
        <v>5</v>
      </c>
      <c r="D194">
        <f>VALUE(RIGHT(Sim_Output[[#This Row],[OUTPUT]],LEN(Sim_Output[[#This Row],[OUTPUT]])-6))</f>
        <v>8</v>
      </c>
      <c r="E194">
        <v>1</v>
      </c>
      <c r="F194" t="str">
        <f>Sim_Output[[#This Row],[SIM_ID]]&amp;" - "&amp;Sim_Output[[#This Row],[WEEK]]&amp;" - "&amp;Sim_Output[[#This Row],[REGIME]]</f>
        <v>2 - 5 - 1</v>
      </c>
      <c r="G194" t="s">
        <v>52</v>
      </c>
      <c r="H194">
        <v>76</v>
      </c>
      <c r="I194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194" s="7">
        <f>Sim_Output[[#This Row],[VALUE]]/SUMIFS(Sim_Output[VALUE],Sim_Output[SIM_ID],Sim_Output[[#This Row],[SIM_ID]],Sim_Output[WEEK],Sim_Output[[#This Row],[WEEK]],Sim_Output[OUTPUT],"PRICE_0")-1</f>
        <v>-0.18279569892473113</v>
      </c>
      <c r="K194" s="4">
        <f ca="1">IF(Sim_Output[[#This Row],[OUTPUT]]="PRICE_0",0,_xlfn.RANK.EQ(Sim_Output[[#This Row],[WTD_RET]],OFFSET(Sim_Output[[#This Row],[WTD_RET]],-Sim_Output[[#This Row],[OBS]]+1,0,12)))</f>
        <v>8</v>
      </c>
      <c r="L194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-0.52974961577027102</v>
      </c>
      <c r="M194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0.14736842105263162</v>
      </c>
      <c r="N194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-0.31531531531531531</v>
      </c>
    </row>
    <row r="195" spans="2:14" x14ac:dyDescent="0.25">
      <c r="B195">
        <v>2</v>
      </c>
      <c r="C195">
        <v>5</v>
      </c>
      <c r="D195">
        <f>VALUE(RIGHT(Sim_Output[[#This Row],[OUTPUT]],LEN(Sim_Output[[#This Row],[OUTPUT]])-6))</f>
        <v>9</v>
      </c>
      <c r="E195">
        <v>1</v>
      </c>
      <c r="F195" t="str">
        <f>Sim_Output[[#This Row],[SIM_ID]]&amp;" - "&amp;Sim_Output[[#This Row],[WEEK]]&amp;" - "&amp;Sim_Output[[#This Row],[REGIME]]</f>
        <v>2 - 5 - 1</v>
      </c>
      <c r="G195" t="s">
        <v>53</v>
      </c>
      <c r="H195">
        <v>55</v>
      </c>
      <c r="I195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195" s="7">
        <f>Sim_Output[[#This Row],[VALUE]]/SUMIFS(Sim_Output[VALUE],Sim_Output[SIM_ID],Sim_Output[[#This Row],[SIM_ID]],Sim_Output[WEEK],Sim_Output[[#This Row],[WEEK]],Sim_Output[OUTPUT],"PRICE_0")-1</f>
        <v>-0.40860215053763438</v>
      </c>
      <c r="K195" s="4">
        <f ca="1">IF(Sim_Output[[#This Row],[OUTPUT]]="PRICE_0",0,_xlfn.RANK.EQ(Sim_Output[[#This Row],[WTD_RET]],OFFSET(Sim_Output[[#This Row],[WTD_RET]],-Sim_Output[[#This Row],[OBS]]+1,0,12)))</f>
        <v>11</v>
      </c>
      <c r="L195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-0.8764948188199031</v>
      </c>
      <c r="M195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3.6842105263157919E-2</v>
      </c>
      <c r="N195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-0.27631578947368418</v>
      </c>
    </row>
    <row r="196" spans="2:14" x14ac:dyDescent="0.25">
      <c r="B196">
        <v>2</v>
      </c>
      <c r="C196">
        <v>5</v>
      </c>
      <c r="D196">
        <f>VALUE(RIGHT(Sim_Output[[#This Row],[OUTPUT]],LEN(Sim_Output[[#This Row],[OUTPUT]])-6))</f>
        <v>10</v>
      </c>
      <c r="E196">
        <v>1</v>
      </c>
      <c r="F196" t="str">
        <f>Sim_Output[[#This Row],[SIM_ID]]&amp;" - "&amp;Sim_Output[[#This Row],[WEEK]]&amp;" - "&amp;Sim_Output[[#This Row],[REGIME]]</f>
        <v>2 - 5 - 1</v>
      </c>
      <c r="G196" t="s">
        <v>54</v>
      </c>
      <c r="H196">
        <v>61</v>
      </c>
      <c r="I196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196" s="7">
        <f>Sim_Output[[#This Row],[VALUE]]/SUMIFS(Sim_Output[VALUE],Sim_Output[SIM_ID],Sim_Output[[#This Row],[SIM_ID]],Sim_Output[WEEK],Sim_Output[[#This Row],[WEEK]],Sim_Output[OUTPUT],"PRICE_0")-1</f>
        <v>-0.34408602150537637</v>
      </c>
      <c r="K196" s="4">
        <f ca="1">IF(Sim_Output[[#This Row],[OUTPUT]]="PRICE_0",0,_xlfn.RANK.EQ(Sim_Output[[#This Row],[WTD_RET]],OFFSET(Sim_Output[[#This Row],[WTD_RET]],-Sim_Output[[#This Row],[OBS]]+1,0,12)))</f>
        <v>10</v>
      </c>
      <c r="L196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-0.77742476080572254</v>
      </c>
      <c r="M196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6.8421052631578938E-2</v>
      </c>
      <c r="N196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0.10909090909090913</v>
      </c>
    </row>
    <row r="197" spans="2:14" x14ac:dyDescent="0.25">
      <c r="B197">
        <v>2</v>
      </c>
      <c r="C197">
        <v>5</v>
      </c>
      <c r="D197">
        <f>VALUE(RIGHT(Sim_Output[[#This Row],[OUTPUT]],LEN(Sim_Output[[#This Row],[OUTPUT]])-6))</f>
        <v>11</v>
      </c>
      <c r="E197">
        <v>1</v>
      </c>
      <c r="F197" t="str">
        <f>Sim_Output[[#This Row],[SIM_ID]]&amp;" - "&amp;Sim_Output[[#This Row],[WEEK]]&amp;" - "&amp;Sim_Output[[#This Row],[REGIME]]</f>
        <v>2 - 5 - 1</v>
      </c>
      <c r="G197" t="s">
        <v>55</v>
      </c>
      <c r="H197">
        <v>48</v>
      </c>
      <c r="I197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197" s="7">
        <f>Sim_Output[[#This Row],[VALUE]]/SUMIFS(Sim_Output[VALUE],Sim_Output[SIM_ID],Sim_Output[[#This Row],[SIM_ID]],Sim_Output[WEEK],Sim_Output[[#This Row],[WEEK]],Sim_Output[OUTPUT],"PRICE_0")-1</f>
        <v>-0.4838709677419355</v>
      </c>
      <c r="K197" s="4">
        <f ca="1">IF(Sim_Output[[#This Row],[OUTPUT]]="PRICE_0",0,_xlfn.RANK.EQ(Sim_Output[[#This Row],[WTD_RET]],OFFSET(Sim_Output[[#This Row],[WTD_RET]],-Sim_Output[[#This Row],[OBS]]+1,0,12)))</f>
        <v>12</v>
      </c>
      <c r="L197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-0.99207655316978072</v>
      </c>
      <c r="M197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</v>
      </c>
      <c r="N197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-0.21311475409836067</v>
      </c>
    </row>
    <row r="198" spans="2:14" x14ac:dyDescent="0.25">
      <c r="B198">
        <v>2</v>
      </c>
      <c r="C198">
        <v>5</v>
      </c>
      <c r="D198">
        <f>VALUE(RIGHT(Sim_Output[[#This Row],[OUTPUT]],LEN(Sim_Output[[#This Row],[OUTPUT]])-6))</f>
        <v>12</v>
      </c>
      <c r="E198">
        <v>1</v>
      </c>
      <c r="F198" t="str">
        <f>Sim_Output[[#This Row],[SIM_ID]]&amp;" - "&amp;Sim_Output[[#This Row],[WEEK]]&amp;" - "&amp;Sim_Output[[#This Row],[REGIME]]</f>
        <v>2 - 5 - 1</v>
      </c>
      <c r="G198" t="s">
        <v>56</v>
      </c>
      <c r="H198">
        <v>65</v>
      </c>
      <c r="I198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198" s="7">
        <f>Sim_Output[[#This Row],[VALUE]]/SUMIFS(Sim_Output[VALUE],Sim_Output[SIM_ID],Sim_Output[[#This Row],[SIM_ID]],Sim_Output[WEEK],Sim_Output[[#This Row],[WEEK]],Sim_Output[OUTPUT],"PRICE_0")-1</f>
        <v>-0.30107526881720426</v>
      </c>
      <c r="K198" s="4">
        <f ca="1">IF(Sim_Output[[#This Row],[OUTPUT]]="PRICE_0",0,_xlfn.RANK.EQ(Sim_Output[[#This Row],[WTD_RET]],OFFSET(Sim_Output[[#This Row],[WTD_RET]],-Sim_Output[[#This Row],[OBS]]+1,0,12)))</f>
        <v>9</v>
      </c>
      <c r="L198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-0.71137805546293553</v>
      </c>
      <c r="M198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8.9473684210526344E-2</v>
      </c>
      <c r="N198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0.35416666666666674</v>
      </c>
    </row>
    <row r="199" spans="2:14" x14ac:dyDescent="0.25">
      <c r="B199">
        <v>2</v>
      </c>
      <c r="C199">
        <v>6</v>
      </c>
      <c r="D199">
        <f>VALUE(RIGHT(Sim_Output[[#This Row],[OUTPUT]],LEN(Sim_Output[[#This Row],[OUTPUT]])-6))</f>
        <v>0</v>
      </c>
      <c r="E199">
        <v>0</v>
      </c>
      <c r="F199" t="str">
        <f>Sim_Output[[#This Row],[SIM_ID]]&amp;" - "&amp;Sim_Output[[#This Row],[WEEK]]&amp;" - "&amp;Sim_Output[[#This Row],[REGIME]]</f>
        <v>2 - 6 - 0</v>
      </c>
      <c r="G199" t="s">
        <v>44</v>
      </c>
      <c r="H199">
        <v>107</v>
      </c>
      <c r="I199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199" s="7">
        <f>Sim_Output[[#This Row],[VALUE]]/SUMIFS(Sim_Output[VALUE],Sim_Output[SIM_ID],Sim_Output[[#This Row],[SIM_ID]],Sim_Output[WEEK],Sim_Output[[#This Row],[WEEK]],Sim_Output[OUTPUT],"PRICE_0")-1</f>
        <v>0</v>
      </c>
      <c r="K199" s="4">
        <f ca="1">IF(Sim_Output[[#This Row],[OUTPUT]]="PRICE_0",0,_xlfn.RANK.EQ(Sim_Output[[#This Row],[WTD_RET]],OFFSET(Sim_Output[[#This Row],[WTD_RET]],-Sim_Output[[#This Row],[OBS]]+1,0,12)))</f>
        <v>0</v>
      </c>
      <c r="L199" s="3" t="str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/>
      </c>
      <c r="M199" s="3" t="str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/>
      </c>
      <c r="N199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</v>
      </c>
    </row>
    <row r="200" spans="2:14" x14ac:dyDescent="0.25">
      <c r="B200">
        <v>2</v>
      </c>
      <c r="C200">
        <v>6</v>
      </c>
      <c r="D200">
        <f>VALUE(RIGHT(Sim_Output[[#This Row],[OUTPUT]],LEN(Sim_Output[[#This Row],[OUTPUT]])-6))</f>
        <v>1</v>
      </c>
      <c r="E200">
        <v>0</v>
      </c>
      <c r="F200" t="str">
        <f>Sim_Output[[#This Row],[SIM_ID]]&amp;" - "&amp;Sim_Output[[#This Row],[WEEK]]&amp;" - "&amp;Sim_Output[[#This Row],[REGIME]]</f>
        <v>2 - 6 - 0</v>
      </c>
      <c r="G200" t="s">
        <v>45</v>
      </c>
      <c r="H200">
        <v>82</v>
      </c>
      <c r="I200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200" s="7">
        <f>Sim_Output[[#This Row],[VALUE]]/SUMIFS(Sim_Output[VALUE],Sim_Output[SIM_ID],Sim_Output[[#This Row],[SIM_ID]],Sim_Output[WEEK],Sim_Output[[#This Row],[WEEK]],Sim_Output[OUTPUT],"PRICE_0")-1</f>
        <v>-0.23364485981308414</v>
      </c>
      <c r="K200" s="4">
        <f ca="1">IF(Sim_Output[[#This Row],[OUTPUT]]="PRICE_0",0,_xlfn.RANK.EQ(Sim_Output[[#This Row],[WTD_RET]],OFFSET(Sim_Output[[#This Row],[WTD_RET]],-Sim_Output[[#This Row],[OBS]]+1,0,12)))</f>
        <v>8</v>
      </c>
      <c r="L200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-0.88486342577144494</v>
      </c>
      <c r="M200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0.18421052631578949</v>
      </c>
      <c r="N200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-0.23364485981308414</v>
      </c>
    </row>
    <row r="201" spans="2:14" x14ac:dyDescent="0.25">
      <c r="B201">
        <v>2</v>
      </c>
      <c r="C201">
        <v>6</v>
      </c>
      <c r="D201">
        <f>VALUE(RIGHT(Sim_Output[[#This Row],[OUTPUT]],LEN(Sim_Output[[#This Row],[OUTPUT]])-6))</f>
        <v>2</v>
      </c>
      <c r="E201">
        <v>0</v>
      </c>
      <c r="F201" t="str">
        <f>Sim_Output[[#This Row],[SIM_ID]]&amp;" - "&amp;Sim_Output[[#This Row],[WEEK]]&amp;" - "&amp;Sim_Output[[#This Row],[REGIME]]</f>
        <v>2 - 6 - 0</v>
      </c>
      <c r="G201" t="s">
        <v>46</v>
      </c>
      <c r="H201">
        <v>72</v>
      </c>
      <c r="I201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201" s="7">
        <f>Sim_Output[[#This Row],[VALUE]]/SUMIFS(Sim_Output[VALUE],Sim_Output[SIM_ID],Sim_Output[[#This Row],[SIM_ID]],Sim_Output[WEEK],Sim_Output[[#This Row],[WEEK]],Sim_Output[OUTPUT],"PRICE_0")-1</f>
        <v>-0.32710280373831779</v>
      </c>
      <c r="K201" s="4">
        <f ca="1">IF(Sim_Output[[#This Row],[OUTPUT]]="PRICE_0",0,_xlfn.RANK.EQ(Sim_Output[[#This Row],[WTD_RET]],OFFSET(Sim_Output[[#This Row],[WTD_RET]],-Sim_Output[[#This Row],[OBS]]+1,0,12)))</f>
        <v>11</v>
      </c>
      <c r="L201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-1.2056598339061078</v>
      </c>
      <c r="M201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5.2631578947368432E-2</v>
      </c>
      <c r="N201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-0.12195121951219512</v>
      </c>
    </row>
    <row r="202" spans="2:14" x14ac:dyDescent="0.25">
      <c r="B202">
        <v>2</v>
      </c>
      <c r="C202">
        <v>6</v>
      </c>
      <c r="D202">
        <f>VALUE(RIGHT(Sim_Output[[#This Row],[OUTPUT]],LEN(Sim_Output[[#This Row],[OUTPUT]])-6))</f>
        <v>3</v>
      </c>
      <c r="E202">
        <v>0</v>
      </c>
      <c r="F202" t="str">
        <f>Sim_Output[[#This Row],[SIM_ID]]&amp;" - "&amp;Sim_Output[[#This Row],[WEEK]]&amp;" - "&amp;Sim_Output[[#This Row],[REGIME]]</f>
        <v>2 - 6 - 0</v>
      </c>
      <c r="G202" t="s">
        <v>47</v>
      </c>
      <c r="H202">
        <v>138</v>
      </c>
      <c r="I202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202" s="7">
        <f>Sim_Output[[#This Row],[VALUE]]/SUMIFS(Sim_Output[VALUE],Sim_Output[SIM_ID],Sim_Output[[#This Row],[SIM_ID]],Sim_Output[WEEK],Sim_Output[[#This Row],[WEEK]],Sim_Output[OUTPUT],"PRICE_0")-1</f>
        <v>0.28971962616822422</v>
      </c>
      <c r="K202" s="4">
        <f ca="1">IF(Sim_Output[[#This Row],[OUTPUT]]="PRICE_0",0,_xlfn.RANK.EQ(Sim_Output[[#This Row],[WTD_RET]],OFFSET(Sim_Output[[#This Row],[WTD_RET]],-Sim_Output[[#This Row],[OBS]]+1,0,12)))</f>
        <v>3</v>
      </c>
      <c r="L202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0.91159645978266668</v>
      </c>
      <c r="M202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0.92105263157894735</v>
      </c>
      <c r="N202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0.91666666666666674</v>
      </c>
    </row>
    <row r="203" spans="2:14" x14ac:dyDescent="0.25">
      <c r="B203">
        <v>2</v>
      </c>
      <c r="C203">
        <v>6</v>
      </c>
      <c r="D203">
        <f>VALUE(RIGHT(Sim_Output[[#This Row],[OUTPUT]],LEN(Sim_Output[[#This Row],[OUTPUT]])-6))</f>
        <v>4</v>
      </c>
      <c r="E203">
        <v>0</v>
      </c>
      <c r="F203" t="str">
        <f>Sim_Output[[#This Row],[SIM_ID]]&amp;" - "&amp;Sim_Output[[#This Row],[WEEK]]&amp;" - "&amp;Sim_Output[[#This Row],[REGIME]]</f>
        <v>2 - 6 - 0</v>
      </c>
      <c r="G203" t="s">
        <v>48</v>
      </c>
      <c r="H203">
        <v>136</v>
      </c>
      <c r="I203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203" s="7">
        <f>Sim_Output[[#This Row],[VALUE]]/SUMIFS(Sim_Output[VALUE],Sim_Output[SIM_ID],Sim_Output[[#This Row],[SIM_ID]],Sim_Output[WEEK],Sim_Output[[#This Row],[WEEK]],Sim_Output[OUTPUT],"PRICE_0")-1</f>
        <v>0.27102803738317749</v>
      </c>
      <c r="K203" s="4">
        <f ca="1">IF(Sim_Output[[#This Row],[OUTPUT]]="PRICE_0",0,_xlfn.RANK.EQ(Sim_Output[[#This Row],[WTD_RET]],OFFSET(Sim_Output[[#This Row],[WTD_RET]],-Sim_Output[[#This Row],[OBS]]+1,0,12)))</f>
        <v>5</v>
      </c>
      <c r="L203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0.84743717815573416</v>
      </c>
      <c r="M203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0.89473684210526316</v>
      </c>
      <c r="N203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-1.4492753623188359E-2</v>
      </c>
    </row>
    <row r="204" spans="2:14" x14ac:dyDescent="0.25">
      <c r="B204">
        <v>2</v>
      </c>
      <c r="C204">
        <v>6</v>
      </c>
      <c r="D204">
        <f>VALUE(RIGHT(Sim_Output[[#This Row],[OUTPUT]],LEN(Sim_Output[[#This Row],[OUTPUT]])-6))</f>
        <v>5</v>
      </c>
      <c r="E204">
        <v>0</v>
      </c>
      <c r="F204" t="str">
        <f>Sim_Output[[#This Row],[SIM_ID]]&amp;" - "&amp;Sim_Output[[#This Row],[WEEK]]&amp;" - "&amp;Sim_Output[[#This Row],[REGIME]]</f>
        <v>2 - 6 - 0</v>
      </c>
      <c r="G204" t="s">
        <v>49</v>
      </c>
      <c r="H204">
        <v>125</v>
      </c>
      <c r="I204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204" s="7">
        <f>Sim_Output[[#This Row],[VALUE]]/SUMIFS(Sim_Output[VALUE],Sim_Output[SIM_ID],Sim_Output[[#This Row],[SIM_ID]],Sim_Output[WEEK],Sim_Output[[#This Row],[WEEK]],Sim_Output[OUTPUT],"PRICE_0")-1</f>
        <v>0.16822429906542058</v>
      </c>
      <c r="K204" s="4">
        <f ca="1">IF(Sim_Output[[#This Row],[OUTPUT]]="PRICE_0",0,_xlfn.RANK.EQ(Sim_Output[[#This Row],[WTD_RET]],OFFSET(Sim_Output[[#This Row],[WTD_RET]],-Sim_Output[[#This Row],[OBS]]+1,0,12)))</f>
        <v>6</v>
      </c>
      <c r="L204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0.49456112920760537</v>
      </c>
      <c r="M204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0.75000000000000011</v>
      </c>
      <c r="N204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-8.0882352941176516E-2</v>
      </c>
    </row>
    <row r="205" spans="2:14" x14ac:dyDescent="0.25">
      <c r="B205">
        <v>2</v>
      </c>
      <c r="C205">
        <v>6</v>
      </c>
      <c r="D205">
        <f>VALUE(RIGHT(Sim_Output[[#This Row],[OUTPUT]],LEN(Sim_Output[[#This Row],[OUTPUT]])-6))</f>
        <v>6</v>
      </c>
      <c r="E205">
        <v>0</v>
      </c>
      <c r="F205" t="str">
        <f>Sim_Output[[#This Row],[SIM_ID]]&amp;" - "&amp;Sim_Output[[#This Row],[WEEK]]&amp;" - "&amp;Sim_Output[[#This Row],[REGIME]]</f>
        <v>2 - 6 - 0</v>
      </c>
      <c r="G205" t="s">
        <v>50</v>
      </c>
      <c r="H205">
        <v>142</v>
      </c>
      <c r="I205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205" s="7">
        <f>Sim_Output[[#This Row],[VALUE]]/SUMIFS(Sim_Output[VALUE],Sim_Output[SIM_ID],Sim_Output[[#This Row],[SIM_ID]],Sim_Output[WEEK],Sim_Output[[#This Row],[WEEK]],Sim_Output[OUTPUT],"PRICE_0")-1</f>
        <v>0.32710280373831768</v>
      </c>
      <c r="K205" s="4">
        <f ca="1">IF(Sim_Output[[#This Row],[OUTPUT]]="PRICE_0",0,_xlfn.RANK.EQ(Sim_Output[[#This Row],[WTD_RET]],OFFSET(Sim_Output[[#This Row],[WTD_RET]],-Sim_Output[[#This Row],[OBS]]+1,0,12)))</f>
        <v>2</v>
      </c>
      <c r="L205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1.0399150230365319</v>
      </c>
      <c r="M205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0.97368421052631582</v>
      </c>
      <c r="N205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0.1359999999999999</v>
      </c>
    </row>
    <row r="206" spans="2:14" x14ac:dyDescent="0.25">
      <c r="B206">
        <v>2</v>
      </c>
      <c r="C206">
        <v>6</v>
      </c>
      <c r="D206">
        <f>VALUE(RIGHT(Sim_Output[[#This Row],[OUTPUT]],LEN(Sim_Output[[#This Row],[OUTPUT]])-6))</f>
        <v>7</v>
      </c>
      <c r="E206">
        <v>0</v>
      </c>
      <c r="F206" t="str">
        <f>Sim_Output[[#This Row],[SIM_ID]]&amp;" - "&amp;Sim_Output[[#This Row],[WEEK]]&amp;" - "&amp;Sim_Output[[#This Row],[REGIME]]</f>
        <v>2 - 6 - 0</v>
      </c>
      <c r="G206" t="s">
        <v>51</v>
      </c>
      <c r="H206">
        <v>137</v>
      </c>
      <c r="I206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206" s="7">
        <f>Sim_Output[[#This Row],[VALUE]]/SUMIFS(Sim_Output[VALUE],Sim_Output[SIM_ID],Sim_Output[[#This Row],[SIM_ID]],Sim_Output[WEEK],Sim_Output[[#This Row],[WEEK]],Sim_Output[OUTPUT],"PRICE_0")-1</f>
        <v>0.28037383177570097</v>
      </c>
      <c r="K206" s="4">
        <f ca="1">IF(Sim_Output[[#This Row],[OUTPUT]]="PRICE_0",0,_xlfn.RANK.EQ(Sim_Output[[#This Row],[WTD_RET]],OFFSET(Sim_Output[[#This Row],[WTD_RET]],-Sim_Output[[#This Row],[OBS]]+1,0,12)))</f>
        <v>4</v>
      </c>
      <c r="L206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0.87951681896920075</v>
      </c>
      <c r="M206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0.90789473684210542</v>
      </c>
      <c r="N206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-3.5211267605633756E-2</v>
      </c>
    </row>
    <row r="207" spans="2:14" x14ac:dyDescent="0.25">
      <c r="B207">
        <v>2</v>
      </c>
      <c r="C207">
        <v>6</v>
      </c>
      <c r="D207">
        <f>VALUE(RIGHT(Sim_Output[[#This Row],[OUTPUT]],LEN(Sim_Output[[#This Row],[OUTPUT]])-6))</f>
        <v>8</v>
      </c>
      <c r="E207">
        <v>0</v>
      </c>
      <c r="F207" t="str">
        <f>Sim_Output[[#This Row],[SIM_ID]]&amp;" - "&amp;Sim_Output[[#This Row],[WEEK]]&amp;" - "&amp;Sim_Output[[#This Row],[REGIME]]</f>
        <v>2 - 6 - 0</v>
      </c>
      <c r="G207" t="s">
        <v>52</v>
      </c>
      <c r="H207">
        <v>115</v>
      </c>
      <c r="I207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207" s="7">
        <f>Sim_Output[[#This Row],[VALUE]]/SUMIFS(Sim_Output[VALUE],Sim_Output[SIM_ID],Sim_Output[[#This Row],[SIM_ID]],Sim_Output[WEEK],Sim_Output[[#This Row],[WEEK]],Sim_Output[OUTPUT],"PRICE_0")-1</f>
        <v>7.4766355140186924E-2</v>
      </c>
      <c r="K207" s="4">
        <f ca="1">IF(Sim_Output[[#This Row],[OUTPUT]]="PRICE_0",0,_xlfn.RANK.EQ(Sim_Output[[#This Row],[WTD_RET]],OFFSET(Sim_Output[[#This Row],[WTD_RET]],-Sim_Output[[#This Row],[OBS]]+1,0,12)))</f>
        <v>7</v>
      </c>
      <c r="L207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0.17376472107294252</v>
      </c>
      <c r="M207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0.61842105263157909</v>
      </c>
      <c r="N207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-0.16058394160583944</v>
      </c>
    </row>
    <row r="208" spans="2:14" x14ac:dyDescent="0.25">
      <c r="B208">
        <v>2</v>
      </c>
      <c r="C208">
        <v>6</v>
      </c>
      <c r="D208">
        <f>VALUE(RIGHT(Sim_Output[[#This Row],[OUTPUT]],LEN(Sim_Output[[#This Row],[OUTPUT]])-6))</f>
        <v>9</v>
      </c>
      <c r="E208">
        <v>0</v>
      </c>
      <c r="F208" t="str">
        <f>Sim_Output[[#This Row],[SIM_ID]]&amp;" - "&amp;Sim_Output[[#This Row],[WEEK]]&amp;" - "&amp;Sim_Output[[#This Row],[REGIME]]</f>
        <v>2 - 6 - 0</v>
      </c>
      <c r="G208" t="s">
        <v>53</v>
      </c>
      <c r="H208">
        <v>144</v>
      </c>
      <c r="I208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208" s="7">
        <f>Sim_Output[[#This Row],[VALUE]]/SUMIFS(Sim_Output[VALUE],Sim_Output[SIM_ID],Sim_Output[[#This Row],[SIM_ID]],Sim_Output[WEEK],Sim_Output[[#This Row],[WEEK]],Sim_Output[OUTPUT],"PRICE_0")-1</f>
        <v>0.34579439252336441</v>
      </c>
      <c r="K208" s="4">
        <f ca="1">IF(Sim_Output[[#This Row],[OUTPUT]]="PRICE_0",0,_xlfn.RANK.EQ(Sim_Output[[#This Row],[WTD_RET]],OFFSET(Sim_Output[[#This Row],[WTD_RET]],-Sim_Output[[#This Row],[OBS]]+1,0,12)))</f>
        <v>1</v>
      </c>
      <c r="L208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1.1040743046634645</v>
      </c>
      <c r="M208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1</v>
      </c>
      <c r="N208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0.25217391304347836</v>
      </c>
    </row>
    <row r="209" spans="2:14" x14ac:dyDescent="0.25">
      <c r="B209">
        <v>2</v>
      </c>
      <c r="C209">
        <v>6</v>
      </c>
      <c r="D209">
        <f>VALUE(RIGHT(Sim_Output[[#This Row],[OUTPUT]],LEN(Sim_Output[[#This Row],[OUTPUT]])-6))</f>
        <v>10</v>
      </c>
      <c r="E209">
        <v>0</v>
      </c>
      <c r="F209" t="str">
        <f>Sim_Output[[#This Row],[SIM_ID]]&amp;" - "&amp;Sim_Output[[#This Row],[WEEK]]&amp;" - "&amp;Sim_Output[[#This Row],[REGIME]]</f>
        <v>2 - 6 - 0</v>
      </c>
      <c r="G209" t="s">
        <v>54</v>
      </c>
      <c r="H209">
        <v>82</v>
      </c>
      <c r="I209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209" s="7">
        <f>Sim_Output[[#This Row],[VALUE]]/SUMIFS(Sim_Output[VALUE],Sim_Output[SIM_ID],Sim_Output[[#This Row],[SIM_ID]],Sim_Output[WEEK],Sim_Output[[#This Row],[WEEK]],Sim_Output[OUTPUT],"PRICE_0")-1</f>
        <v>-0.23364485981308414</v>
      </c>
      <c r="K209" s="4">
        <f ca="1">IF(Sim_Output[[#This Row],[OUTPUT]]="PRICE_0",0,_xlfn.RANK.EQ(Sim_Output[[#This Row],[WTD_RET]],OFFSET(Sim_Output[[#This Row],[WTD_RET]],-Sim_Output[[#This Row],[OBS]]+1,0,12)))</f>
        <v>8</v>
      </c>
      <c r="L209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-0.88486342577144494</v>
      </c>
      <c r="M209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0.18421052631578949</v>
      </c>
      <c r="N209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-0.43055555555555558</v>
      </c>
    </row>
    <row r="210" spans="2:14" x14ac:dyDescent="0.25">
      <c r="B210">
        <v>2</v>
      </c>
      <c r="C210">
        <v>6</v>
      </c>
      <c r="D210">
        <f>VALUE(RIGHT(Sim_Output[[#This Row],[OUTPUT]],LEN(Sim_Output[[#This Row],[OUTPUT]])-6))</f>
        <v>11</v>
      </c>
      <c r="E210">
        <v>0</v>
      </c>
      <c r="F210" t="str">
        <f>Sim_Output[[#This Row],[SIM_ID]]&amp;" - "&amp;Sim_Output[[#This Row],[WEEK]]&amp;" - "&amp;Sim_Output[[#This Row],[REGIME]]</f>
        <v>2 - 6 - 0</v>
      </c>
      <c r="G210" t="s">
        <v>55</v>
      </c>
      <c r="H210">
        <v>74</v>
      </c>
      <c r="I210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210" s="7">
        <f>Sim_Output[[#This Row],[VALUE]]/SUMIFS(Sim_Output[VALUE],Sim_Output[SIM_ID],Sim_Output[[#This Row],[SIM_ID]],Sim_Output[WEEK],Sim_Output[[#This Row],[WEEK]],Sim_Output[OUTPUT],"PRICE_0")-1</f>
        <v>-0.30841121495327106</v>
      </c>
      <c r="K210" s="4">
        <f ca="1">IF(Sim_Output[[#This Row],[OUTPUT]]="PRICE_0",0,_xlfn.RANK.EQ(Sim_Output[[#This Row],[WTD_RET]],OFFSET(Sim_Output[[#This Row],[WTD_RET]],-Sim_Output[[#This Row],[OBS]]+1,0,12)))</f>
        <v>10</v>
      </c>
      <c r="L210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-1.1415005522791752</v>
      </c>
      <c r="M210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7.8947368421052641E-2</v>
      </c>
      <c r="N210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-9.7560975609756073E-2</v>
      </c>
    </row>
    <row r="211" spans="2:14" x14ac:dyDescent="0.25">
      <c r="B211">
        <v>2</v>
      </c>
      <c r="C211">
        <v>6</v>
      </c>
      <c r="D211">
        <f>VALUE(RIGHT(Sim_Output[[#This Row],[OUTPUT]],LEN(Sim_Output[[#This Row],[OUTPUT]])-6))</f>
        <v>12</v>
      </c>
      <c r="E211">
        <v>0</v>
      </c>
      <c r="F211" t="str">
        <f>Sim_Output[[#This Row],[SIM_ID]]&amp;" - "&amp;Sim_Output[[#This Row],[WEEK]]&amp;" - "&amp;Sim_Output[[#This Row],[REGIME]]</f>
        <v>2 - 6 - 0</v>
      </c>
      <c r="G211" t="s">
        <v>56</v>
      </c>
      <c r="H211">
        <v>68</v>
      </c>
      <c r="I211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211" s="7">
        <f>Sim_Output[[#This Row],[VALUE]]/SUMIFS(Sim_Output[VALUE],Sim_Output[SIM_ID],Sim_Output[[#This Row],[SIM_ID]],Sim_Output[WEEK],Sim_Output[[#This Row],[WEEK]],Sim_Output[OUTPUT],"PRICE_0")-1</f>
        <v>-0.36448598130841126</v>
      </c>
      <c r="K211" s="4">
        <f ca="1">IF(Sim_Output[[#This Row],[OUTPUT]]="PRICE_0",0,_xlfn.RANK.EQ(Sim_Output[[#This Row],[WTD_RET]],OFFSET(Sim_Output[[#This Row],[WTD_RET]],-Sim_Output[[#This Row],[OBS]]+1,0,12)))</f>
        <v>12</v>
      </c>
      <c r="L211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-1.333978397159973</v>
      </c>
      <c r="M211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</v>
      </c>
      <c r="N211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-8.108108108108103E-2</v>
      </c>
    </row>
    <row r="212" spans="2:14" x14ac:dyDescent="0.25">
      <c r="B212">
        <v>2</v>
      </c>
      <c r="C212">
        <v>7</v>
      </c>
      <c r="D212">
        <f>VALUE(RIGHT(Sim_Output[[#This Row],[OUTPUT]],LEN(Sim_Output[[#This Row],[OUTPUT]])-6))</f>
        <v>0</v>
      </c>
      <c r="E212">
        <v>3</v>
      </c>
      <c r="F212" t="str">
        <f>Sim_Output[[#This Row],[SIM_ID]]&amp;" - "&amp;Sim_Output[[#This Row],[WEEK]]&amp;" - "&amp;Sim_Output[[#This Row],[REGIME]]</f>
        <v>2 - 7 - 3</v>
      </c>
      <c r="G212" t="s">
        <v>44</v>
      </c>
      <c r="H212">
        <v>100</v>
      </c>
      <c r="I212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212" s="7">
        <f>Sim_Output[[#This Row],[VALUE]]/SUMIFS(Sim_Output[VALUE],Sim_Output[SIM_ID],Sim_Output[[#This Row],[SIM_ID]],Sim_Output[WEEK],Sim_Output[[#This Row],[WEEK]],Sim_Output[OUTPUT],"PRICE_0")-1</f>
        <v>0</v>
      </c>
      <c r="K212" s="4">
        <f ca="1">IF(Sim_Output[[#This Row],[OUTPUT]]="PRICE_0",0,_xlfn.RANK.EQ(Sim_Output[[#This Row],[WTD_RET]],OFFSET(Sim_Output[[#This Row],[WTD_RET]],-Sim_Output[[#This Row],[OBS]]+1,0,12)))</f>
        <v>0</v>
      </c>
      <c r="L212" s="3" t="str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/>
      </c>
      <c r="M212" s="3" t="str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/>
      </c>
      <c r="N212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</v>
      </c>
    </row>
    <row r="213" spans="2:14" x14ac:dyDescent="0.25">
      <c r="B213">
        <v>2</v>
      </c>
      <c r="C213">
        <v>7</v>
      </c>
      <c r="D213">
        <f>VALUE(RIGHT(Sim_Output[[#This Row],[OUTPUT]],LEN(Sim_Output[[#This Row],[OUTPUT]])-6))</f>
        <v>1</v>
      </c>
      <c r="E213">
        <v>3</v>
      </c>
      <c r="F213" t="str">
        <f>Sim_Output[[#This Row],[SIM_ID]]&amp;" - "&amp;Sim_Output[[#This Row],[WEEK]]&amp;" - "&amp;Sim_Output[[#This Row],[REGIME]]</f>
        <v>2 - 7 - 3</v>
      </c>
      <c r="G213" t="s">
        <v>45</v>
      </c>
      <c r="H213">
        <v>55</v>
      </c>
      <c r="I213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213" s="7">
        <f>Sim_Output[[#This Row],[VALUE]]/SUMIFS(Sim_Output[VALUE],Sim_Output[SIM_ID],Sim_Output[[#This Row],[SIM_ID]],Sim_Output[WEEK],Sim_Output[[#This Row],[WEEK]],Sim_Output[OUTPUT],"PRICE_0")-1</f>
        <v>-0.44999999999999996</v>
      </c>
      <c r="K213" s="4">
        <f ca="1">IF(Sim_Output[[#This Row],[OUTPUT]]="PRICE_0",0,_xlfn.RANK.EQ(Sim_Output[[#This Row],[WTD_RET]],OFFSET(Sim_Output[[#This Row],[WTD_RET]],-Sim_Output[[#This Row],[OBS]]+1,0,12)))</f>
        <v>6</v>
      </c>
      <c r="L213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-0.39098398864838829</v>
      </c>
      <c r="M213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0.13548387096774192</v>
      </c>
      <c r="N213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-0.44999999999999996</v>
      </c>
    </row>
    <row r="214" spans="2:14" x14ac:dyDescent="0.25">
      <c r="B214">
        <v>2</v>
      </c>
      <c r="C214">
        <v>7</v>
      </c>
      <c r="D214">
        <f>VALUE(RIGHT(Sim_Output[[#This Row],[OUTPUT]],LEN(Sim_Output[[#This Row],[OUTPUT]])-6))</f>
        <v>2</v>
      </c>
      <c r="E214">
        <v>3</v>
      </c>
      <c r="F214" t="str">
        <f>Sim_Output[[#This Row],[SIM_ID]]&amp;" - "&amp;Sim_Output[[#This Row],[WEEK]]&amp;" - "&amp;Sim_Output[[#This Row],[REGIME]]</f>
        <v>2 - 7 - 3</v>
      </c>
      <c r="G214" t="s">
        <v>46</v>
      </c>
      <c r="H214">
        <v>114</v>
      </c>
      <c r="I214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214" s="7">
        <f>Sim_Output[[#This Row],[VALUE]]/SUMIFS(Sim_Output[VALUE],Sim_Output[SIM_ID],Sim_Output[[#This Row],[SIM_ID]],Sim_Output[WEEK],Sim_Output[[#This Row],[WEEK]],Sim_Output[OUTPUT],"PRICE_0")-1</f>
        <v>0.1399999999999999</v>
      </c>
      <c r="K214" s="4">
        <f ca="1">IF(Sim_Output[[#This Row],[OUTPUT]]="PRICE_0",0,_xlfn.RANK.EQ(Sim_Output[[#This Row],[WTD_RET]],OFFSET(Sim_Output[[#This Row],[WTD_RET]],-Sim_Output[[#This Row],[OBS]]+1,0,12)))</f>
        <v>2</v>
      </c>
      <c r="L214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0.91475499230943713</v>
      </c>
      <c r="M214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0.5161290322580645</v>
      </c>
      <c r="N214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1.0727272727272728</v>
      </c>
    </row>
    <row r="215" spans="2:14" x14ac:dyDescent="0.25">
      <c r="B215">
        <v>2</v>
      </c>
      <c r="C215">
        <v>7</v>
      </c>
      <c r="D215">
        <f>VALUE(RIGHT(Sim_Output[[#This Row],[OUTPUT]],LEN(Sim_Output[[#This Row],[OUTPUT]])-6))</f>
        <v>3</v>
      </c>
      <c r="E215">
        <v>3</v>
      </c>
      <c r="F215" t="str">
        <f>Sim_Output[[#This Row],[SIM_ID]]&amp;" - "&amp;Sim_Output[[#This Row],[WEEK]]&amp;" - "&amp;Sim_Output[[#This Row],[REGIME]]</f>
        <v>2 - 7 - 3</v>
      </c>
      <c r="G215" t="s">
        <v>47</v>
      </c>
      <c r="H215">
        <v>114</v>
      </c>
      <c r="I215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215" s="7">
        <f>Sim_Output[[#This Row],[VALUE]]/SUMIFS(Sim_Output[VALUE],Sim_Output[SIM_ID],Sim_Output[[#This Row],[SIM_ID]],Sim_Output[WEEK],Sim_Output[[#This Row],[WEEK]],Sim_Output[OUTPUT],"PRICE_0")-1</f>
        <v>0.1399999999999999</v>
      </c>
      <c r="K215" s="4">
        <f ca="1">IF(Sim_Output[[#This Row],[OUTPUT]]="PRICE_0",0,_xlfn.RANK.EQ(Sim_Output[[#This Row],[WTD_RET]],OFFSET(Sim_Output[[#This Row],[WTD_RET]],-Sim_Output[[#This Row],[OBS]]+1,0,12)))</f>
        <v>2</v>
      </c>
      <c r="L215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0.91475499230943713</v>
      </c>
      <c r="M215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0.5161290322580645</v>
      </c>
      <c r="N215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</v>
      </c>
    </row>
    <row r="216" spans="2:14" x14ac:dyDescent="0.25">
      <c r="B216">
        <v>2</v>
      </c>
      <c r="C216">
        <v>7</v>
      </c>
      <c r="D216">
        <f>VALUE(RIGHT(Sim_Output[[#This Row],[OUTPUT]],LEN(Sim_Output[[#This Row],[OUTPUT]])-6))</f>
        <v>4</v>
      </c>
      <c r="E216">
        <v>3</v>
      </c>
      <c r="F216" t="str">
        <f>Sim_Output[[#This Row],[SIM_ID]]&amp;" - "&amp;Sim_Output[[#This Row],[WEEK]]&amp;" - "&amp;Sim_Output[[#This Row],[REGIME]]</f>
        <v>2 - 7 - 3</v>
      </c>
      <c r="G216" t="s">
        <v>48</v>
      </c>
      <c r="H216">
        <v>60</v>
      </c>
      <c r="I216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216" s="7">
        <f>Sim_Output[[#This Row],[VALUE]]/SUMIFS(Sim_Output[VALUE],Sim_Output[SIM_ID],Sim_Output[[#This Row],[SIM_ID]],Sim_Output[WEEK],Sim_Output[[#This Row],[WEEK]],Sim_Output[OUTPUT],"PRICE_0")-1</f>
        <v>-0.4</v>
      </c>
      <c r="K216" s="4">
        <f ca="1">IF(Sim_Output[[#This Row],[OUTPUT]]="PRICE_0",0,_xlfn.RANK.EQ(Sim_Output[[#This Row],[WTD_RET]],OFFSET(Sim_Output[[#This Row],[WTD_RET]],-Sim_Output[[#This Row],[OBS]]+1,0,12)))</f>
        <v>5</v>
      </c>
      <c r="L216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-0.28032814280450491</v>
      </c>
      <c r="M216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0.16774193548387092</v>
      </c>
      <c r="N216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-0.47368421052631582</v>
      </c>
    </row>
    <row r="217" spans="2:14" x14ac:dyDescent="0.25">
      <c r="B217">
        <v>2</v>
      </c>
      <c r="C217">
        <v>7</v>
      </c>
      <c r="D217">
        <f>VALUE(RIGHT(Sim_Output[[#This Row],[OUTPUT]],LEN(Sim_Output[[#This Row],[OUTPUT]])-6))</f>
        <v>5</v>
      </c>
      <c r="E217">
        <v>3</v>
      </c>
      <c r="F217" t="str">
        <f>Sim_Output[[#This Row],[SIM_ID]]&amp;" - "&amp;Sim_Output[[#This Row],[WEEK]]&amp;" - "&amp;Sim_Output[[#This Row],[REGIME]]</f>
        <v>2 - 7 - 3</v>
      </c>
      <c r="G217" t="s">
        <v>49</v>
      </c>
      <c r="H217">
        <v>189</v>
      </c>
      <c r="I217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217" s="7">
        <f>Sim_Output[[#This Row],[VALUE]]/SUMIFS(Sim_Output[VALUE],Sim_Output[SIM_ID],Sim_Output[[#This Row],[SIM_ID]],Sim_Output[WEEK],Sim_Output[[#This Row],[WEEK]],Sim_Output[OUTPUT],"PRICE_0")-1</f>
        <v>0.8899999999999999</v>
      </c>
      <c r="K217" s="4">
        <f ca="1">IF(Sim_Output[[#This Row],[OUTPUT]]="PRICE_0",0,_xlfn.RANK.EQ(Sim_Output[[#This Row],[WTD_RET]],OFFSET(Sim_Output[[#This Row],[WTD_RET]],-Sim_Output[[#This Row],[OBS]]+1,0,12)))</f>
        <v>1</v>
      </c>
      <c r="L217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2.5745926799676901</v>
      </c>
      <c r="M217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1</v>
      </c>
      <c r="N217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2.15</v>
      </c>
    </row>
    <row r="218" spans="2:14" x14ac:dyDescent="0.25">
      <c r="B218">
        <v>2</v>
      </c>
      <c r="C218">
        <v>7</v>
      </c>
      <c r="D218">
        <f>VALUE(RIGHT(Sim_Output[[#This Row],[OUTPUT]],LEN(Sim_Output[[#This Row],[OUTPUT]])-6))</f>
        <v>6</v>
      </c>
      <c r="E218">
        <v>3</v>
      </c>
      <c r="F218" t="str">
        <f>Sim_Output[[#This Row],[SIM_ID]]&amp;" - "&amp;Sim_Output[[#This Row],[WEEK]]&amp;" - "&amp;Sim_Output[[#This Row],[REGIME]]</f>
        <v>2 - 7 - 3</v>
      </c>
      <c r="G218" t="s">
        <v>50</v>
      </c>
      <c r="H218">
        <v>72</v>
      </c>
      <c r="I218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218" s="7">
        <f>Sim_Output[[#This Row],[VALUE]]/SUMIFS(Sim_Output[VALUE],Sim_Output[SIM_ID],Sim_Output[[#This Row],[SIM_ID]],Sim_Output[WEEK],Sim_Output[[#This Row],[WEEK]],Sim_Output[OUTPUT],"PRICE_0")-1</f>
        <v>-0.28000000000000003</v>
      </c>
      <c r="K218" s="4">
        <f ca="1">IF(Sim_Output[[#This Row],[OUTPUT]]="PRICE_0",0,_xlfn.RANK.EQ(Sim_Output[[#This Row],[WTD_RET]],OFFSET(Sim_Output[[#This Row],[WTD_RET]],-Sim_Output[[#This Row],[OBS]]+1,0,12)))</f>
        <v>4</v>
      </c>
      <c r="L218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-1.4754112779184444E-2</v>
      </c>
      <c r="M218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0.24516129032258061</v>
      </c>
      <c r="N218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-0.61904761904761907</v>
      </c>
    </row>
    <row r="219" spans="2:14" x14ac:dyDescent="0.25">
      <c r="B219">
        <v>2</v>
      </c>
      <c r="C219">
        <v>7</v>
      </c>
      <c r="D219">
        <f>VALUE(RIGHT(Sim_Output[[#This Row],[OUTPUT]],LEN(Sim_Output[[#This Row],[OUTPUT]])-6))</f>
        <v>7</v>
      </c>
      <c r="E219">
        <v>3</v>
      </c>
      <c r="F219" t="str">
        <f>Sim_Output[[#This Row],[SIM_ID]]&amp;" - "&amp;Sim_Output[[#This Row],[WEEK]]&amp;" - "&amp;Sim_Output[[#This Row],[REGIME]]</f>
        <v>2 - 7 - 3</v>
      </c>
      <c r="G219" t="s">
        <v>51</v>
      </c>
      <c r="H219">
        <v>55</v>
      </c>
      <c r="I219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219" s="7">
        <f>Sim_Output[[#This Row],[VALUE]]/SUMIFS(Sim_Output[VALUE],Sim_Output[SIM_ID],Sim_Output[[#This Row],[SIM_ID]],Sim_Output[WEEK],Sim_Output[[#This Row],[WEEK]],Sim_Output[OUTPUT],"PRICE_0")-1</f>
        <v>-0.44999999999999996</v>
      </c>
      <c r="K219" s="4">
        <f ca="1">IF(Sim_Output[[#This Row],[OUTPUT]]="PRICE_0",0,_xlfn.RANK.EQ(Sim_Output[[#This Row],[WTD_RET]],OFFSET(Sim_Output[[#This Row],[WTD_RET]],-Sim_Output[[#This Row],[OBS]]+1,0,12)))</f>
        <v>6</v>
      </c>
      <c r="L219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-0.39098398864838829</v>
      </c>
      <c r="M219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0.13548387096774192</v>
      </c>
      <c r="N219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-0.23611111111111116</v>
      </c>
    </row>
    <row r="220" spans="2:14" x14ac:dyDescent="0.25">
      <c r="B220">
        <v>2</v>
      </c>
      <c r="C220">
        <v>7</v>
      </c>
      <c r="D220">
        <f>VALUE(RIGHT(Sim_Output[[#This Row],[OUTPUT]],LEN(Sim_Output[[#This Row],[OUTPUT]])-6))</f>
        <v>8</v>
      </c>
      <c r="E220">
        <v>3</v>
      </c>
      <c r="F220" t="str">
        <f>Sim_Output[[#This Row],[SIM_ID]]&amp;" - "&amp;Sim_Output[[#This Row],[WEEK]]&amp;" - "&amp;Sim_Output[[#This Row],[REGIME]]</f>
        <v>2 - 7 - 3</v>
      </c>
      <c r="G220" t="s">
        <v>52</v>
      </c>
      <c r="H220">
        <v>52</v>
      </c>
      <c r="I220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220" s="7">
        <f>Sim_Output[[#This Row],[VALUE]]/SUMIFS(Sim_Output[VALUE],Sim_Output[SIM_ID],Sim_Output[[#This Row],[SIM_ID]],Sim_Output[WEEK],Sim_Output[[#This Row],[WEEK]],Sim_Output[OUTPUT],"PRICE_0")-1</f>
        <v>-0.48</v>
      </c>
      <c r="K220" s="4">
        <f ca="1">IF(Sim_Output[[#This Row],[OUTPUT]]="PRICE_0",0,_xlfn.RANK.EQ(Sim_Output[[#This Row],[WTD_RET]],OFFSET(Sim_Output[[#This Row],[WTD_RET]],-Sim_Output[[#This Row],[OBS]]+1,0,12)))</f>
        <v>8</v>
      </c>
      <c r="L220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-0.45737749615471845</v>
      </c>
      <c r="M220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0.11612903225806449</v>
      </c>
      <c r="N220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-5.4545454545454564E-2</v>
      </c>
    </row>
    <row r="221" spans="2:14" x14ac:dyDescent="0.25">
      <c r="B221">
        <v>2</v>
      </c>
      <c r="C221">
        <v>7</v>
      </c>
      <c r="D221">
        <f>VALUE(RIGHT(Sim_Output[[#This Row],[OUTPUT]],LEN(Sim_Output[[#This Row],[OUTPUT]])-6))</f>
        <v>9</v>
      </c>
      <c r="E221">
        <v>3</v>
      </c>
      <c r="F221" t="str">
        <f>Sim_Output[[#This Row],[SIM_ID]]&amp;" - "&amp;Sim_Output[[#This Row],[WEEK]]&amp;" - "&amp;Sim_Output[[#This Row],[REGIME]]</f>
        <v>2 - 7 - 3</v>
      </c>
      <c r="G221" t="s">
        <v>53</v>
      </c>
      <c r="H221">
        <v>47</v>
      </c>
      <c r="I221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221" s="7">
        <f>Sim_Output[[#This Row],[VALUE]]/SUMIFS(Sim_Output[VALUE],Sim_Output[SIM_ID],Sim_Output[[#This Row],[SIM_ID]],Sim_Output[WEEK],Sim_Output[[#This Row],[WEEK]],Sim_Output[OUTPUT],"PRICE_0")-1</f>
        <v>-0.53</v>
      </c>
      <c r="K221" s="4">
        <f ca="1">IF(Sim_Output[[#This Row],[OUTPUT]]="PRICE_0",0,_xlfn.RANK.EQ(Sim_Output[[#This Row],[WTD_RET]],OFFSET(Sim_Output[[#This Row],[WTD_RET]],-Sim_Output[[#This Row],[OBS]]+1,0,12)))</f>
        <v>9</v>
      </c>
      <c r="L221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-0.56803334199860211</v>
      </c>
      <c r="M221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8.387096774193542E-2</v>
      </c>
      <c r="N221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-9.6153846153846145E-2</v>
      </c>
    </row>
    <row r="222" spans="2:14" x14ac:dyDescent="0.25">
      <c r="B222">
        <v>2</v>
      </c>
      <c r="C222">
        <v>7</v>
      </c>
      <c r="D222">
        <f>VALUE(RIGHT(Sim_Output[[#This Row],[OUTPUT]],LEN(Sim_Output[[#This Row],[OUTPUT]])-6))</f>
        <v>10</v>
      </c>
      <c r="E222">
        <v>3</v>
      </c>
      <c r="F222" t="str">
        <f>Sim_Output[[#This Row],[SIM_ID]]&amp;" - "&amp;Sim_Output[[#This Row],[WEEK]]&amp;" - "&amp;Sim_Output[[#This Row],[REGIME]]</f>
        <v>2 - 7 - 3</v>
      </c>
      <c r="G222" t="s">
        <v>54</v>
      </c>
      <c r="H222">
        <v>42</v>
      </c>
      <c r="I222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222" s="7">
        <f>Sim_Output[[#This Row],[VALUE]]/SUMIFS(Sim_Output[VALUE],Sim_Output[SIM_ID],Sim_Output[[#This Row],[SIM_ID]],Sim_Output[WEEK],Sim_Output[[#This Row],[WEEK]],Sim_Output[OUTPUT],"PRICE_0")-1</f>
        <v>-0.58000000000000007</v>
      </c>
      <c r="K222" s="4">
        <f ca="1">IF(Sim_Output[[#This Row],[OUTPUT]]="PRICE_0",0,_xlfn.RANK.EQ(Sim_Output[[#This Row],[WTD_RET]],OFFSET(Sim_Output[[#This Row],[WTD_RET]],-Sim_Output[[#This Row],[OBS]]+1,0,12)))</f>
        <v>10</v>
      </c>
      <c r="L222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-0.67868918784248577</v>
      </c>
      <c r="M222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5.1612903225806361E-2</v>
      </c>
      <c r="N222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-0.1063829787234043</v>
      </c>
    </row>
    <row r="223" spans="2:14" x14ac:dyDescent="0.25">
      <c r="B223">
        <v>2</v>
      </c>
      <c r="C223">
        <v>7</v>
      </c>
      <c r="D223">
        <f>VALUE(RIGHT(Sim_Output[[#This Row],[OUTPUT]],LEN(Sim_Output[[#This Row],[OUTPUT]])-6))</f>
        <v>11</v>
      </c>
      <c r="E223">
        <v>3</v>
      </c>
      <c r="F223" t="str">
        <f>Sim_Output[[#This Row],[SIM_ID]]&amp;" - "&amp;Sim_Output[[#This Row],[WEEK]]&amp;" - "&amp;Sim_Output[[#This Row],[REGIME]]</f>
        <v>2 - 7 - 3</v>
      </c>
      <c r="G223" t="s">
        <v>55</v>
      </c>
      <c r="H223">
        <v>38</v>
      </c>
      <c r="I223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223" s="7">
        <f>Sim_Output[[#This Row],[VALUE]]/SUMIFS(Sim_Output[VALUE],Sim_Output[SIM_ID],Sim_Output[[#This Row],[SIM_ID]],Sim_Output[WEEK],Sim_Output[[#This Row],[WEEK]],Sim_Output[OUTPUT],"PRICE_0")-1</f>
        <v>-0.62</v>
      </c>
      <c r="K223" s="4">
        <f ca="1">IF(Sim_Output[[#This Row],[OUTPUT]]="PRICE_0",0,_xlfn.RANK.EQ(Sim_Output[[#This Row],[WTD_RET]],OFFSET(Sim_Output[[#This Row],[WTD_RET]],-Sim_Output[[#This Row],[OBS]]+1,0,12)))</f>
        <v>11</v>
      </c>
      <c r="L223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-0.76721386451759244</v>
      </c>
      <c r="M223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2.5806451612903181E-2</v>
      </c>
      <c r="N223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-9.5238095238095233E-2</v>
      </c>
    </row>
    <row r="224" spans="2:14" x14ac:dyDescent="0.25">
      <c r="B224">
        <v>2</v>
      </c>
      <c r="C224">
        <v>7</v>
      </c>
      <c r="D224">
        <f>VALUE(RIGHT(Sim_Output[[#This Row],[OUTPUT]],LEN(Sim_Output[[#This Row],[OUTPUT]])-6))</f>
        <v>12</v>
      </c>
      <c r="E224">
        <v>3</v>
      </c>
      <c r="F224" t="str">
        <f>Sim_Output[[#This Row],[SIM_ID]]&amp;" - "&amp;Sim_Output[[#This Row],[WEEK]]&amp;" - "&amp;Sim_Output[[#This Row],[REGIME]]</f>
        <v>2 - 7 - 3</v>
      </c>
      <c r="G224" t="s">
        <v>56</v>
      </c>
      <c r="H224">
        <v>34</v>
      </c>
      <c r="I224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224" s="7">
        <f>Sim_Output[[#This Row],[VALUE]]/SUMIFS(Sim_Output[VALUE],Sim_Output[SIM_ID],Sim_Output[[#This Row],[SIM_ID]],Sim_Output[WEEK],Sim_Output[[#This Row],[WEEK]],Sim_Output[OUTPUT],"PRICE_0")-1</f>
        <v>-0.65999999999999992</v>
      </c>
      <c r="K224" s="4">
        <f ca="1">IF(Sim_Output[[#This Row],[OUTPUT]]="PRICE_0",0,_xlfn.RANK.EQ(Sim_Output[[#This Row],[WTD_RET]],OFFSET(Sim_Output[[#This Row],[WTD_RET]],-Sim_Output[[#This Row],[OBS]]+1,0,12)))</f>
        <v>12</v>
      </c>
      <c r="L224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-0.8557385411926991</v>
      </c>
      <c r="M224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</v>
      </c>
      <c r="N224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-0.10526315789473684</v>
      </c>
    </row>
    <row r="225" spans="2:14" x14ac:dyDescent="0.25">
      <c r="B225">
        <v>2</v>
      </c>
      <c r="C225">
        <v>8</v>
      </c>
      <c r="D225">
        <f>VALUE(RIGHT(Sim_Output[[#This Row],[OUTPUT]],LEN(Sim_Output[[#This Row],[OUTPUT]])-6))</f>
        <v>0</v>
      </c>
      <c r="E225">
        <v>0</v>
      </c>
      <c r="F225" t="str">
        <f>Sim_Output[[#This Row],[SIM_ID]]&amp;" - "&amp;Sim_Output[[#This Row],[WEEK]]&amp;" - "&amp;Sim_Output[[#This Row],[REGIME]]</f>
        <v>2 - 8 - 0</v>
      </c>
      <c r="G225" t="s">
        <v>44</v>
      </c>
      <c r="H225">
        <v>107</v>
      </c>
      <c r="I225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225" s="7">
        <f>Sim_Output[[#This Row],[VALUE]]/SUMIFS(Sim_Output[VALUE],Sim_Output[SIM_ID],Sim_Output[[#This Row],[SIM_ID]],Sim_Output[WEEK],Sim_Output[[#This Row],[WEEK]],Sim_Output[OUTPUT],"PRICE_0")-1</f>
        <v>0</v>
      </c>
      <c r="K225" s="4">
        <f ca="1">IF(Sim_Output[[#This Row],[OUTPUT]]="PRICE_0",0,_xlfn.RANK.EQ(Sim_Output[[#This Row],[WTD_RET]],OFFSET(Sim_Output[[#This Row],[WTD_RET]],-Sim_Output[[#This Row],[OBS]]+1,0,12)))</f>
        <v>0</v>
      </c>
      <c r="L225" s="3" t="str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/>
      </c>
      <c r="M225" s="3" t="str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/>
      </c>
      <c r="N225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</v>
      </c>
    </row>
    <row r="226" spans="2:14" x14ac:dyDescent="0.25">
      <c r="B226">
        <v>2</v>
      </c>
      <c r="C226">
        <v>8</v>
      </c>
      <c r="D226">
        <f>VALUE(RIGHT(Sim_Output[[#This Row],[OUTPUT]],LEN(Sim_Output[[#This Row],[OUTPUT]])-6))</f>
        <v>1</v>
      </c>
      <c r="E226">
        <v>0</v>
      </c>
      <c r="F226" t="str">
        <f>Sim_Output[[#This Row],[SIM_ID]]&amp;" - "&amp;Sim_Output[[#This Row],[WEEK]]&amp;" - "&amp;Sim_Output[[#This Row],[REGIME]]</f>
        <v>2 - 8 - 0</v>
      </c>
      <c r="G226" t="s">
        <v>45</v>
      </c>
      <c r="H226">
        <v>114</v>
      </c>
      <c r="I226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226" s="7">
        <f>Sim_Output[[#This Row],[VALUE]]/SUMIFS(Sim_Output[VALUE],Sim_Output[SIM_ID],Sim_Output[[#This Row],[SIM_ID]],Sim_Output[WEEK],Sim_Output[[#This Row],[WEEK]],Sim_Output[OUTPUT],"PRICE_0")-1</f>
        <v>6.5420560747663448E-2</v>
      </c>
      <c r="K226" s="4">
        <f ca="1">IF(Sim_Output[[#This Row],[OUTPUT]]="PRICE_0",0,_xlfn.RANK.EQ(Sim_Output[[#This Row],[WTD_RET]],OFFSET(Sim_Output[[#This Row],[WTD_RET]],-Sim_Output[[#This Row],[OBS]]+1,0,12)))</f>
        <v>4</v>
      </c>
      <c r="L226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0.54058990271958862</v>
      </c>
      <c r="M226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0.69135802469135788</v>
      </c>
      <c r="N226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6.5420560747663448E-2</v>
      </c>
    </row>
    <row r="227" spans="2:14" x14ac:dyDescent="0.25">
      <c r="B227">
        <v>2</v>
      </c>
      <c r="C227">
        <v>8</v>
      </c>
      <c r="D227">
        <f>VALUE(RIGHT(Sim_Output[[#This Row],[OUTPUT]],LEN(Sim_Output[[#This Row],[OUTPUT]])-6))</f>
        <v>2</v>
      </c>
      <c r="E227">
        <v>0</v>
      </c>
      <c r="F227" t="str">
        <f>Sim_Output[[#This Row],[SIM_ID]]&amp;" - "&amp;Sim_Output[[#This Row],[WEEK]]&amp;" - "&amp;Sim_Output[[#This Row],[REGIME]]</f>
        <v>2 - 8 - 0</v>
      </c>
      <c r="G227" t="s">
        <v>46</v>
      </c>
      <c r="H227">
        <v>138</v>
      </c>
      <c r="I227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227" s="7">
        <f>Sim_Output[[#This Row],[VALUE]]/SUMIFS(Sim_Output[VALUE],Sim_Output[SIM_ID],Sim_Output[[#This Row],[SIM_ID]],Sim_Output[WEEK],Sim_Output[[#This Row],[WEEK]],Sim_Output[OUTPUT],"PRICE_0")-1</f>
        <v>0.28971962616822422</v>
      </c>
      <c r="K227" s="4">
        <f ca="1">IF(Sim_Output[[#This Row],[OUTPUT]]="PRICE_0",0,_xlfn.RANK.EQ(Sim_Output[[#This Row],[WTD_RET]],OFFSET(Sim_Output[[#This Row],[WTD_RET]],-Sim_Output[[#This Row],[OBS]]+1,0,12)))</f>
        <v>2</v>
      </c>
      <c r="L227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1.3514747567989718</v>
      </c>
      <c r="M227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0.98765432098765416</v>
      </c>
      <c r="N227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0.21052631578947367</v>
      </c>
    </row>
    <row r="228" spans="2:14" x14ac:dyDescent="0.25">
      <c r="B228">
        <v>2</v>
      </c>
      <c r="C228">
        <v>8</v>
      </c>
      <c r="D228">
        <f>VALUE(RIGHT(Sim_Output[[#This Row],[OUTPUT]],LEN(Sim_Output[[#This Row],[OUTPUT]])-6))</f>
        <v>3</v>
      </c>
      <c r="E228">
        <v>0</v>
      </c>
      <c r="F228" t="str">
        <f>Sim_Output[[#This Row],[SIM_ID]]&amp;" - "&amp;Sim_Output[[#This Row],[WEEK]]&amp;" - "&amp;Sim_Output[[#This Row],[REGIME]]</f>
        <v>2 - 8 - 0</v>
      </c>
      <c r="G228" t="s">
        <v>47</v>
      </c>
      <c r="H228">
        <v>109</v>
      </c>
      <c r="I228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228" s="7">
        <f>Sim_Output[[#This Row],[VALUE]]/SUMIFS(Sim_Output[VALUE],Sim_Output[SIM_ID],Sim_Output[[#This Row],[SIM_ID]],Sim_Output[WEEK],Sim_Output[[#This Row],[WEEK]],Sim_Output[OUTPUT],"PRICE_0")-1</f>
        <v>1.8691588785046731E-2</v>
      </c>
      <c r="K228" s="4">
        <f ca="1">IF(Sim_Output[[#This Row],[OUTPUT]]="PRICE_0",0,_xlfn.RANK.EQ(Sim_Output[[#This Row],[WTD_RET]],OFFSET(Sim_Output[[#This Row],[WTD_RET]],-Sim_Output[[#This Row],[OBS]]+1,0,12)))</f>
        <v>5</v>
      </c>
      <c r="L228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0.37165555811971746</v>
      </c>
      <c r="M228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0.62962962962962965</v>
      </c>
      <c r="N228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-0.21014492753623193</v>
      </c>
    </row>
    <row r="229" spans="2:14" x14ac:dyDescent="0.25">
      <c r="B229">
        <v>2</v>
      </c>
      <c r="C229">
        <v>8</v>
      </c>
      <c r="D229">
        <f>VALUE(RIGHT(Sim_Output[[#This Row],[OUTPUT]],LEN(Sim_Output[[#This Row],[OUTPUT]])-6))</f>
        <v>4</v>
      </c>
      <c r="E229">
        <v>0</v>
      </c>
      <c r="F229" t="str">
        <f>Sim_Output[[#This Row],[SIM_ID]]&amp;" - "&amp;Sim_Output[[#This Row],[WEEK]]&amp;" - "&amp;Sim_Output[[#This Row],[REGIME]]</f>
        <v>2 - 8 - 0</v>
      </c>
      <c r="G229" t="s">
        <v>48</v>
      </c>
      <c r="H229">
        <v>103</v>
      </c>
      <c r="I229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229" s="7">
        <f>Sim_Output[[#This Row],[VALUE]]/SUMIFS(Sim_Output[VALUE],Sim_Output[SIM_ID],Sim_Output[[#This Row],[SIM_ID]],Sim_Output[WEEK],Sim_Output[[#This Row],[WEEK]],Sim_Output[OUTPUT],"PRICE_0")-1</f>
        <v>-3.7383177570093462E-2</v>
      </c>
      <c r="K229" s="4">
        <f ca="1">IF(Sim_Output[[#This Row],[OUTPUT]]="PRICE_0",0,_xlfn.RANK.EQ(Sim_Output[[#This Row],[WTD_RET]],OFFSET(Sim_Output[[#This Row],[WTD_RET]],-Sim_Output[[#This Row],[OBS]]+1,0,12)))</f>
        <v>7</v>
      </c>
      <c r="L229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0.16893434459987167</v>
      </c>
      <c r="M229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0.55555555555555558</v>
      </c>
      <c r="N229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-5.5045871559633031E-2</v>
      </c>
    </row>
    <row r="230" spans="2:14" x14ac:dyDescent="0.25">
      <c r="B230">
        <v>2</v>
      </c>
      <c r="C230">
        <v>8</v>
      </c>
      <c r="D230">
        <f>VALUE(RIGHT(Sim_Output[[#This Row],[OUTPUT]],LEN(Sim_Output[[#This Row],[OUTPUT]])-6))</f>
        <v>5</v>
      </c>
      <c r="E230">
        <v>0</v>
      </c>
      <c r="F230" t="str">
        <f>Sim_Output[[#This Row],[SIM_ID]]&amp;" - "&amp;Sim_Output[[#This Row],[WEEK]]&amp;" - "&amp;Sim_Output[[#This Row],[REGIME]]</f>
        <v>2 - 8 - 0</v>
      </c>
      <c r="G230" t="s">
        <v>49</v>
      </c>
      <c r="H230">
        <v>109</v>
      </c>
      <c r="I230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230" s="7">
        <f>Sim_Output[[#This Row],[VALUE]]/SUMIFS(Sim_Output[VALUE],Sim_Output[SIM_ID],Sim_Output[[#This Row],[SIM_ID]],Sim_Output[WEEK],Sim_Output[[#This Row],[WEEK]],Sim_Output[OUTPUT],"PRICE_0")-1</f>
        <v>1.8691588785046731E-2</v>
      </c>
      <c r="K230" s="4">
        <f ca="1">IF(Sim_Output[[#This Row],[OUTPUT]]="PRICE_0",0,_xlfn.RANK.EQ(Sim_Output[[#This Row],[WTD_RET]],OFFSET(Sim_Output[[#This Row],[WTD_RET]],-Sim_Output[[#This Row],[OBS]]+1,0,12)))</f>
        <v>5</v>
      </c>
      <c r="L230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0.37165555811971746</v>
      </c>
      <c r="M230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0.62962962962962965</v>
      </c>
      <c r="N230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5.8252427184465994E-2</v>
      </c>
    </row>
    <row r="231" spans="2:14" x14ac:dyDescent="0.25">
      <c r="B231">
        <v>2</v>
      </c>
      <c r="C231">
        <v>8</v>
      </c>
      <c r="D231">
        <f>VALUE(RIGHT(Sim_Output[[#This Row],[OUTPUT]],LEN(Sim_Output[[#This Row],[OUTPUT]])-6))</f>
        <v>6</v>
      </c>
      <c r="E231">
        <v>0</v>
      </c>
      <c r="F231" t="str">
        <f>Sim_Output[[#This Row],[SIM_ID]]&amp;" - "&amp;Sim_Output[[#This Row],[WEEK]]&amp;" - "&amp;Sim_Output[[#This Row],[REGIME]]</f>
        <v>2 - 8 - 0</v>
      </c>
      <c r="G231" t="s">
        <v>50</v>
      </c>
      <c r="H231">
        <v>128</v>
      </c>
      <c r="I231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231" s="7">
        <f>Sim_Output[[#This Row],[VALUE]]/SUMIFS(Sim_Output[VALUE],Sim_Output[SIM_ID],Sim_Output[[#This Row],[SIM_ID]],Sim_Output[WEEK],Sim_Output[[#This Row],[WEEK]],Sim_Output[OUTPUT],"PRICE_0")-1</f>
        <v>0.19626168224299056</v>
      </c>
      <c r="K231" s="4">
        <f ca="1">IF(Sim_Output[[#This Row],[OUTPUT]]="PRICE_0",0,_xlfn.RANK.EQ(Sim_Output[[#This Row],[WTD_RET]],OFFSET(Sim_Output[[#This Row],[WTD_RET]],-Sim_Output[[#This Row],[OBS]]+1,0,12)))</f>
        <v>3</v>
      </c>
      <c r="L231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1.0136060675992289</v>
      </c>
      <c r="M231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0.86419753086419737</v>
      </c>
      <c r="N231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0.17431192660550465</v>
      </c>
    </row>
    <row r="232" spans="2:14" x14ac:dyDescent="0.25">
      <c r="B232">
        <v>2</v>
      </c>
      <c r="C232">
        <v>8</v>
      </c>
      <c r="D232">
        <f>VALUE(RIGHT(Sim_Output[[#This Row],[OUTPUT]],LEN(Sim_Output[[#This Row],[OUTPUT]])-6))</f>
        <v>7</v>
      </c>
      <c r="E232">
        <v>0</v>
      </c>
      <c r="F232" t="str">
        <f>Sim_Output[[#This Row],[SIM_ID]]&amp;" - "&amp;Sim_Output[[#This Row],[WEEK]]&amp;" - "&amp;Sim_Output[[#This Row],[REGIME]]</f>
        <v>2 - 8 - 0</v>
      </c>
      <c r="G232" t="s">
        <v>51</v>
      </c>
      <c r="H232">
        <v>74</v>
      </c>
      <c r="I232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232" s="7">
        <f>Sim_Output[[#This Row],[VALUE]]/SUMIFS(Sim_Output[VALUE],Sim_Output[SIM_ID],Sim_Output[[#This Row],[SIM_ID]],Sim_Output[WEEK],Sim_Output[[#This Row],[WEEK]],Sim_Output[OUTPUT],"PRICE_0")-1</f>
        <v>-0.30841121495327106</v>
      </c>
      <c r="K232" s="4">
        <f ca="1">IF(Sim_Output[[#This Row],[OUTPUT]]="PRICE_0",0,_xlfn.RANK.EQ(Sim_Output[[#This Row],[WTD_RET]],OFFSET(Sim_Output[[#This Row],[WTD_RET]],-Sim_Output[[#This Row],[OBS]]+1,0,12)))</f>
        <v>8</v>
      </c>
      <c r="L232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-0.81088485407938304</v>
      </c>
      <c r="M232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0.19753086419753085</v>
      </c>
      <c r="N232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-0.421875</v>
      </c>
    </row>
    <row r="233" spans="2:14" x14ac:dyDescent="0.25">
      <c r="B233">
        <v>2</v>
      </c>
      <c r="C233">
        <v>8</v>
      </c>
      <c r="D233">
        <f>VALUE(RIGHT(Sim_Output[[#This Row],[OUTPUT]],LEN(Sim_Output[[#This Row],[OUTPUT]])-6))</f>
        <v>8</v>
      </c>
      <c r="E233">
        <v>0</v>
      </c>
      <c r="F233" t="str">
        <f>Sim_Output[[#This Row],[SIM_ID]]&amp;" - "&amp;Sim_Output[[#This Row],[WEEK]]&amp;" - "&amp;Sim_Output[[#This Row],[REGIME]]</f>
        <v>2 - 8 - 0</v>
      </c>
      <c r="G233" t="s">
        <v>52</v>
      </c>
      <c r="H233">
        <v>64</v>
      </c>
      <c r="I233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233" s="7">
        <f>Sim_Output[[#This Row],[VALUE]]/SUMIFS(Sim_Output[VALUE],Sim_Output[SIM_ID],Sim_Output[[#This Row],[SIM_ID]],Sim_Output[WEEK],Sim_Output[[#This Row],[WEEK]],Sim_Output[OUTPUT],"PRICE_0")-1</f>
        <v>-0.40186915887850472</v>
      </c>
      <c r="K233" s="4">
        <f ca="1">IF(Sim_Output[[#This Row],[OUTPUT]]="PRICE_0",0,_xlfn.RANK.EQ(Sim_Output[[#This Row],[WTD_RET]],OFFSET(Sim_Output[[#This Row],[WTD_RET]],-Sim_Output[[#This Row],[OBS]]+1,0,12)))</f>
        <v>11</v>
      </c>
      <c r="L233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-1.148753543279126</v>
      </c>
      <c r="M233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7.407407407407407E-2</v>
      </c>
      <c r="N233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-0.13513513513513509</v>
      </c>
    </row>
    <row r="234" spans="2:14" x14ac:dyDescent="0.25">
      <c r="B234">
        <v>2</v>
      </c>
      <c r="C234">
        <v>8</v>
      </c>
      <c r="D234">
        <f>VALUE(RIGHT(Sim_Output[[#This Row],[OUTPUT]],LEN(Sim_Output[[#This Row],[OUTPUT]])-6))</f>
        <v>9</v>
      </c>
      <c r="E234">
        <v>0</v>
      </c>
      <c r="F234" t="str">
        <f>Sim_Output[[#This Row],[SIM_ID]]&amp;" - "&amp;Sim_Output[[#This Row],[WEEK]]&amp;" - "&amp;Sim_Output[[#This Row],[REGIME]]</f>
        <v>2 - 8 - 0</v>
      </c>
      <c r="G234" t="s">
        <v>53</v>
      </c>
      <c r="H234">
        <v>58</v>
      </c>
      <c r="I234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234" s="7">
        <f>Sim_Output[[#This Row],[VALUE]]/SUMIFS(Sim_Output[VALUE],Sim_Output[SIM_ID],Sim_Output[[#This Row],[SIM_ID]],Sim_Output[WEEK],Sim_Output[[#This Row],[WEEK]],Sim_Output[OUTPUT],"PRICE_0")-1</f>
        <v>-0.45794392523364491</v>
      </c>
      <c r="K234" s="4">
        <f ca="1">IF(Sim_Output[[#This Row],[OUTPUT]]="PRICE_0",0,_xlfn.RANK.EQ(Sim_Output[[#This Row],[WTD_RET]],OFFSET(Sim_Output[[#This Row],[WTD_RET]],-Sim_Output[[#This Row],[OBS]]+1,0,12)))</f>
        <v>12</v>
      </c>
      <c r="L234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-1.3514747567989718</v>
      </c>
      <c r="M234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</v>
      </c>
      <c r="N234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-9.375E-2</v>
      </c>
    </row>
    <row r="235" spans="2:14" x14ac:dyDescent="0.25">
      <c r="B235">
        <v>2</v>
      </c>
      <c r="C235">
        <v>8</v>
      </c>
      <c r="D235">
        <f>VALUE(RIGHT(Sim_Output[[#This Row],[OUTPUT]],LEN(Sim_Output[[#This Row],[OUTPUT]])-6))</f>
        <v>10</v>
      </c>
      <c r="E235">
        <v>0</v>
      </c>
      <c r="F235" t="str">
        <f>Sim_Output[[#This Row],[SIM_ID]]&amp;" - "&amp;Sim_Output[[#This Row],[WEEK]]&amp;" - "&amp;Sim_Output[[#This Row],[REGIME]]</f>
        <v>2 - 8 - 0</v>
      </c>
      <c r="G235" t="s">
        <v>54</v>
      </c>
      <c r="H235">
        <v>139</v>
      </c>
      <c r="I235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235" s="7">
        <f>Sim_Output[[#This Row],[VALUE]]/SUMIFS(Sim_Output[VALUE],Sim_Output[SIM_ID],Sim_Output[[#This Row],[SIM_ID]],Sim_Output[WEEK],Sim_Output[[#This Row],[WEEK]],Sim_Output[OUTPUT],"PRICE_0")-1</f>
        <v>0.2990654205607477</v>
      </c>
      <c r="K235" s="4">
        <f ca="1">IF(Sim_Output[[#This Row],[OUTPUT]]="PRICE_0",0,_xlfn.RANK.EQ(Sim_Output[[#This Row],[WTD_RET]],OFFSET(Sim_Output[[#This Row],[WTD_RET]],-Sim_Output[[#This Row],[OBS]]+1,0,12)))</f>
        <v>1</v>
      </c>
      <c r="L235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1.3852616257189465</v>
      </c>
      <c r="M235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1</v>
      </c>
      <c r="N235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1.396551724137931</v>
      </c>
    </row>
    <row r="236" spans="2:14" x14ac:dyDescent="0.25">
      <c r="B236">
        <v>2</v>
      </c>
      <c r="C236">
        <v>8</v>
      </c>
      <c r="D236">
        <f>VALUE(RIGHT(Sim_Output[[#This Row],[OUTPUT]],LEN(Sim_Output[[#This Row],[OUTPUT]])-6))</f>
        <v>11</v>
      </c>
      <c r="E236">
        <v>0</v>
      </c>
      <c r="F236" t="str">
        <f>Sim_Output[[#This Row],[SIM_ID]]&amp;" - "&amp;Sim_Output[[#This Row],[WEEK]]&amp;" - "&amp;Sim_Output[[#This Row],[REGIME]]</f>
        <v>2 - 8 - 0</v>
      </c>
      <c r="G236" t="s">
        <v>55</v>
      </c>
      <c r="H236">
        <v>74</v>
      </c>
      <c r="I236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236" s="7">
        <f>Sim_Output[[#This Row],[VALUE]]/SUMIFS(Sim_Output[VALUE],Sim_Output[SIM_ID],Sim_Output[[#This Row],[SIM_ID]],Sim_Output[WEEK],Sim_Output[[#This Row],[WEEK]],Sim_Output[OUTPUT],"PRICE_0")-1</f>
        <v>-0.30841121495327106</v>
      </c>
      <c r="K236" s="4">
        <f ca="1">IF(Sim_Output[[#This Row],[OUTPUT]]="PRICE_0",0,_xlfn.RANK.EQ(Sim_Output[[#This Row],[WTD_RET]],OFFSET(Sim_Output[[#This Row],[WTD_RET]],-Sim_Output[[#This Row],[OBS]]+1,0,12)))</f>
        <v>8</v>
      </c>
      <c r="L236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-0.81088485407938304</v>
      </c>
      <c r="M236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0.19753086419753085</v>
      </c>
      <c r="N236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-0.46762589928057552</v>
      </c>
    </row>
    <row r="237" spans="2:14" x14ac:dyDescent="0.25">
      <c r="B237">
        <v>2</v>
      </c>
      <c r="C237">
        <v>8</v>
      </c>
      <c r="D237">
        <f>VALUE(RIGHT(Sim_Output[[#This Row],[OUTPUT]],LEN(Sim_Output[[#This Row],[OUTPUT]])-6))</f>
        <v>12</v>
      </c>
      <c r="E237">
        <v>0</v>
      </c>
      <c r="F237" t="str">
        <f>Sim_Output[[#This Row],[SIM_ID]]&amp;" - "&amp;Sim_Output[[#This Row],[WEEK]]&amp;" - "&amp;Sim_Output[[#This Row],[REGIME]]</f>
        <v>2 - 8 - 0</v>
      </c>
      <c r="G237" t="s">
        <v>56</v>
      </c>
      <c r="H237">
        <v>66</v>
      </c>
      <c r="I237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237" s="7">
        <f>Sim_Output[[#This Row],[VALUE]]/SUMIFS(Sim_Output[VALUE],Sim_Output[SIM_ID],Sim_Output[[#This Row],[SIM_ID]],Sim_Output[WEEK],Sim_Output[[#This Row],[WEEK]],Sim_Output[OUTPUT],"PRICE_0")-1</f>
        <v>-0.38317757009345799</v>
      </c>
      <c r="K237" s="4">
        <f ca="1">IF(Sim_Output[[#This Row],[OUTPUT]]="PRICE_0",0,_xlfn.RANK.EQ(Sim_Output[[#This Row],[WTD_RET]],OFFSET(Sim_Output[[#This Row],[WTD_RET]],-Sim_Output[[#This Row],[OBS]]+1,0,12)))</f>
        <v>10</v>
      </c>
      <c r="L237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-1.0811798054391775</v>
      </c>
      <c r="M237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9.8765432098765427E-2</v>
      </c>
      <c r="N237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-0.10810810810810811</v>
      </c>
    </row>
    <row r="238" spans="2:14" x14ac:dyDescent="0.25">
      <c r="B238">
        <v>2</v>
      </c>
      <c r="C238">
        <v>9</v>
      </c>
      <c r="D238">
        <f>VALUE(RIGHT(Sim_Output[[#This Row],[OUTPUT]],LEN(Sim_Output[[#This Row],[OUTPUT]])-6))</f>
        <v>0</v>
      </c>
      <c r="E238">
        <v>1</v>
      </c>
      <c r="F238" t="str">
        <f>Sim_Output[[#This Row],[SIM_ID]]&amp;" - "&amp;Sim_Output[[#This Row],[WEEK]]&amp;" - "&amp;Sim_Output[[#This Row],[REGIME]]</f>
        <v>2 - 9 - 1</v>
      </c>
      <c r="G238" t="s">
        <v>44</v>
      </c>
      <c r="H238">
        <v>101</v>
      </c>
      <c r="I238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238" s="7">
        <f>Sim_Output[[#This Row],[VALUE]]/SUMIFS(Sim_Output[VALUE],Sim_Output[SIM_ID],Sim_Output[[#This Row],[SIM_ID]],Sim_Output[WEEK],Sim_Output[[#This Row],[WEEK]],Sim_Output[OUTPUT],"PRICE_0")-1</f>
        <v>0</v>
      </c>
      <c r="K238" s="4">
        <f ca="1">IF(Sim_Output[[#This Row],[OUTPUT]]="PRICE_0",0,_xlfn.RANK.EQ(Sim_Output[[#This Row],[WTD_RET]],OFFSET(Sim_Output[[#This Row],[WTD_RET]],-Sim_Output[[#This Row],[OBS]]+1,0,12)))</f>
        <v>0</v>
      </c>
      <c r="L238" s="3" t="str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/>
      </c>
      <c r="M238" s="3" t="str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/>
      </c>
      <c r="N238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</v>
      </c>
    </row>
    <row r="239" spans="2:14" x14ac:dyDescent="0.25">
      <c r="B239">
        <v>2</v>
      </c>
      <c r="C239">
        <v>9</v>
      </c>
      <c r="D239">
        <f>VALUE(RIGHT(Sim_Output[[#This Row],[OUTPUT]],LEN(Sim_Output[[#This Row],[OUTPUT]])-6))</f>
        <v>1</v>
      </c>
      <c r="E239">
        <v>1</v>
      </c>
      <c r="F239" t="str">
        <f>Sim_Output[[#This Row],[SIM_ID]]&amp;" - "&amp;Sim_Output[[#This Row],[WEEK]]&amp;" - "&amp;Sim_Output[[#This Row],[REGIME]]</f>
        <v>2 - 9 - 1</v>
      </c>
      <c r="G239" t="s">
        <v>45</v>
      </c>
      <c r="H239">
        <v>89</v>
      </c>
      <c r="I239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239" s="7">
        <f>Sim_Output[[#This Row],[VALUE]]/SUMIFS(Sim_Output[VALUE],Sim_Output[SIM_ID],Sim_Output[[#This Row],[SIM_ID]],Sim_Output[WEEK],Sim_Output[[#This Row],[WEEK]],Sim_Output[OUTPUT],"PRICE_0")-1</f>
        <v>-0.11881188118811881</v>
      </c>
      <c r="K239" s="4">
        <f ca="1">IF(Sim_Output[[#This Row],[OUTPUT]]="PRICE_0",0,_xlfn.RANK.EQ(Sim_Output[[#This Row],[WTD_RET]],OFFSET(Sim_Output[[#This Row],[WTD_RET]],-Sim_Output[[#This Row],[OBS]]+1,0,12)))</f>
        <v>6</v>
      </c>
      <c r="L239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-0.33819845733284953</v>
      </c>
      <c r="M239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0.15822784810126581</v>
      </c>
      <c r="N239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-0.11881188118811881</v>
      </c>
    </row>
    <row r="240" spans="2:14" x14ac:dyDescent="0.25">
      <c r="B240">
        <v>2</v>
      </c>
      <c r="C240">
        <v>9</v>
      </c>
      <c r="D240">
        <f>VALUE(RIGHT(Sim_Output[[#This Row],[OUTPUT]],LEN(Sim_Output[[#This Row],[OUTPUT]])-6))</f>
        <v>2</v>
      </c>
      <c r="E240">
        <v>1</v>
      </c>
      <c r="F240" t="str">
        <f>Sim_Output[[#This Row],[SIM_ID]]&amp;" - "&amp;Sim_Output[[#This Row],[WEEK]]&amp;" - "&amp;Sim_Output[[#This Row],[REGIME]]</f>
        <v>2 - 9 - 1</v>
      </c>
      <c r="G240" t="s">
        <v>46</v>
      </c>
      <c r="H240">
        <v>85</v>
      </c>
      <c r="I240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240" s="7">
        <f>Sim_Output[[#This Row],[VALUE]]/SUMIFS(Sim_Output[VALUE],Sim_Output[SIM_ID],Sim_Output[[#This Row],[SIM_ID]],Sim_Output[WEEK],Sim_Output[[#This Row],[WEEK]],Sim_Output[OUTPUT],"PRICE_0")-1</f>
        <v>-0.15841584158415845</v>
      </c>
      <c r="K240" s="4">
        <f ca="1">IF(Sim_Output[[#This Row],[OUTPUT]]="PRICE_0",0,_xlfn.RANK.EQ(Sim_Output[[#This Row],[WTD_RET]],OFFSET(Sim_Output[[#This Row],[WTD_RET]],-Sim_Output[[#This Row],[OBS]]+1,0,12)))</f>
        <v>7</v>
      </c>
      <c r="L240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-0.42187642615747217</v>
      </c>
      <c r="M240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0.13291139240506325</v>
      </c>
      <c r="N240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-4.49438202247191E-2</v>
      </c>
    </row>
    <row r="241" spans="2:14" x14ac:dyDescent="0.25">
      <c r="B241">
        <v>2</v>
      </c>
      <c r="C241">
        <v>9</v>
      </c>
      <c r="D241">
        <f>VALUE(RIGHT(Sim_Output[[#This Row],[OUTPUT]],LEN(Sim_Output[[#This Row],[OUTPUT]])-6))</f>
        <v>3</v>
      </c>
      <c r="E241">
        <v>1</v>
      </c>
      <c r="F241" t="str">
        <f>Sim_Output[[#This Row],[SIM_ID]]&amp;" - "&amp;Sim_Output[[#This Row],[WEEK]]&amp;" - "&amp;Sim_Output[[#This Row],[REGIME]]</f>
        <v>2 - 9 - 1</v>
      </c>
      <c r="G241" t="s">
        <v>47</v>
      </c>
      <c r="H241">
        <v>81</v>
      </c>
      <c r="I241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241" s="7">
        <f>Sim_Output[[#This Row],[VALUE]]/SUMIFS(Sim_Output[VALUE],Sim_Output[SIM_ID],Sim_Output[[#This Row],[SIM_ID]],Sim_Output[WEEK],Sim_Output[[#This Row],[WEEK]],Sim_Output[OUTPUT],"PRICE_0")-1</f>
        <v>-0.19801980198019797</v>
      </c>
      <c r="K241" s="4">
        <f ca="1">IF(Sim_Output[[#This Row],[OUTPUT]]="PRICE_0",0,_xlfn.RANK.EQ(Sim_Output[[#This Row],[WTD_RET]],OFFSET(Sim_Output[[#This Row],[WTD_RET]],-Sim_Output[[#This Row],[OBS]]+1,0,12)))</f>
        <v>8</v>
      </c>
      <c r="L241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-0.50555439498209453</v>
      </c>
      <c r="M241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0.10759493670886078</v>
      </c>
      <c r="N241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-4.705882352941182E-2</v>
      </c>
    </row>
    <row r="242" spans="2:14" x14ac:dyDescent="0.25">
      <c r="B242">
        <v>2</v>
      </c>
      <c r="C242">
        <v>9</v>
      </c>
      <c r="D242">
        <f>VALUE(RIGHT(Sim_Output[[#This Row],[OUTPUT]],LEN(Sim_Output[[#This Row],[OUTPUT]])-6))</f>
        <v>4</v>
      </c>
      <c r="E242">
        <v>1</v>
      </c>
      <c r="F242" t="str">
        <f>Sim_Output[[#This Row],[SIM_ID]]&amp;" - "&amp;Sim_Output[[#This Row],[WEEK]]&amp;" - "&amp;Sim_Output[[#This Row],[REGIME]]</f>
        <v>2 - 9 - 1</v>
      </c>
      <c r="G242" t="s">
        <v>48</v>
      </c>
      <c r="H242">
        <v>77</v>
      </c>
      <c r="I242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242" s="7">
        <f>Sim_Output[[#This Row],[VALUE]]/SUMIFS(Sim_Output[VALUE],Sim_Output[SIM_ID],Sim_Output[[#This Row],[SIM_ID]],Sim_Output[WEEK],Sim_Output[[#This Row],[WEEK]],Sim_Output[OUTPUT],"PRICE_0")-1</f>
        <v>-0.23762376237623761</v>
      </c>
      <c r="K242" s="4">
        <f ca="1">IF(Sim_Output[[#This Row],[OUTPUT]]="PRICE_0",0,_xlfn.RANK.EQ(Sim_Output[[#This Row],[WTD_RET]],OFFSET(Sim_Output[[#This Row],[WTD_RET]],-Sim_Output[[#This Row],[OBS]]+1,0,12)))</f>
        <v>9</v>
      </c>
      <c r="L242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-0.58923236380671717</v>
      </c>
      <c r="M242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8.2278481012658222E-2</v>
      </c>
      <c r="N242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-4.9382716049382713E-2</v>
      </c>
    </row>
    <row r="243" spans="2:14" x14ac:dyDescent="0.25">
      <c r="B243">
        <v>2</v>
      </c>
      <c r="C243">
        <v>9</v>
      </c>
      <c r="D243">
        <f>VALUE(RIGHT(Sim_Output[[#This Row],[OUTPUT]],LEN(Sim_Output[[#This Row],[OUTPUT]])-6))</f>
        <v>5</v>
      </c>
      <c r="E243">
        <v>1</v>
      </c>
      <c r="F243" t="str">
        <f>Sim_Output[[#This Row],[SIM_ID]]&amp;" - "&amp;Sim_Output[[#This Row],[WEEK]]&amp;" - "&amp;Sim_Output[[#This Row],[REGIME]]</f>
        <v>2 - 9 - 1</v>
      </c>
      <c r="G243" t="s">
        <v>49</v>
      </c>
      <c r="H243">
        <v>72</v>
      </c>
      <c r="I243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243" s="7">
        <f>Sim_Output[[#This Row],[VALUE]]/SUMIFS(Sim_Output[VALUE],Sim_Output[SIM_ID],Sim_Output[[#This Row],[SIM_ID]],Sim_Output[WEEK],Sim_Output[[#This Row],[WEEK]],Sim_Output[OUTPUT],"PRICE_0")-1</f>
        <v>-0.28712871287128716</v>
      </c>
      <c r="K243" s="4">
        <f ca="1">IF(Sim_Output[[#This Row],[OUTPUT]]="PRICE_0",0,_xlfn.RANK.EQ(Sim_Output[[#This Row],[WTD_RET]],OFFSET(Sim_Output[[#This Row],[WTD_RET]],-Sim_Output[[#This Row],[OBS]]+1,0,12)))</f>
        <v>10</v>
      </c>
      <c r="L243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-0.69382982483749545</v>
      </c>
      <c r="M243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5.0632911392405035E-2</v>
      </c>
      <c r="N243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-6.4935064935064957E-2</v>
      </c>
    </row>
    <row r="244" spans="2:14" x14ac:dyDescent="0.25">
      <c r="B244">
        <v>2</v>
      </c>
      <c r="C244">
        <v>9</v>
      </c>
      <c r="D244">
        <f>VALUE(RIGHT(Sim_Output[[#This Row],[OUTPUT]],LEN(Sim_Output[[#This Row],[OUTPUT]])-6))</f>
        <v>6</v>
      </c>
      <c r="E244">
        <v>1</v>
      </c>
      <c r="F244" t="str">
        <f>Sim_Output[[#This Row],[SIM_ID]]&amp;" - "&amp;Sim_Output[[#This Row],[WEEK]]&amp;" - "&amp;Sim_Output[[#This Row],[REGIME]]</f>
        <v>2 - 9 - 1</v>
      </c>
      <c r="G244" t="s">
        <v>50</v>
      </c>
      <c r="H244">
        <v>68</v>
      </c>
      <c r="I244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244" s="7">
        <f>Sim_Output[[#This Row],[VALUE]]/SUMIFS(Sim_Output[VALUE],Sim_Output[SIM_ID],Sim_Output[[#This Row],[SIM_ID]],Sim_Output[WEEK],Sim_Output[[#This Row],[WEEK]],Sim_Output[OUTPUT],"PRICE_0")-1</f>
        <v>-0.32673267326732669</v>
      </c>
      <c r="K244" s="4">
        <f ca="1">IF(Sim_Output[[#This Row],[OUTPUT]]="PRICE_0",0,_xlfn.RANK.EQ(Sim_Output[[#This Row],[WTD_RET]],OFFSET(Sim_Output[[#This Row],[WTD_RET]],-Sim_Output[[#This Row],[OBS]]+1,0,12)))</f>
        <v>11</v>
      </c>
      <c r="L244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-0.77750779366211775</v>
      </c>
      <c r="M244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2.5316455696202552E-2</v>
      </c>
      <c r="N244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-5.555555555555558E-2</v>
      </c>
    </row>
    <row r="245" spans="2:14" x14ac:dyDescent="0.25">
      <c r="B245">
        <v>2</v>
      </c>
      <c r="C245">
        <v>9</v>
      </c>
      <c r="D245">
        <f>VALUE(RIGHT(Sim_Output[[#This Row],[OUTPUT]],LEN(Sim_Output[[#This Row],[OUTPUT]])-6))</f>
        <v>7</v>
      </c>
      <c r="E245">
        <v>1</v>
      </c>
      <c r="F245" t="str">
        <f>Sim_Output[[#This Row],[SIM_ID]]&amp;" - "&amp;Sim_Output[[#This Row],[WEEK]]&amp;" - "&amp;Sim_Output[[#This Row],[REGIME]]</f>
        <v>2 - 9 - 1</v>
      </c>
      <c r="G245" t="s">
        <v>51</v>
      </c>
      <c r="H245">
        <v>98</v>
      </c>
      <c r="I245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245" s="7">
        <f>Sim_Output[[#This Row],[VALUE]]/SUMIFS(Sim_Output[VALUE],Sim_Output[SIM_ID],Sim_Output[[#This Row],[SIM_ID]],Sim_Output[WEEK],Sim_Output[[#This Row],[WEEK]],Sim_Output[OUTPUT],"PRICE_0")-1</f>
        <v>-2.9702970297029729E-2</v>
      </c>
      <c r="K245" s="4">
        <f ca="1">IF(Sim_Output[[#This Row],[OUTPUT]]="PRICE_0",0,_xlfn.RANK.EQ(Sim_Output[[#This Row],[WTD_RET]],OFFSET(Sim_Output[[#This Row],[WTD_RET]],-Sim_Output[[#This Row],[OBS]]+1,0,12)))</f>
        <v>4</v>
      </c>
      <c r="L245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-0.14992302747744884</v>
      </c>
      <c r="M245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0.2151898734177215</v>
      </c>
      <c r="N245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0.44117647058823528</v>
      </c>
    </row>
    <row r="246" spans="2:14" x14ac:dyDescent="0.25">
      <c r="B246">
        <v>2</v>
      </c>
      <c r="C246">
        <v>9</v>
      </c>
      <c r="D246">
        <f>VALUE(RIGHT(Sim_Output[[#This Row],[OUTPUT]],LEN(Sim_Output[[#This Row],[OUTPUT]])-6))</f>
        <v>8</v>
      </c>
      <c r="E246">
        <v>1</v>
      </c>
      <c r="F246" t="str">
        <f>Sim_Output[[#This Row],[SIM_ID]]&amp;" - "&amp;Sim_Output[[#This Row],[WEEK]]&amp;" - "&amp;Sim_Output[[#This Row],[REGIME]]</f>
        <v>2 - 9 - 1</v>
      </c>
      <c r="G246" t="s">
        <v>52</v>
      </c>
      <c r="H246">
        <v>164</v>
      </c>
      <c r="I246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246" s="7">
        <f>Sim_Output[[#This Row],[VALUE]]/SUMIFS(Sim_Output[VALUE],Sim_Output[SIM_ID],Sim_Output[[#This Row],[SIM_ID]],Sim_Output[WEEK],Sim_Output[[#This Row],[WEEK]],Sim_Output[OUTPUT],"PRICE_0")-1</f>
        <v>0.62376237623762387</v>
      </c>
      <c r="K246" s="4">
        <f ca="1">IF(Sim_Output[[#This Row],[OUTPUT]]="PRICE_0",0,_xlfn.RANK.EQ(Sim_Output[[#This Row],[WTD_RET]],OFFSET(Sim_Output[[#This Row],[WTD_RET]],-Sim_Output[[#This Row],[OBS]]+1,0,12)))</f>
        <v>2</v>
      </c>
      <c r="L246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1.2307634581288236</v>
      </c>
      <c r="M246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0.63291139240506333</v>
      </c>
      <c r="N246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0.67346938775510212</v>
      </c>
    </row>
    <row r="247" spans="2:14" x14ac:dyDescent="0.25">
      <c r="B247">
        <v>2</v>
      </c>
      <c r="C247">
        <v>9</v>
      </c>
      <c r="D247">
        <f>VALUE(RIGHT(Sim_Output[[#This Row],[OUTPUT]],LEN(Sim_Output[[#This Row],[OUTPUT]])-6))</f>
        <v>9</v>
      </c>
      <c r="E247">
        <v>1</v>
      </c>
      <c r="F247" t="str">
        <f>Sim_Output[[#This Row],[SIM_ID]]&amp;" - "&amp;Sim_Output[[#This Row],[WEEK]]&amp;" - "&amp;Sim_Output[[#This Row],[REGIME]]</f>
        <v>2 - 9 - 1</v>
      </c>
      <c r="G247" t="s">
        <v>53</v>
      </c>
      <c r="H247">
        <v>222</v>
      </c>
      <c r="I247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247" s="7">
        <f>Sim_Output[[#This Row],[VALUE]]/SUMIFS(Sim_Output[VALUE],Sim_Output[SIM_ID],Sim_Output[[#This Row],[SIM_ID]],Sim_Output[WEEK],Sim_Output[[#This Row],[WEEK]],Sim_Output[OUTPUT],"PRICE_0")-1</f>
        <v>1.1980198019801982</v>
      </c>
      <c r="K247" s="4">
        <f ca="1">IF(Sim_Output[[#This Row],[OUTPUT]]="PRICE_0",0,_xlfn.RANK.EQ(Sim_Output[[#This Row],[WTD_RET]],OFFSET(Sim_Output[[#This Row],[WTD_RET]],-Sim_Output[[#This Row],[OBS]]+1,0,12)))</f>
        <v>1</v>
      </c>
      <c r="L247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2.4440940060858507</v>
      </c>
      <c r="M247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1</v>
      </c>
      <c r="N247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0.35365853658536595</v>
      </c>
    </row>
    <row r="248" spans="2:14" x14ac:dyDescent="0.25">
      <c r="B248">
        <v>2</v>
      </c>
      <c r="C248">
        <v>9</v>
      </c>
      <c r="D248">
        <f>VALUE(RIGHT(Sim_Output[[#This Row],[OUTPUT]],LEN(Sim_Output[[#This Row],[OUTPUT]])-6))</f>
        <v>10</v>
      </c>
      <c r="E248">
        <v>1</v>
      </c>
      <c r="F248" t="str">
        <f>Sim_Output[[#This Row],[SIM_ID]]&amp;" - "&amp;Sim_Output[[#This Row],[WEEK]]&amp;" - "&amp;Sim_Output[[#This Row],[REGIME]]</f>
        <v>2 - 9 - 1</v>
      </c>
      <c r="G248" t="s">
        <v>54</v>
      </c>
      <c r="H248">
        <v>146</v>
      </c>
      <c r="I248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248" s="7">
        <f>Sim_Output[[#This Row],[VALUE]]/SUMIFS(Sim_Output[VALUE],Sim_Output[SIM_ID],Sim_Output[[#This Row],[SIM_ID]],Sim_Output[WEEK],Sim_Output[[#This Row],[WEEK]],Sim_Output[OUTPUT],"PRICE_0")-1</f>
        <v>0.4455445544554455</v>
      </c>
      <c r="K248" s="4">
        <f ca="1">IF(Sim_Output[[#This Row],[OUTPUT]]="PRICE_0",0,_xlfn.RANK.EQ(Sim_Output[[#This Row],[WTD_RET]],OFFSET(Sim_Output[[#This Row],[WTD_RET]],-Sim_Output[[#This Row],[OBS]]+1,0,12)))</f>
        <v>3</v>
      </c>
      <c r="L248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0.85421259841802177</v>
      </c>
      <c r="M248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0.51898734177215189</v>
      </c>
      <c r="N248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-0.34234234234234229</v>
      </c>
    </row>
    <row r="249" spans="2:14" x14ac:dyDescent="0.25">
      <c r="B249">
        <v>2</v>
      </c>
      <c r="C249">
        <v>9</v>
      </c>
      <c r="D249">
        <f>VALUE(RIGHT(Sim_Output[[#This Row],[OUTPUT]],LEN(Sim_Output[[#This Row],[OUTPUT]])-6))</f>
        <v>11</v>
      </c>
      <c r="E249">
        <v>1</v>
      </c>
      <c r="F249" t="str">
        <f>Sim_Output[[#This Row],[SIM_ID]]&amp;" - "&amp;Sim_Output[[#This Row],[WEEK]]&amp;" - "&amp;Sim_Output[[#This Row],[REGIME]]</f>
        <v>2 - 9 - 1</v>
      </c>
      <c r="G249" t="s">
        <v>55</v>
      </c>
      <c r="H249">
        <v>96</v>
      </c>
      <c r="I249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249" s="7">
        <f>Sim_Output[[#This Row],[VALUE]]/SUMIFS(Sim_Output[VALUE],Sim_Output[SIM_ID],Sim_Output[[#This Row],[SIM_ID]],Sim_Output[WEEK],Sim_Output[[#This Row],[WEEK]],Sim_Output[OUTPUT],"PRICE_0")-1</f>
        <v>-4.9504950495049549E-2</v>
      </c>
      <c r="K249" s="4">
        <f ca="1">IF(Sim_Output[[#This Row],[OUTPUT]]="PRICE_0",0,_xlfn.RANK.EQ(Sim_Output[[#This Row],[WTD_RET]],OFFSET(Sim_Output[[#This Row],[WTD_RET]],-Sim_Output[[#This Row],[OBS]]+1,0,12)))</f>
        <v>5</v>
      </c>
      <c r="L249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-0.19176201188976016</v>
      </c>
      <c r="M249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0.20253164556962022</v>
      </c>
      <c r="N249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-0.34246575342465757</v>
      </c>
    </row>
    <row r="250" spans="2:14" x14ac:dyDescent="0.25">
      <c r="B250">
        <v>2</v>
      </c>
      <c r="C250">
        <v>9</v>
      </c>
      <c r="D250">
        <f>VALUE(RIGHT(Sim_Output[[#This Row],[OUTPUT]],LEN(Sim_Output[[#This Row],[OUTPUT]])-6))</f>
        <v>12</v>
      </c>
      <c r="E250">
        <v>1</v>
      </c>
      <c r="F250" t="str">
        <f>Sim_Output[[#This Row],[SIM_ID]]&amp;" - "&amp;Sim_Output[[#This Row],[WEEK]]&amp;" - "&amp;Sim_Output[[#This Row],[REGIME]]</f>
        <v>2 - 9 - 1</v>
      </c>
      <c r="G250" t="s">
        <v>56</v>
      </c>
      <c r="H250">
        <v>64</v>
      </c>
      <c r="I250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250" s="7">
        <f>Sim_Output[[#This Row],[VALUE]]/SUMIFS(Sim_Output[VALUE],Sim_Output[SIM_ID],Sim_Output[[#This Row],[SIM_ID]],Sim_Output[WEEK],Sim_Output[[#This Row],[WEEK]],Sim_Output[OUTPUT],"PRICE_0")-1</f>
        <v>-0.36633663366336633</v>
      </c>
      <c r="K250" s="4">
        <f ca="1">IF(Sim_Output[[#This Row],[OUTPUT]]="PRICE_0",0,_xlfn.RANK.EQ(Sim_Output[[#This Row],[WTD_RET]],OFFSET(Sim_Output[[#This Row],[WTD_RET]],-Sim_Output[[#This Row],[OBS]]+1,0,12)))</f>
        <v>12</v>
      </c>
      <c r="L250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-0.86118576248674039</v>
      </c>
      <c r="M250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</v>
      </c>
      <c r="N250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-0.33333333333333337</v>
      </c>
    </row>
    <row r="251" spans="2:14" x14ac:dyDescent="0.25">
      <c r="B251">
        <v>2</v>
      </c>
      <c r="C251">
        <v>10</v>
      </c>
      <c r="D251">
        <f>VALUE(RIGHT(Sim_Output[[#This Row],[OUTPUT]],LEN(Sim_Output[[#This Row],[OUTPUT]])-6))</f>
        <v>0</v>
      </c>
      <c r="E251">
        <v>0</v>
      </c>
      <c r="F251" t="str">
        <f>Sim_Output[[#This Row],[SIM_ID]]&amp;" - "&amp;Sim_Output[[#This Row],[WEEK]]&amp;" - "&amp;Sim_Output[[#This Row],[REGIME]]</f>
        <v>2 - 10 - 0</v>
      </c>
      <c r="G251" t="s">
        <v>44</v>
      </c>
      <c r="H251">
        <v>105</v>
      </c>
      <c r="I251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251" s="7">
        <f>Sim_Output[[#This Row],[VALUE]]/SUMIFS(Sim_Output[VALUE],Sim_Output[SIM_ID],Sim_Output[[#This Row],[SIM_ID]],Sim_Output[WEEK],Sim_Output[[#This Row],[WEEK]],Sim_Output[OUTPUT],"PRICE_0")-1</f>
        <v>0</v>
      </c>
      <c r="K251" s="4">
        <f ca="1">IF(Sim_Output[[#This Row],[OUTPUT]]="PRICE_0",0,_xlfn.RANK.EQ(Sim_Output[[#This Row],[WTD_RET]],OFFSET(Sim_Output[[#This Row],[WTD_RET]],-Sim_Output[[#This Row],[OBS]]+1,0,12)))</f>
        <v>0</v>
      </c>
      <c r="L251" s="3" t="str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/>
      </c>
      <c r="M251" s="3" t="str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/>
      </c>
      <c r="N251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</v>
      </c>
    </row>
    <row r="252" spans="2:14" x14ac:dyDescent="0.25">
      <c r="B252">
        <v>2</v>
      </c>
      <c r="C252">
        <v>10</v>
      </c>
      <c r="D252">
        <f>VALUE(RIGHT(Sim_Output[[#This Row],[OUTPUT]],LEN(Sim_Output[[#This Row],[OUTPUT]])-6))</f>
        <v>1</v>
      </c>
      <c r="E252">
        <v>0</v>
      </c>
      <c r="F252" t="str">
        <f>Sim_Output[[#This Row],[SIM_ID]]&amp;" - "&amp;Sim_Output[[#This Row],[WEEK]]&amp;" - "&amp;Sim_Output[[#This Row],[REGIME]]</f>
        <v>2 - 10 - 0</v>
      </c>
      <c r="G252" t="s">
        <v>45</v>
      </c>
      <c r="H252">
        <v>64</v>
      </c>
      <c r="I252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252" s="7">
        <f>Sim_Output[[#This Row],[VALUE]]/SUMIFS(Sim_Output[VALUE],Sim_Output[SIM_ID],Sim_Output[[#This Row],[SIM_ID]],Sim_Output[WEEK],Sim_Output[[#This Row],[WEEK]],Sim_Output[OUTPUT],"PRICE_0")-1</f>
        <v>-0.39047619047619042</v>
      </c>
      <c r="K252" s="4">
        <f ca="1">IF(Sim_Output[[#This Row],[OUTPUT]]="PRICE_0",0,_xlfn.RANK.EQ(Sim_Output[[#This Row],[WTD_RET]],OFFSET(Sim_Output[[#This Row],[WTD_RET]],-Sim_Output[[#This Row],[OBS]]+1,0,12)))</f>
        <v>8</v>
      </c>
      <c r="L252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-0.89023131675661493</v>
      </c>
      <c r="M252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0.12790697674418613</v>
      </c>
      <c r="N252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-0.39047619047619042</v>
      </c>
    </row>
    <row r="253" spans="2:14" x14ac:dyDescent="0.25">
      <c r="B253">
        <v>2</v>
      </c>
      <c r="C253">
        <v>10</v>
      </c>
      <c r="D253">
        <f>VALUE(RIGHT(Sim_Output[[#This Row],[OUTPUT]],LEN(Sim_Output[[#This Row],[OUTPUT]])-6))</f>
        <v>2</v>
      </c>
      <c r="E253">
        <v>0</v>
      </c>
      <c r="F253" t="str">
        <f>Sim_Output[[#This Row],[SIM_ID]]&amp;" - "&amp;Sim_Output[[#This Row],[WEEK]]&amp;" - "&amp;Sim_Output[[#This Row],[REGIME]]</f>
        <v>2 - 10 - 0</v>
      </c>
      <c r="G253" t="s">
        <v>46</v>
      </c>
      <c r="H253">
        <v>59</v>
      </c>
      <c r="I253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253" s="7">
        <f>Sim_Output[[#This Row],[VALUE]]/SUMIFS(Sim_Output[VALUE],Sim_Output[SIM_ID],Sim_Output[[#This Row],[SIM_ID]],Sim_Output[WEEK],Sim_Output[[#This Row],[WEEK]],Sim_Output[OUTPUT],"PRICE_0")-1</f>
        <v>-0.43809523809523809</v>
      </c>
      <c r="K253" s="4">
        <f ca="1">IF(Sim_Output[[#This Row],[OUTPUT]]="PRICE_0",0,_xlfn.RANK.EQ(Sim_Output[[#This Row],[WTD_RET]],OFFSET(Sim_Output[[#This Row],[WTD_RET]],-Sim_Output[[#This Row],[OBS]]+1,0,12)))</f>
        <v>10</v>
      </c>
      <c r="L253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-1.0411179806136686</v>
      </c>
      <c r="M253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6.9767441860465143E-2</v>
      </c>
      <c r="N253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-7.8125E-2</v>
      </c>
    </row>
    <row r="254" spans="2:14" x14ac:dyDescent="0.25">
      <c r="B254">
        <v>2</v>
      </c>
      <c r="C254">
        <v>10</v>
      </c>
      <c r="D254">
        <f>VALUE(RIGHT(Sim_Output[[#This Row],[OUTPUT]],LEN(Sim_Output[[#This Row],[OUTPUT]])-6))</f>
        <v>3</v>
      </c>
      <c r="E254">
        <v>0</v>
      </c>
      <c r="F254" t="str">
        <f>Sim_Output[[#This Row],[SIM_ID]]&amp;" - "&amp;Sim_Output[[#This Row],[WEEK]]&amp;" - "&amp;Sim_Output[[#This Row],[REGIME]]</f>
        <v>2 - 10 - 0</v>
      </c>
      <c r="G254" t="s">
        <v>47</v>
      </c>
      <c r="H254">
        <v>53</v>
      </c>
      <c r="I254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254" s="7">
        <f>Sim_Output[[#This Row],[VALUE]]/SUMIFS(Sim_Output[VALUE],Sim_Output[SIM_ID],Sim_Output[[#This Row],[SIM_ID]],Sim_Output[WEEK],Sim_Output[[#This Row],[WEEK]],Sim_Output[OUTPUT],"PRICE_0")-1</f>
        <v>-0.49523809523809526</v>
      </c>
      <c r="K254" s="4">
        <f ca="1">IF(Sim_Output[[#This Row],[OUTPUT]]="PRICE_0",0,_xlfn.RANK.EQ(Sim_Output[[#This Row],[WTD_RET]],OFFSET(Sim_Output[[#This Row],[WTD_RET]],-Sim_Output[[#This Row],[OBS]]+1,0,12)))</f>
        <v>12</v>
      </c>
      <c r="L254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-1.2221819772421325</v>
      </c>
      <c r="M254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</v>
      </c>
      <c r="N254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-0.10169491525423724</v>
      </c>
    </row>
    <row r="255" spans="2:14" x14ac:dyDescent="0.25">
      <c r="B255">
        <v>2</v>
      </c>
      <c r="C255">
        <v>10</v>
      </c>
      <c r="D255">
        <f>VALUE(RIGHT(Sim_Output[[#This Row],[OUTPUT]],LEN(Sim_Output[[#This Row],[OUTPUT]])-6))</f>
        <v>4</v>
      </c>
      <c r="E255">
        <v>0</v>
      </c>
      <c r="F255" t="str">
        <f>Sim_Output[[#This Row],[SIM_ID]]&amp;" - "&amp;Sim_Output[[#This Row],[WEEK]]&amp;" - "&amp;Sim_Output[[#This Row],[REGIME]]</f>
        <v>2 - 10 - 0</v>
      </c>
      <c r="G255" t="s">
        <v>48</v>
      </c>
      <c r="H255">
        <v>97</v>
      </c>
      <c r="I255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255" s="7">
        <f>Sim_Output[[#This Row],[VALUE]]/SUMIFS(Sim_Output[VALUE],Sim_Output[SIM_ID],Sim_Output[[#This Row],[SIM_ID]],Sim_Output[WEEK],Sim_Output[[#This Row],[WEEK]],Sim_Output[OUTPUT],"PRICE_0")-1</f>
        <v>-7.6190476190476142E-2</v>
      </c>
      <c r="K255" s="4">
        <f ca="1">IF(Sim_Output[[#This Row],[OUTPUT]]="PRICE_0",0,_xlfn.RANK.EQ(Sim_Output[[#This Row],[WTD_RET]],OFFSET(Sim_Output[[#This Row],[WTD_RET]],-Sim_Output[[#This Row],[OBS]]+1,0,12)))</f>
        <v>7</v>
      </c>
      <c r="L255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0.10562066469993758</v>
      </c>
      <c r="M255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0.51162790697674432</v>
      </c>
      <c r="N255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0.83018867924528306</v>
      </c>
    </row>
    <row r="256" spans="2:14" x14ac:dyDescent="0.25">
      <c r="B256">
        <v>2</v>
      </c>
      <c r="C256">
        <v>10</v>
      </c>
      <c r="D256">
        <f>VALUE(RIGHT(Sim_Output[[#This Row],[OUTPUT]],LEN(Sim_Output[[#This Row],[OUTPUT]])-6))</f>
        <v>5</v>
      </c>
      <c r="E256">
        <v>0</v>
      </c>
      <c r="F256" t="str">
        <f>Sim_Output[[#This Row],[SIM_ID]]&amp;" - "&amp;Sim_Output[[#This Row],[WEEK]]&amp;" - "&amp;Sim_Output[[#This Row],[REGIME]]</f>
        <v>2 - 10 - 0</v>
      </c>
      <c r="G256" t="s">
        <v>49</v>
      </c>
      <c r="H256">
        <v>131</v>
      </c>
      <c r="I256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256" s="7">
        <f>Sim_Output[[#This Row],[VALUE]]/SUMIFS(Sim_Output[VALUE],Sim_Output[SIM_ID],Sim_Output[[#This Row],[SIM_ID]],Sim_Output[WEEK],Sim_Output[[#This Row],[WEEK]],Sim_Output[OUTPUT],"PRICE_0")-1</f>
        <v>0.24761904761904763</v>
      </c>
      <c r="K256" s="4">
        <f ca="1">IF(Sim_Output[[#This Row],[OUTPUT]]="PRICE_0",0,_xlfn.RANK.EQ(Sim_Output[[#This Row],[WTD_RET]],OFFSET(Sim_Output[[#This Row],[WTD_RET]],-Sim_Output[[#This Row],[OBS]]+1,0,12)))</f>
        <v>3</v>
      </c>
      <c r="L256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1.1316499789279006</v>
      </c>
      <c r="M256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0.90697674418604657</v>
      </c>
      <c r="N256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0.35051546391752586</v>
      </c>
    </row>
    <row r="257" spans="2:14" x14ac:dyDescent="0.25">
      <c r="B257">
        <v>2</v>
      </c>
      <c r="C257">
        <v>10</v>
      </c>
      <c r="D257">
        <f>VALUE(RIGHT(Sim_Output[[#This Row],[OUTPUT]],LEN(Sim_Output[[#This Row],[OUTPUT]])-6))</f>
        <v>6</v>
      </c>
      <c r="E257">
        <v>0</v>
      </c>
      <c r="F257" t="str">
        <f>Sim_Output[[#This Row],[SIM_ID]]&amp;" - "&amp;Sim_Output[[#This Row],[WEEK]]&amp;" - "&amp;Sim_Output[[#This Row],[REGIME]]</f>
        <v>2 - 10 - 0</v>
      </c>
      <c r="G257" t="s">
        <v>50</v>
      </c>
      <c r="H257">
        <v>64</v>
      </c>
      <c r="I257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257" s="7">
        <f>Sim_Output[[#This Row],[VALUE]]/SUMIFS(Sim_Output[VALUE],Sim_Output[SIM_ID],Sim_Output[[#This Row],[SIM_ID]],Sim_Output[WEEK],Sim_Output[[#This Row],[WEEK]],Sim_Output[OUTPUT],"PRICE_0")-1</f>
        <v>-0.39047619047619042</v>
      </c>
      <c r="K257" s="4">
        <f ca="1">IF(Sim_Output[[#This Row],[OUTPUT]]="PRICE_0",0,_xlfn.RANK.EQ(Sim_Output[[#This Row],[WTD_RET]],OFFSET(Sim_Output[[#This Row],[WTD_RET]],-Sim_Output[[#This Row],[OBS]]+1,0,12)))</f>
        <v>8</v>
      </c>
      <c r="L257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-0.89023131675661493</v>
      </c>
      <c r="M257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0.12790697674418613</v>
      </c>
      <c r="N257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-0.51145038167938939</v>
      </c>
    </row>
    <row r="258" spans="2:14" x14ac:dyDescent="0.25">
      <c r="B258">
        <v>2</v>
      </c>
      <c r="C258">
        <v>10</v>
      </c>
      <c r="D258">
        <f>VALUE(RIGHT(Sim_Output[[#This Row],[OUTPUT]],LEN(Sim_Output[[#This Row],[OUTPUT]])-6))</f>
        <v>7</v>
      </c>
      <c r="E258">
        <v>0</v>
      </c>
      <c r="F258" t="str">
        <f>Sim_Output[[#This Row],[SIM_ID]]&amp;" - "&amp;Sim_Output[[#This Row],[WEEK]]&amp;" - "&amp;Sim_Output[[#This Row],[REGIME]]</f>
        <v>2 - 10 - 0</v>
      </c>
      <c r="G258" t="s">
        <v>51</v>
      </c>
      <c r="H258">
        <v>56</v>
      </c>
      <c r="I258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258" s="7">
        <f>Sim_Output[[#This Row],[VALUE]]/SUMIFS(Sim_Output[VALUE],Sim_Output[SIM_ID],Sim_Output[[#This Row],[SIM_ID]],Sim_Output[WEEK],Sim_Output[[#This Row],[WEEK]],Sim_Output[OUTPUT],"PRICE_0")-1</f>
        <v>-0.46666666666666667</v>
      </c>
      <c r="K258" s="4">
        <f ca="1">IF(Sim_Output[[#This Row],[OUTPUT]]="PRICE_0",0,_xlfn.RANK.EQ(Sim_Output[[#This Row],[WTD_RET]],OFFSET(Sim_Output[[#This Row],[WTD_RET]],-Sim_Output[[#This Row],[OBS]]+1,0,12)))</f>
        <v>11</v>
      </c>
      <c r="L258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-1.1316499789279006</v>
      </c>
      <c r="M258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3.4883720930232572E-2</v>
      </c>
      <c r="N258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-0.125</v>
      </c>
    </row>
    <row r="259" spans="2:14" x14ac:dyDescent="0.25">
      <c r="B259">
        <v>2</v>
      </c>
      <c r="C259">
        <v>10</v>
      </c>
      <c r="D259">
        <f>VALUE(RIGHT(Sim_Output[[#This Row],[OUTPUT]],LEN(Sim_Output[[#This Row],[OUTPUT]])-6))</f>
        <v>8</v>
      </c>
      <c r="E259">
        <v>0</v>
      </c>
      <c r="F259" t="str">
        <f>Sim_Output[[#This Row],[SIM_ID]]&amp;" - "&amp;Sim_Output[[#This Row],[WEEK]]&amp;" - "&amp;Sim_Output[[#This Row],[REGIME]]</f>
        <v>2 - 10 - 0</v>
      </c>
      <c r="G259" t="s">
        <v>52</v>
      </c>
      <c r="H259">
        <v>113</v>
      </c>
      <c r="I259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259" s="7">
        <f>Sim_Output[[#This Row],[VALUE]]/SUMIFS(Sim_Output[VALUE],Sim_Output[SIM_ID],Sim_Output[[#This Row],[SIM_ID]],Sim_Output[WEEK],Sim_Output[[#This Row],[WEEK]],Sim_Output[OUTPUT],"PRICE_0")-1</f>
        <v>7.6190476190476142E-2</v>
      </c>
      <c r="K259" s="4">
        <f ca="1">IF(Sim_Output[[#This Row],[OUTPUT]]="PRICE_0",0,_xlfn.RANK.EQ(Sim_Output[[#This Row],[WTD_RET]],OFFSET(Sim_Output[[#This Row],[WTD_RET]],-Sim_Output[[#This Row],[OBS]]+1,0,12)))</f>
        <v>4</v>
      </c>
      <c r="L259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0.58845798904250812</v>
      </c>
      <c r="M259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0.69767441860465118</v>
      </c>
      <c r="N259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1.0178571428571428</v>
      </c>
    </row>
    <row r="260" spans="2:14" x14ac:dyDescent="0.25">
      <c r="B260">
        <v>2</v>
      </c>
      <c r="C260">
        <v>10</v>
      </c>
      <c r="D260">
        <f>VALUE(RIGHT(Sim_Output[[#This Row],[OUTPUT]],LEN(Sim_Output[[#This Row],[OUTPUT]])-6))</f>
        <v>9</v>
      </c>
      <c r="E260">
        <v>0</v>
      </c>
      <c r="F260" t="str">
        <f>Sim_Output[[#This Row],[SIM_ID]]&amp;" - "&amp;Sim_Output[[#This Row],[WEEK]]&amp;" - "&amp;Sim_Output[[#This Row],[REGIME]]</f>
        <v>2 - 10 - 0</v>
      </c>
      <c r="G260" t="s">
        <v>53</v>
      </c>
      <c r="H260">
        <v>108</v>
      </c>
      <c r="I260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260" s="7">
        <f>Sim_Output[[#This Row],[VALUE]]/SUMIFS(Sim_Output[VALUE],Sim_Output[SIM_ID],Sim_Output[[#This Row],[SIM_ID]],Sim_Output[WEEK],Sim_Output[[#This Row],[WEEK]],Sim_Output[OUTPUT],"PRICE_0")-1</f>
        <v>2.857142857142847E-2</v>
      </c>
      <c r="K260" s="4">
        <f ca="1">IF(Sim_Output[[#This Row],[OUTPUT]]="PRICE_0",0,_xlfn.RANK.EQ(Sim_Output[[#This Row],[WTD_RET]],OFFSET(Sim_Output[[#This Row],[WTD_RET]],-Sim_Output[[#This Row],[OBS]]+1,0,12)))</f>
        <v>5</v>
      </c>
      <c r="L260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0.43757132518545455</v>
      </c>
      <c r="M260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0.63953488372093015</v>
      </c>
      <c r="N260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-4.4247787610619427E-2</v>
      </c>
    </row>
    <row r="261" spans="2:14" x14ac:dyDescent="0.25">
      <c r="B261">
        <v>2</v>
      </c>
      <c r="C261">
        <v>10</v>
      </c>
      <c r="D261">
        <f>VALUE(RIGHT(Sim_Output[[#This Row],[OUTPUT]],LEN(Sim_Output[[#This Row],[OUTPUT]])-6))</f>
        <v>10</v>
      </c>
      <c r="E261">
        <v>0</v>
      </c>
      <c r="F261" t="str">
        <f>Sim_Output[[#This Row],[SIM_ID]]&amp;" - "&amp;Sim_Output[[#This Row],[WEEK]]&amp;" - "&amp;Sim_Output[[#This Row],[REGIME]]</f>
        <v>2 - 10 - 0</v>
      </c>
      <c r="G261" t="s">
        <v>54</v>
      </c>
      <c r="H261">
        <v>139</v>
      </c>
      <c r="I261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261" s="7">
        <f>Sim_Output[[#This Row],[VALUE]]/SUMIFS(Sim_Output[VALUE],Sim_Output[SIM_ID],Sim_Output[[#This Row],[SIM_ID]],Sim_Output[WEEK],Sim_Output[[#This Row],[WEEK]],Sim_Output[OUTPUT],"PRICE_0")-1</f>
        <v>0.32380952380952377</v>
      </c>
      <c r="K261" s="4">
        <f ca="1">IF(Sim_Output[[#This Row],[OUTPUT]]="PRICE_0",0,_xlfn.RANK.EQ(Sim_Output[[#This Row],[WTD_RET]],OFFSET(Sim_Output[[#This Row],[WTD_RET]],-Sim_Output[[#This Row],[OBS]]+1,0,12)))</f>
        <v>1</v>
      </c>
      <c r="L261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1.3730686410991859</v>
      </c>
      <c r="M261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1</v>
      </c>
      <c r="N261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0.28703703703703698</v>
      </c>
    </row>
    <row r="262" spans="2:14" x14ac:dyDescent="0.25">
      <c r="B262">
        <v>2</v>
      </c>
      <c r="C262">
        <v>10</v>
      </c>
      <c r="D262">
        <f>VALUE(RIGHT(Sim_Output[[#This Row],[OUTPUT]],LEN(Sim_Output[[#This Row],[OUTPUT]])-6))</f>
        <v>11</v>
      </c>
      <c r="E262">
        <v>0</v>
      </c>
      <c r="F262" t="str">
        <f>Sim_Output[[#This Row],[SIM_ID]]&amp;" - "&amp;Sim_Output[[#This Row],[WEEK]]&amp;" - "&amp;Sim_Output[[#This Row],[REGIME]]</f>
        <v>2 - 10 - 0</v>
      </c>
      <c r="G262" t="s">
        <v>55</v>
      </c>
      <c r="H262">
        <v>138</v>
      </c>
      <c r="I262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262" s="7">
        <f>Sim_Output[[#This Row],[VALUE]]/SUMIFS(Sim_Output[VALUE],Sim_Output[SIM_ID],Sim_Output[[#This Row],[SIM_ID]],Sim_Output[WEEK],Sim_Output[[#This Row],[WEEK]],Sim_Output[OUTPUT],"PRICE_0")-1</f>
        <v>0.31428571428571428</v>
      </c>
      <c r="K262" s="4">
        <f ca="1">IF(Sim_Output[[#This Row],[OUTPUT]]="PRICE_0",0,_xlfn.RANK.EQ(Sim_Output[[#This Row],[WTD_RET]],OFFSET(Sim_Output[[#This Row],[WTD_RET]],-Sim_Output[[#This Row],[OBS]]+1,0,12)))</f>
        <v>2</v>
      </c>
      <c r="L262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1.3428913083277754</v>
      </c>
      <c r="M262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0.9883720930232559</v>
      </c>
      <c r="N262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-7.194244604316502E-3</v>
      </c>
    </row>
    <row r="263" spans="2:14" x14ac:dyDescent="0.25">
      <c r="B263">
        <v>2</v>
      </c>
      <c r="C263">
        <v>10</v>
      </c>
      <c r="D263">
        <f>VALUE(RIGHT(Sim_Output[[#This Row],[OUTPUT]],LEN(Sim_Output[[#This Row],[OUTPUT]])-6))</f>
        <v>12</v>
      </c>
      <c r="E263">
        <v>0</v>
      </c>
      <c r="F263" t="str">
        <f>Sim_Output[[#This Row],[SIM_ID]]&amp;" - "&amp;Sim_Output[[#This Row],[WEEK]]&amp;" - "&amp;Sim_Output[[#This Row],[REGIME]]</f>
        <v>2 - 10 - 0</v>
      </c>
      <c r="G263" t="s">
        <v>56</v>
      </c>
      <c r="H263">
        <v>100</v>
      </c>
      <c r="I263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263" s="7">
        <f>Sim_Output[[#This Row],[VALUE]]/SUMIFS(Sim_Output[VALUE],Sim_Output[SIM_ID],Sim_Output[[#This Row],[SIM_ID]],Sim_Output[WEEK],Sim_Output[[#This Row],[WEEK]],Sim_Output[OUTPUT],"PRICE_0")-1</f>
        <v>-4.7619047619047672E-2</v>
      </c>
      <c r="K263" s="4">
        <f ca="1">IF(Sim_Output[[#This Row],[OUTPUT]]="PRICE_0",0,_xlfn.RANK.EQ(Sim_Output[[#This Row],[WTD_RET]],OFFSET(Sim_Output[[#This Row],[WTD_RET]],-Sim_Output[[#This Row],[OBS]]+1,0,12)))</f>
        <v>6</v>
      </c>
      <c r="L263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0.19615266301416931</v>
      </c>
      <c r="M263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0.54651162790697672</v>
      </c>
      <c r="N263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-0.27536231884057971</v>
      </c>
    </row>
    <row r="264" spans="2:14" x14ac:dyDescent="0.25">
      <c r="B264">
        <v>3</v>
      </c>
      <c r="C264">
        <v>1</v>
      </c>
      <c r="D264">
        <f>VALUE(RIGHT(Sim_Output[[#This Row],[OUTPUT]],LEN(Sim_Output[[#This Row],[OUTPUT]])-6))</f>
        <v>0</v>
      </c>
      <c r="E264">
        <v>3</v>
      </c>
      <c r="F264" t="str">
        <f>Sim_Output[[#This Row],[SIM_ID]]&amp;" - "&amp;Sim_Output[[#This Row],[WEEK]]&amp;" - "&amp;Sim_Output[[#This Row],[REGIME]]</f>
        <v>3 - 1 - 3</v>
      </c>
      <c r="G264" t="s">
        <v>44</v>
      </c>
      <c r="H264">
        <v>110</v>
      </c>
      <c r="I264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264" s="7">
        <f>Sim_Output[[#This Row],[VALUE]]/SUMIFS(Sim_Output[VALUE],Sim_Output[SIM_ID],Sim_Output[[#This Row],[SIM_ID]],Sim_Output[WEEK],Sim_Output[[#This Row],[WEEK]],Sim_Output[OUTPUT],"PRICE_0")-1</f>
        <v>0</v>
      </c>
      <c r="K264" s="4">
        <f ca="1">IF(Sim_Output[[#This Row],[OUTPUT]]="PRICE_0",0,_xlfn.RANK.EQ(Sim_Output[[#This Row],[WTD_RET]],OFFSET(Sim_Output[[#This Row],[WTD_RET]],-Sim_Output[[#This Row],[OBS]]+1,0,12)))</f>
        <v>0</v>
      </c>
      <c r="L264" s="3" t="str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/>
      </c>
      <c r="M264" s="3" t="str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/>
      </c>
      <c r="N264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</v>
      </c>
    </row>
    <row r="265" spans="2:14" x14ac:dyDescent="0.25">
      <c r="B265">
        <v>3</v>
      </c>
      <c r="C265">
        <v>1</v>
      </c>
      <c r="D265">
        <f>VALUE(RIGHT(Sim_Output[[#This Row],[OUTPUT]],LEN(Sim_Output[[#This Row],[OUTPUT]])-6))</f>
        <v>1</v>
      </c>
      <c r="E265">
        <v>3</v>
      </c>
      <c r="F265" t="str">
        <f>Sim_Output[[#This Row],[SIM_ID]]&amp;" - "&amp;Sim_Output[[#This Row],[WEEK]]&amp;" - "&amp;Sim_Output[[#This Row],[REGIME]]</f>
        <v>3 - 1 - 3</v>
      </c>
      <c r="G265" t="s">
        <v>45</v>
      </c>
      <c r="H265">
        <v>60</v>
      </c>
      <c r="I265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265" s="7">
        <f>Sim_Output[[#This Row],[VALUE]]/SUMIFS(Sim_Output[VALUE],Sim_Output[SIM_ID],Sim_Output[[#This Row],[SIM_ID]],Sim_Output[WEEK],Sim_Output[[#This Row],[WEEK]],Sim_Output[OUTPUT],"PRICE_0")-1</f>
        <v>-0.45454545454545459</v>
      </c>
      <c r="K265" s="4">
        <f ca="1">IF(Sim_Output[[#This Row],[OUTPUT]]="PRICE_0",0,_xlfn.RANK.EQ(Sim_Output[[#This Row],[WTD_RET]],OFFSET(Sim_Output[[#This Row],[WTD_RET]],-Sim_Output[[#This Row],[OBS]]+1,0,12)))</f>
        <v>4</v>
      </c>
      <c r="L265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-0.3638563151928299</v>
      </c>
      <c r="M265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0.13157894736842093</v>
      </c>
      <c r="N265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-0.45454545454545459</v>
      </c>
    </row>
    <row r="266" spans="2:14" x14ac:dyDescent="0.25">
      <c r="B266">
        <v>3</v>
      </c>
      <c r="C266">
        <v>1</v>
      </c>
      <c r="D266">
        <f>VALUE(RIGHT(Sim_Output[[#This Row],[OUTPUT]],LEN(Sim_Output[[#This Row],[OUTPUT]])-6))</f>
        <v>2</v>
      </c>
      <c r="E266">
        <v>3</v>
      </c>
      <c r="F266" t="str">
        <f>Sim_Output[[#This Row],[SIM_ID]]&amp;" - "&amp;Sim_Output[[#This Row],[WEEK]]&amp;" - "&amp;Sim_Output[[#This Row],[REGIME]]</f>
        <v>3 - 1 - 3</v>
      </c>
      <c r="G266" t="s">
        <v>46</v>
      </c>
      <c r="H266">
        <v>55</v>
      </c>
      <c r="I266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266" s="7">
        <f>Sim_Output[[#This Row],[VALUE]]/SUMIFS(Sim_Output[VALUE],Sim_Output[SIM_ID],Sim_Output[[#This Row],[SIM_ID]],Sim_Output[WEEK],Sim_Output[[#This Row],[WEEK]],Sim_Output[OUTPUT],"PRICE_0")-1</f>
        <v>-0.5</v>
      </c>
      <c r="K266" s="4">
        <f ca="1">IF(Sim_Output[[#This Row],[OUTPUT]]="PRICE_0",0,_xlfn.RANK.EQ(Sim_Output[[#This Row],[WTD_RET]],OFFSET(Sim_Output[[#This Row],[WTD_RET]],-Sim_Output[[#This Row],[OBS]]+1,0,12)))</f>
        <v>7</v>
      </c>
      <c r="L266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-0.48250511362527426</v>
      </c>
      <c r="M266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8.7719298245613961E-2</v>
      </c>
      <c r="N266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-8.333333333333337E-2</v>
      </c>
    </row>
    <row r="267" spans="2:14" x14ac:dyDescent="0.25">
      <c r="B267">
        <v>3</v>
      </c>
      <c r="C267">
        <v>1</v>
      </c>
      <c r="D267">
        <f>VALUE(RIGHT(Sim_Output[[#This Row],[OUTPUT]],LEN(Sim_Output[[#This Row],[OUTPUT]])-6))</f>
        <v>3</v>
      </c>
      <c r="E267">
        <v>3</v>
      </c>
      <c r="F267" t="str">
        <f>Sim_Output[[#This Row],[SIM_ID]]&amp;" - "&amp;Sim_Output[[#This Row],[WEEK]]&amp;" - "&amp;Sim_Output[[#This Row],[REGIME]]</f>
        <v>3 - 1 - 3</v>
      </c>
      <c r="G267" t="s">
        <v>47</v>
      </c>
      <c r="H267">
        <v>51</v>
      </c>
      <c r="I267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267" s="7">
        <f>Sim_Output[[#This Row],[VALUE]]/SUMIFS(Sim_Output[VALUE],Sim_Output[SIM_ID],Sim_Output[[#This Row],[SIM_ID]],Sim_Output[WEEK],Sim_Output[[#This Row],[WEEK]],Sim_Output[OUTPUT],"PRICE_0")-1</f>
        <v>-0.53636363636363638</v>
      </c>
      <c r="K267" s="4">
        <f ca="1">IF(Sim_Output[[#This Row],[OUTPUT]]="PRICE_0",0,_xlfn.RANK.EQ(Sim_Output[[#This Row],[WTD_RET]],OFFSET(Sim_Output[[#This Row],[WTD_RET]],-Sim_Output[[#This Row],[OBS]]+1,0,12)))</f>
        <v>9</v>
      </c>
      <c r="L267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-0.57742415237122979</v>
      </c>
      <c r="M267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5.2631578947368328E-2</v>
      </c>
      <c r="N267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-7.2727272727272751E-2</v>
      </c>
    </row>
    <row r="268" spans="2:14" x14ac:dyDescent="0.25">
      <c r="B268">
        <v>3</v>
      </c>
      <c r="C268">
        <v>1</v>
      </c>
      <c r="D268">
        <f>VALUE(RIGHT(Sim_Output[[#This Row],[OUTPUT]],LEN(Sim_Output[[#This Row],[OUTPUT]])-6))</f>
        <v>4</v>
      </c>
      <c r="E268">
        <v>3</v>
      </c>
      <c r="F268" t="str">
        <f>Sim_Output[[#This Row],[SIM_ID]]&amp;" - "&amp;Sim_Output[[#This Row],[WEEK]]&amp;" - "&amp;Sim_Output[[#This Row],[REGIME]]</f>
        <v>3 - 1 - 3</v>
      </c>
      <c r="G268" t="s">
        <v>48</v>
      </c>
      <c r="H268">
        <v>47</v>
      </c>
      <c r="I268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268" s="7">
        <f>Sim_Output[[#This Row],[VALUE]]/SUMIFS(Sim_Output[VALUE],Sim_Output[SIM_ID],Sim_Output[[#This Row],[SIM_ID]],Sim_Output[WEEK],Sim_Output[[#This Row],[WEEK]],Sim_Output[OUTPUT],"PRICE_0")-1</f>
        <v>-0.57272727272727275</v>
      </c>
      <c r="K268" s="4">
        <f ca="1">IF(Sim_Output[[#This Row],[OUTPUT]]="PRICE_0",0,_xlfn.RANK.EQ(Sim_Output[[#This Row],[WTD_RET]],OFFSET(Sim_Output[[#This Row],[WTD_RET]],-Sim_Output[[#This Row],[OBS]]+1,0,12)))</f>
        <v>10</v>
      </c>
      <c r="L268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-0.67234319111718543</v>
      </c>
      <c r="M268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1.7543859649122705E-2</v>
      </c>
      <c r="N268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-7.8431372549019662E-2</v>
      </c>
    </row>
    <row r="269" spans="2:14" x14ac:dyDescent="0.25">
      <c r="B269">
        <v>3</v>
      </c>
      <c r="C269">
        <v>1</v>
      </c>
      <c r="D269">
        <f>VALUE(RIGHT(Sim_Output[[#This Row],[OUTPUT]],LEN(Sim_Output[[#This Row],[OUTPUT]])-6))</f>
        <v>5</v>
      </c>
      <c r="E269">
        <v>3</v>
      </c>
      <c r="F269" t="str">
        <f>Sim_Output[[#This Row],[SIM_ID]]&amp;" - "&amp;Sim_Output[[#This Row],[WEEK]]&amp;" - "&amp;Sim_Output[[#This Row],[REGIME]]</f>
        <v>3 - 1 - 3</v>
      </c>
      <c r="G269" t="s">
        <v>49</v>
      </c>
      <c r="H269">
        <v>121</v>
      </c>
      <c r="I269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269" s="7">
        <f>Sim_Output[[#This Row],[VALUE]]/SUMIFS(Sim_Output[VALUE],Sim_Output[SIM_ID],Sim_Output[[#This Row],[SIM_ID]],Sim_Output[WEEK],Sim_Output[[#This Row],[WEEK]],Sim_Output[OUTPUT],"PRICE_0")-1</f>
        <v>0.10000000000000009</v>
      </c>
      <c r="K269" s="4">
        <f ca="1">IF(Sim_Output[[#This Row],[OUTPUT]]="PRICE_0",0,_xlfn.RANK.EQ(Sim_Output[[#This Row],[WTD_RET]],OFFSET(Sim_Output[[#This Row],[WTD_RET]],-Sim_Output[[#This Row],[OBS]]+1,0,12)))</f>
        <v>3</v>
      </c>
      <c r="L269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1.0836590256829925</v>
      </c>
      <c r="M269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0.66666666666666663</v>
      </c>
      <c r="N269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1.5744680851063828</v>
      </c>
    </row>
    <row r="270" spans="2:14" x14ac:dyDescent="0.25">
      <c r="B270">
        <v>3</v>
      </c>
      <c r="C270">
        <v>1</v>
      </c>
      <c r="D270">
        <f>VALUE(RIGHT(Sim_Output[[#This Row],[OUTPUT]],LEN(Sim_Output[[#This Row],[OUTPUT]])-6))</f>
        <v>6</v>
      </c>
      <c r="E270">
        <v>3</v>
      </c>
      <c r="F270" t="str">
        <f>Sim_Output[[#This Row],[SIM_ID]]&amp;" - "&amp;Sim_Output[[#This Row],[WEEK]]&amp;" - "&amp;Sim_Output[[#This Row],[REGIME]]</f>
        <v>3 - 1 - 3</v>
      </c>
      <c r="G270" t="s">
        <v>50</v>
      </c>
      <c r="H270">
        <v>150</v>
      </c>
      <c r="I270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270" s="7">
        <f>Sim_Output[[#This Row],[VALUE]]/SUMIFS(Sim_Output[VALUE],Sim_Output[SIM_ID],Sim_Output[[#This Row],[SIM_ID]],Sim_Output[WEEK],Sim_Output[[#This Row],[WEEK]],Sim_Output[OUTPUT],"PRICE_0")-1</f>
        <v>0.36363636363636354</v>
      </c>
      <c r="K270" s="4">
        <f ca="1">IF(Sim_Output[[#This Row],[OUTPUT]]="PRICE_0",0,_xlfn.RANK.EQ(Sim_Output[[#This Row],[WTD_RET]],OFFSET(Sim_Output[[#This Row],[WTD_RET]],-Sim_Output[[#This Row],[OBS]]+1,0,12)))</f>
        <v>2</v>
      </c>
      <c r="L270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1.7718220565911698</v>
      </c>
      <c r="M270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0.92105263157894723</v>
      </c>
      <c r="N270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0.2396694214876034</v>
      </c>
    </row>
    <row r="271" spans="2:14" x14ac:dyDescent="0.25">
      <c r="B271">
        <v>3</v>
      </c>
      <c r="C271">
        <v>1</v>
      </c>
      <c r="D271">
        <f>VALUE(RIGHT(Sim_Output[[#This Row],[OUTPUT]],LEN(Sim_Output[[#This Row],[OUTPUT]])-6))</f>
        <v>7</v>
      </c>
      <c r="E271">
        <v>3</v>
      </c>
      <c r="F271" t="str">
        <f>Sim_Output[[#This Row],[SIM_ID]]&amp;" - "&amp;Sim_Output[[#This Row],[WEEK]]&amp;" - "&amp;Sim_Output[[#This Row],[REGIME]]</f>
        <v>3 - 1 - 3</v>
      </c>
      <c r="G271" t="s">
        <v>51</v>
      </c>
      <c r="H271">
        <v>45</v>
      </c>
      <c r="I271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271" s="7">
        <f>Sim_Output[[#This Row],[VALUE]]/SUMIFS(Sim_Output[VALUE],Sim_Output[SIM_ID],Sim_Output[[#This Row],[SIM_ID]],Sim_Output[WEEK],Sim_Output[[#This Row],[WEEK]],Sim_Output[OUTPUT],"PRICE_0")-1</f>
        <v>-0.59090909090909083</v>
      </c>
      <c r="K271" s="4">
        <f ca="1">IF(Sim_Output[[#This Row],[OUTPUT]]="PRICE_0",0,_xlfn.RANK.EQ(Sim_Output[[#This Row],[WTD_RET]],OFFSET(Sim_Output[[#This Row],[WTD_RET]],-Sim_Output[[#This Row],[OBS]]+1,0,12)))</f>
        <v>12</v>
      </c>
      <c r="L271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-0.71980271049016287</v>
      </c>
      <c r="M271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</v>
      </c>
      <c r="N271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-0.7</v>
      </c>
    </row>
    <row r="272" spans="2:14" x14ac:dyDescent="0.25">
      <c r="B272">
        <v>3</v>
      </c>
      <c r="C272">
        <v>1</v>
      </c>
      <c r="D272">
        <f>VALUE(RIGHT(Sim_Output[[#This Row],[OUTPUT]],LEN(Sim_Output[[#This Row],[OUTPUT]])-6))</f>
        <v>8</v>
      </c>
      <c r="E272">
        <v>3</v>
      </c>
      <c r="F272" t="str">
        <f>Sim_Output[[#This Row],[SIM_ID]]&amp;" - "&amp;Sim_Output[[#This Row],[WEEK]]&amp;" - "&amp;Sim_Output[[#This Row],[REGIME]]</f>
        <v>3 - 1 - 3</v>
      </c>
      <c r="G272" t="s">
        <v>52</v>
      </c>
      <c r="H272">
        <v>159</v>
      </c>
      <c r="I272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272" s="7">
        <f>Sim_Output[[#This Row],[VALUE]]/SUMIFS(Sim_Output[VALUE],Sim_Output[SIM_ID],Sim_Output[[#This Row],[SIM_ID]],Sim_Output[WEEK],Sim_Output[[#This Row],[WEEK]],Sim_Output[OUTPUT],"PRICE_0")-1</f>
        <v>0.44545454545454555</v>
      </c>
      <c r="K272" s="4">
        <f ca="1">IF(Sim_Output[[#This Row],[OUTPUT]]="PRICE_0",0,_xlfn.RANK.EQ(Sim_Output[[#This Row],[WTD_RET]],OFFSET(Sim_Output[[#This Row],[WTD_RET]],-Sim_Output[[#This Row],[OBS]]+1,0,12)))</f>
        <v>1</v>
      </c>
      <c r="L272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1.9853898937695702</v>
      </c>
      <c r="M272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1</v>
      </c>
      <c r="N272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2.5333333333333332</v>
      </c>
    </row>
    <row r="273" spans="2:14" x14ac:dyDescent="0.25">
      <c r="B273">
        <v>3</v>
      </c>
      <c r="C273">
        <v>1</v>
      </c>
      <c r="D273">
        <f>VALUE(RIGHT(Sim_Output[[#This Row],[OUTPUT]],LEN(Sim_Output[[#This Row],[OUTPUT]])-6))</f>
        <v>9</v>
      </c>
      <c r="E273">
        <v>3</v>
      </c>
      <c r="F273" t="str">
        <f>Sim_Output[[#This Row],[SIM_ID]]&amp;" - "&amp;Sim_Output[[#This Row],[WEEK]]&amp;" - "&amp;Sim_Output[[#This Row],[REGIME]]</f>
        <v>3 - 1 - 3</v>
      </c>
      <c r="G273" t="s">
        <v>53</v>
      </c>
      <c r="H273">
        <v>47</v>
      </c>
      <c r="I273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273" s="7">
        <f>Sim_Output[[#This Row],[VALUE]]/SUMIFS(Sim_Output[VALUE],Sim_Output[SIM_ID],Sim_Output[[#This Row],[SIM_ID]],Sim_Output[WEEK],Sim_Output[[#This Row],[WEEK]],Sim_Output[OUTPUT],"PRICE_0")-1</f>
        <v>-0.57272727272727275</v>
      </c>
      <c r="K273" s="4">
        <f ca="1">IF(Sim_Output[[#This Row],[OUTPUT]]="PRICE_0",0,_xlfn.RANK.EQ(Sim_Output[[#This Row],[WTD_RET]],OFFSET(Sim_Output[[#This Row],[WTD_RET]],-Sim_Output[[#This Row],[OBS]]+1,0,12)))</f>
        <v>10</v>
      </c>
      <c r="L273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-0.67234319111718543</v>
      </c>
      <c r="M273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1.7543859649122705E-2</v>
      </c>
      <c r="N273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-0.70440251572327051</v>
      </c>
    </row>
    <row r="274" spans="2:14" x14ac:dyDescent="0.25">
      <c r="B274">
        <v>3</v>
      </c>
      <c r="C274">
        <v>1</v>
      </c>
      <c r="D274">
        <f>VALUE(RIGHT(Sim_Output[[#This Row],[OUTPUT]],LEN(Sim_Output[[#This Row],[OUTPUT]])-6))</f>
        <v>10</v>
      </c>
      <c r="E274">
        <v>3</v>
      </c>
      <c r="F274" t="str">
        <f>Sim_Output[[#This Row],[SIM_ID]]&amp;" - "&amp;Sim_Output[[#This Row],[WEEK]]&amp;" - "&amp;Sim_Output[[#This Row],[REGIME]]</f>
        <v>3 - 1 - 3</v>
      </c>
      <c r="G274" t="s">
        <v>54</v>
      </c>
      <c r="H274">
        <v>60</v>
      </c>
      <c r="I274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274" s="7">
        <f>Sim_Output[[#This Row],[VALUE]]/SUMIFS(Sim_Output[VALUE],Sim_Output[SIM_ID],Sim_Output[[#This Row],[SIM_ID]],Sim_Output[WEEK],Sim_Output[[#This Row],[WEEK]],Sim_Output[OUTPUT],"PRICE_0")-1</f>
        <v>-0.45454545454545459</v>
      </c>
      <c r="K274" s="4">
        <f ca="1">IF(Sim_Output[[#This Row],[OUTPUT]]="PRICE_0",0,_xlfn.RANK.EQ(Sim_Output[[#This Row],[WTD_RET]],OFFSET(Sim_Output[[#This Row],[WTD_RET]],-Sim_Output[[#This Row],[OBS]]+1,0,12)))</f>
        <v>4</v>
      </c>
      <c r="L274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-0.3638563151928299</v>
      </c>
      <c r="M274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0.13157894736842093</v>
      </c>
      <c r="N274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0.27659574468085113</v>
      </c>
    </row>
    <row r="275" spans="2:14" x14ac:dyDescent="0.25">
      <c r="B275">
        <v>3</v>
      </c>
      <c r="C275">
        <v>1</v>
      </c>
      <c r="D275">
        <f>VALUE(RIGHT(Sim_Output[[#This Row],[OUTPUT]],LEN(Sim_Output[[#This Row],[OUTPUT]])-6))</f>
        <v>11</v>
      </c>
      <c r="E275">
        <v>3</v>
      </c>
      <c r="F275" t="str">
        <f>Sim_Output[[#This Row],[SIM_ID]]&amp;" - "&amp;Sim_Output[[#This Row],[WEEK]]&amp;" - "&amp;Sim_Output[[#This Row],[REGIME]]</f>
        <v>3 - 1 - 3</v>
      </c>
      <c r="G275" t="s">
        <v>55</v>
      </c>
      <c r="H275">
        <v>56</v>
      </c>
      <c r="I275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275" s="7">
        <f>Sim_Output[[#This Row],[VALUE]]/SUMIFS(Sim_Output[VALUE],Sim_Output[SIM_ID],Sim_Output[[#This Row],[SIM_ID]],Sim_Output[WEEK],Sim_Output[[#This Row],[WEEK]],Sim_Output[OUTPUT],"PRICE_0")-1</f>
        <v>-0.49090909090909096</v>
      </c>
      <c r="K275" s="4">
        <f ca="1">IF(Sim_Output[[#This Row],[OUTPUT]]="PRICE_0",0,_xlfn.RANK.EQ(Sim_Output[[#This Row],[WTD_RET]],OFFSET(Sim_Output[[#This Row],[WTD_RET]],-Sim_Output[[#This Row],[OBS]]+1,0,12)))</f>
        <v>6</v>
      </c>
      <c r="L275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-0.45877535393878549</v>
      </c>
      <c r="M275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9.6491228070175308E-2</v>
      </c>
      <c r="N275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-6.6666666666666652E-2</v>
      </c>
    </row>
    <row r="276" spans="2:14" x14ac:dyDescent="0.25">
      <c r="B276">
        <v>3</v>
      </c>
      <c r="C276">
        <v>1</v>
      </c>
      <c r="D276">
        <f>VALUE(RIGHT(Sim_Output[[#This Row],[OUTPUT]],LEN(Sim_Output[[#This Row],[OUTPUT]])-6))</f>
        <v>12</v>
      </c>
      <c r="E276">
        <v>3</v>
      </c>
      <c r="F276" t="str">
        <f>Sim_Output[[#This Row],[SIM_ID]]&amp;" - "&amp;Sim_Output[[#This Row],[WEEK]]&amp;" - "&amp;Sim_Output[[#This Row],[REGIME]]</f>
        <v>3 - 1 - 3</v>
      </c>
      <c r="G276" t="s">
        <v>56</v>
      </c>
      <c r="H276">
        <v>53</v>
      </c>
      <c r="I276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276" s="7">
        <f>Sim_Output[[#This Row],[VALUE]]/SUMIFS(Sim_Output[VALUE],Sim_Output[SIM_ID],Sim_Output[[#This Row],[SIM_ID]],Sim_Output[WEEK],Sim_Output[[#This Row],[WEEK]],Sim_Output[OUTPUT],"PRICE_0")-1</f>
        <v>-0.51818181818181819</v>
      </c>
      <c r="K276" s="4">
        <f ca="1">IF(Sim_Output[[#This Row],[OUTPUT]]="PRICE_0",0,_xlfn.RANK.EQ(Sim_Output[[#This Row],[WTD_RET]],OFFSET(Sim_Output[[#This Row],[WTD_RET]],-Sim_Output[[#This Row],[OBS]]+1,0,12)))</f>
        <v>8</v>
      </c>
      <c r="L276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-0.52996463299825203</v>
      </c>
      <c r="M276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7.0175438596491141E-2</v>
      </c>
      <c r="N276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-5.3571428571428603E-2</v>
      </c>
    </row>
    <row r="277" spans="2:14" x14ac:dyDescent="0.25">
      <c r="B277">
        <v>3</v>
      </c>
      <c r="C277">
        <v>2</v>
      </c>
      <c r="D277">
        <f>VALUE(RIGHT(Sim_Output[[#This Row],[OUTPUT]],LEN(Sim_Output[[#This Row],[OUTPUT]])-6))</f>
        <v>0</v>
      </c>
      <c r="E277">
        <v>3</v>
      </c>
      <c r="F277" t="str">
        <f>Sim_Output[[#This Row],[SIM_ID]]&amp;" - "&amp;Sim_Output[[#This Row],[WEEK]]&amp;" - "&amp;Sim_Output[[#This Row],[REGIME]]</f>
        <v>3 - 2 - 3</v>
      </c>
      <c r="G277" t="s">
        <v>44</v>
      </c>
      <c r="H277">
        <v>92</v>
      </c>
      <c r="I277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277" s="7">
        <f>Sim_Output[[#This Row],[VALUE]]/SUMIFS(Sim_Output[VALUE],Sim_Output[SIM_ID],Sim_Output[[#This Row],[SIM_ID]],Sim_Output[WEEK],Sim_Output[[#This Row],[WEEK]],Sim_Output[OUTPUT],"PRICE_0")-1</f>
        <v>0</v>
      </c>
      <c r="K277" s="4">
        <f ca="1">IF(Sim_Output[[#This Row],[OUTPUT]]="PRICE_0",0,_xlfn.RANK.EQ(Sim_Output[[#This Row],[WTD_RET]],OFFSET(Sim_Output[[#This Row],[WTD_RET]],-Sim_Output[[#This Row],[OBS]]+1,0,12)))</f>
        <v>0</v>
      </c>
      <c r="L277" s="3" t="str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/>
      </c>
      <c r="M277" s="3" t="str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/>
      </c>
      <c r="N277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</v>
      </c>
    </row>
    <row r="278" spans="2:14" x14ac:dyDescent="0.25">
      <c r="B278">
        <v>3</v>
      </c>
      <c r="C278">
        <v>2</v>
      </c>
      <c r="D278">
        <f>VALUE(RIGHT(Sim_Output[[#This Row],[OUTPUT]],LEN(Sim_Output[[#This Row],[OUTPUT]])-6))</f>
        <v>1</v>
      </c>
      <c r="E278">
        <v>3</v>
      </c>
      <c r="F278" t="str">
        <f>Sim_Output[[#This Row],[SIM_ID]]&amp;" - "&amp;Sim_Output[[#This Row],[WEEK]]&amp;" - "&amp;Sim_Output[[#This Row],[REGIME]]</f>
        <v>3 - 2 - 3</v>
      </c>
      <c r="G278" t="s">
        <v>45</v>
      </c>
      <c r="H278">
        <v>48</v>
      </c>
      <c r="I278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278" s="7">
        <f>Sim_Output[[#This Row],[VALUE]]/SUMIFS(Sim_Output[VALUE],Sim_Output[SIM_ID],Sim_Output[[#This Row],[SIM_ID]],Sim_Output[WEEK],Sim_Output[[#This Row],[WEEK]],Sim_Output[OUTPUT],"PRICE_0")-1</f>
        <v>-0.47826086956521741</v>
      </c>
      <c r="K278" s="4">
        <f ca="1">IF(Sim_Output[[#This Row],[OUTPUT]]="PRICE_0",0,_xlfn.RANK.EQ(Sim_Output[[#This Row],[WTD_RET]],OFFSET(Sim_Output[[#This Row],[WTD_RET]],-Sim_Output[[#This Row],[OBS]]+1,0,12)))</f>
        <v>4</v>
      </c>
      <c r="L278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-0.42450226739526481</v>
      </c>
      <c r="M278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8.6206896551724074E-2</v>
      </c>
      <c r="N278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-0.47826086956521741</v>
      </c>
    </row>
    <row r="279" spans="2:14" x14ac:dyDescent="0.25">
      <c r="B279">
        <v>3</v>
      </c>
      <c r="C279">
        <v>2</v>
      </c>
      <c r="D279">
        <f>VALUE(RIGHT(Sim_Output[[#This Row],[OUTPUT]],LEN(Sim_Output[[#This Row],[OUTPUT]])-6))</f>
        <v>2</v>
      </c>
      <c r="E279">
        <v>3</v>
      </c>
      <c r="F279" t="str">
        <f>Sim_Output[[#This Row],[SIM_ID]]&amp;" - "&amp;Sim_Output[[#This Row],[WEEK]]&amp;" - "&amp;Sim_Output[[#This Row],[REGIME]]</f>
        <v>3 - 2 - 3</v>
      </c>
      <c r="G279" t="s">
        <v>46</v>
      </c>
      <c r="H279">
        <v>45</v>
      </c>
      <c r="I279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279" s="7">
        <f>Sim_Output[[#This Row],[VALUE]]/SUMIFS(Sim_Output[VALUE],Sim_Output[SIM_ID],Sim_Output[[#This Row],[SIM_ID]],Sim_Output[WEEK],Sim_Output[[#This Row],[WEEK]],Sim_Output[OUTPUT],"PRICE_0")-1</f>
        <v>-0.51086956521739135</v>
      </c>
      <c r="K279" s="4">
        <f ca="1">IF(Sim_Output[[#This Row],[OUTPUT]]="PRICE_0",0,_xlfn.RANK.EQ(Sim_Output[[#This Row],[WTD_RET]],OFFSET(Sim_Output[[#This Row],[WTD_RET]],-Sim_Output[[#This Row],[OBS]]+1,0,12)))</f>
        <v>7</v>
      </c>
      <c r="L279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-0.50053252424217798</v>
      </c>
      <c r="M279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6.0344827586206809E-2</v>
      </c>
      <c r="N279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-6.25E-2</v>
      </c>
    </row>
    <row r="280" spans="2:14" x14ac:dyDescent="0.25">
      <c r="B280">
        <v>3</v>
      </c>
      <c r="C280">
        <v>2</v>
      </c>
      <c r="D280">
        <f>VALUE(RIGHT(Sim_Output[[#This Row],[OUTPUT]],LEN(Sim_Output[[#This Row],[OUTPUT]])-6))</f>
        <v>3</v>
      </c>
      <c r="E280">
        <v>3</v>
      </c>
      <c r="F280" t="str">
        <f>Sim_Output[[#This Row],[SIM_ID]]&amp;" - "&amp;Sim_Output[[#This Row],[WEEK]]&amp;" - "&amp;Sim_Output[[#This Row],[REGIME]]</f>
        <v>3 - 2 - 3</v>
      </c>
      <c r="G280" t="s">
        <v>47</v>
      </c>
      <c r="H280">
        <v>41</v>
      </c>
      <c r="I280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280" s="7">
        <f>Sim_Output[[#This Row],[VALUE]]/SUMIFS(Sim_Output[VALUE],Sim_Output[SIM_ID],Sim_Output[[#This Row],[SIM_ID]],Sim_Output[WEEK],Sim_Output[[#This Row],[WEEK]],Sim_Output[OUTPUT],"PRICE_0")-1</f>
        <v>-0.55434782608695654</v>
      </c>
      <c r="K280" s="4">
        <f ca="1">IF(Sim_Output[[#This Row],[OUTPUT]]="PRICE_0",0,_xlfn.RANK.EQ(Sim_Output[[#This Row],[WTD_RET]],OFFSET(Sim_Output[[#This Row],[WTD_RET]],-Sim_Output[[#This Row],[OBS]]+1,0,12)))</f>
        <v>10</v>
      </c>
      <c r="L280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-0.60190620003806206</v>
      </c>
      <c r="M280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2.5862068965517179E-2</v>
      </c>
      <c r="N280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-8.8888888888888906E-2</v>
      </c>
    </row>
    <row r="281" spans="2:14" x14ac:dyDescent="0.25">
      <c r="B281">
        <v>3</v>
      </c>
      <c r="C281">
        <v>2</v>
      </c>
      <c r="D281">
        <f>VALUE(RIGHT(Sim_Output[[#This Row],[OUTPUT]],LEN(Sim_Output[[#This Row],[OUTPUT]])-6))</f>
        <v>4</v>
      </c>
      <c r="E281">
        <v>3</v>
      </c>
      <c r="F281" t="str">
        <f>Sim_Output[[#This Row],[SIM_ID]]&amp;" - "&amp;Sim_Output[[#This Row],[WEEK]]&amp;" - "&amp;Sim_Output[[#This Row],[REGIME]]</f>
        <v>3 - 2 - 3</v>
      </c>
      <c r="G281" t="s">
        <v>48</v>
      </c>
      <c r="H281">
        <v>106</v>
      </c>
      <c r="I281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281" s="7">
        <f>Sim_Output[[#This Row],[VALUE]]/SUMIFS(Sim_Output[VALUE],Sim_Output[SIM_ID],Sim_Output[[#This Row],[SIM_ID]],Sim_Output[WEEK],Sim_Output[[#This Row],[WEEK]],Sim_Output[OUTPUT],"PRICE_0")-1</f>
        <v>0.15217391304347827</v>
      </c>
      <c r="K281" s="4">
        <f ca="1">IF(Sim_Output[[#This Row],[OUTPUT]]="PRICE_0",0,_xlfn.RANK.EQ(Sim_Output[[#This Row],[WTD_RET]],OFFSET(Sim_Output[[#This Row],[WTD_RET]],-Sim_Output[[#This Row],[OBS]]+1,0,12)))</f>
        <v>3</v>
      </c>
      <c r="L281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1.0454160316450549</v>
      </c>
      <c r="M281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0.58620689655172409</v>
      </c>
      <c r="N281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1.5853658536585367</v>
      </c>
    </row>
    <row r="282" spans="2:14" x14ac:dyDescent="0.25">
      <c r="B282">
        <v>3</v>
      </c>
      <c r="C282">
        <v>2</v>
      </c>
      <c r="D282">
        <f>VALUE(RIGHT(Sim_Output[[#This Row],[OUTPUT]],LEN(Sim_Output[[#This Row],[OUTPUT]])-6))</f>
        <v>5</v>
      </c>
      <c r="E282">
        <v>3</v>
      </c>
      <c r="F282" t="str">
        <f>Sim_Output[[#This Row],[SIM_ID]]&amp;" - "&amp;Sim_Output[[#This Row],[WEEK]]&amp;" - "&amp;Sim_Output[[#This Row],[REGIME]]</f>
        <v>3 - 2 - 3</v>
      </c>
      <c r="G282" t="s">
        <v>49</v>
      </c>
      <c r="H282">
        <v>123</v>
      </c>
      <c r="I282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282" s="7">
        <f>Sim_Output[[#This Row],[VALUE]]/SUMIFS(Sim_Output[VALUE],Sim_Output[SIM_ID],Sim_Output[[#This Row],[SIM_ID]],Sim_Output[WEEK],Sim_Output[[#This Row],[WEEK]],Sim_Output[OUTPUT],"PRICE_0")-1</f>
        <v>0.33695652173913038</v>
      </c>
      <c r="K282" s="4">
        <f ca="1">IF(Sim_Output[[#This Row],[OUTPUT]]="PRICE_0",0,_xlfn.RANK.EQ(Sim_Output[[#This Row],[WTD_RET]],OFFSET(Sim_Output[[#This Row],[WTD_RET]],-Sim_Output[[#This Row],[OBS]]+1,0,12)))</f>
        <v>2</v>
      </c>
      <c r="L282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1.4762541537775624</v>
      </c>
      <c r="M282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0.73275862068965503</v>
      </c>
      <c r="N282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0.16037735849056611</v>
      </c>
    </row>
    <row r="283" spans="2:14" x14ac:dyDescent="0.25">
      <c r="B283">
        <v>3</v>
      </c>
      <c r="C283">
        <v>2</v>
      </c>
      <c r="D283">
        <f>VALUE(RIGHT(Sim_Output[[#This Row],[OUTPUT]],LEN(Sim_Output[[#This Row],[OUTPUT]])-6))</f>
        <v>6</v>
      </c>
      <c r="E283">
        <v>3</v>
      </c>
      <c r="F283" t="str">
        <f>Sim_Output[[#This Row],[SIM_ID]]&amp;" - "&amp;Sim_Output[[#This Row],[WEEK]]&amp;" - "&amp;Sim_Output[[#This Row],[REGIME]]</f>
        <v>3 - 2 - 3</v>
      </c>
      <c r="G283" t="s">
        <v>50</v>
      </c>
      <c r="H283">
        <v>47</v>
      </c>
      <c r="I283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283" s="7">
        <f>Sim_Output[[#This Row],[VALUE]]/SUMIFS(Sim_Output[VALUE],Sim_Output[SIM_ID],Sim_Output[[#This Row],[SIM_ID]],Sim_Output[WEEK],Sim_Output[[#This Row],[WEEK]],Sim_Output[OUTPUT],"PRICE_0")-1</f>
        <v>-0.48913043478260865</v>
      </c>
      <c r="K283" s="4">
        <f ca="1">IF(Sim_Output[[#This Row],[OUTPUT]]="PRICE_0",0,_xlfn.RANK.EQ(Sim_Output[[#This Row],[WTD_RET]],OFFSET(Sim_Output[[#This Row],[WTD_RET]],-Sim_Output[[#This Row],[OBS]]+1,0,12)))</f>
        <v>6</v>
      </c>
      <c r="L283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-0.44984568634423572</v>
      </c>
      <c r="M283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7.7586206896551713E-2</v>
      </c>
      <c r="N283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-0.61788617886178865</v>
      </c>
    </row>
    <row r="284" spans="2:14" x14ac:dyDescent="0.25">
      <c r="B284">
        <v>3</v>
      </c>
      <c r="C284">
        <v>2</v>
      </c>
      <c r="D284">
        <f>VALUE(RIGHT(Sim_Output[[#This Row],[OUTPUT]],LEN(Sim_Output[[#This Row],[OUTPUT]])-6))</f>
        <v>7</v>
      </c>
      <c r="E284">
        <v>3</v>
      </c>
      <c r="F284" t="str">
        <f>Sim_Output[[#This Row],[SIM_ID]]&amp;" - "&amp;Sim_Output[[#This Row],[WEEK]]&amp;" - "&amp;Sim_Output[[#This Row],[REGIME]]</f>
        <v>3 - 2 - 3</v>
      </c>
      <c r="G284" t="s">
        <v>51</v>
      </c>
      <c r="H284">
        <v>154</v>
      </c>
      <c r="I284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284" s="7">
        <f>Sim_Output[[#This Row],[VALUE]]/SUMIFS(Sim_Output[VALUE],Sim_Output[SIM_ID],Sim_Output[[#This Row],[SIM_ID]],Sim_Output[WEEK],Sim_Output[[#This Row],[WEEK]],Sim_Output[OUTPUT],"PRICE_0")-1</f>
        <v>0.67391304347826098</v>
      </c>
      <c r="K284" s="4">
        <f ca="1">IF(Sim_Output[[#This Row],[OUTPUT]]="PRICE_0",0,_xlfn.RANK.EQ(Sim_Output[[#This Row],[WTD_RET]],OFFSET(Sim_Output[[#This Row],[WTD_RET]],-Sim_Output[[#This Row],[OBS]]+1,0,12)))</f>
        <v>1</v>
      </c>
      <c r="L284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2.2619001411956647</v>
      </c>
      <c r="M284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1</v>
      </c>
      <c r="N284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2.2765957446808511</v>
      </c>
    </row>
    <row r="285" spans="2:14" x14ac:dyDescent="0.25">
      <c r="B285">
        <v>3</v>
      </c>
      <c r="C285">
        <v>2</v>
      </c>
      <c r="D285">
        <f>VALUE(RIGHT(Sim_Output[[#This Row],[OUTPUT]],LEN(Sim_Output[[#This Row],[OUTPUT]])-6))</f>
        <v>8</v>
      </c>
      <c r="E285">
        <v>3</v>
      </c>
      <c r="F285" t="str">
        <f>Sim_Output[[#This Row],[SIM_ID]]&amp;" - "&amp;Sim_Output[[#This Row],[WEEK]]&amp;" - "&amp;Sim_Output[[#This Row],[REGIME]]</f>
        <v>3 - 2 - 3</v>
      </c>
      <c r="G285" t="s">
        <v>52</v>
      </c>
      <c r="H285">
        <v>40</v>
      </c>
      <c r="I285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285" s="7">
        <f>Sim_Output[[#This Row],[VALUE]]/SUMIFS(Sim_Output[VALUE],Sim_Output[SIM_ID],Sim_Output[[#This Row],[SIM_ID]],Sim_Output[WEEK],Sim_Output[[#This Row],[WEEK]],Sim_Output[OUTPUT],"PRICE_0")-1</f>
        <v>-0.56521739130434789</v>
      </c>
      <c r="K285" s="4">
        <f ca="1">IF(Sim_Output[[#This Row],[OUTPUT]]="PRICE_0",0,_xlfn.RANK.EQ(Sim_Output[[#This Row],[WTD_RET]],OFFSET(Sim_Output[[#This Row],[WTD_RET]],-Sim_Output[[#This Row],[OBS]]+1,0,12)))</f>
        <v>11</v>
      </c>
      <c r="L285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-0.62724961898703324</v>
      </c>
      <c r="M285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1.7241379310344727E-2</v>
      </c>
      <c r="N285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-0.74025974025974028</v>
      </c>
    </row>
    <row r="286" spans="2:14" x14ac:dyDescent="0.25">
      <c r="B286">
        <v>3</v>
      </c>
      <c r="C286">
        <v>2</v>
      </c>
      <c r="D286">
        <f>VALUE(RIGHT(Sim_Output[[#This Row],[OUTPUT]],LEN(Sim_Output[[#This Row],[OUTPUT]])-6))</f>
        <v>9</v>
      </c>
      <c r="E286">
        <v>3</v>
      </c>
      <c r="F286" t="str">
        <f>Sim_Output[[#This Row],[SIM_ID]]&amp;" - "&amp;Sim_Output[[#This Row],[WEEK]]&amp;" - "&amp;Sim_Output[[#This Row],[REGIME]]</f>
        <v>3 - 2 - 3</v>
      </c>
      <c r="G286" t="s">
        <v>53</v>
      </c>
      <c r="H286">
        <v>48</v>
      </c>
      <c r="I286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286" s="7">
        <f>Sim_Output[[#This Row],[VALUE]]/SUMIFS(Sim_Output[VALUE],Sim_Output[SIM_ID],Sim_Output[[#This Row],[SIM_ID]],Sim_Output[WEEK],Sim_Output[[#This Row],[WEEK]],Sim_Output[OUTPUT],"PRICE_0")-1</f>
        <v>-0.47826086956521741</v>
      </c>
      <c r="K286" s="4">
        <f ca="1">IF(Sim_Output[[#This Row],[OUTPUT]]="PRICE_0",0,_xlfn.RANK.EQ(Sim_Output[[#This Row],[WTD_RET]],OFFSET(Sim_Output[[#This Row],[WTD_RET]],-Sim_Output[[#This Row],[OBS]]+1,0,12)))</f>
        <v>4</v>
      </c>
      <c r="L286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-0.42450226739526481</v>
      </c>
      <c r="M286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8.6206896551724074E-2</v>
      </c>
      <c r="N286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0.19999999999999996</v>
      </c>
    </row>
    <row r="287" spans="2:14" x14ac:dyDescent="0.25">
      <c r="B287">
        <v>3</v>
      </c>
      <c r="C287">
        <v>2</v>
      </c>
      <c r="D287">
        <f>VALUE(RIGHT(Sim_Output[[#This Row],[OUTPUT]],LEN(Sim_Output[[#This Row],[OUTPUT]])-6))</f>
        <v>10</v>
      </c>
      <c r="E287">
        <v>3</v>
      </c>
      <c r="F287" t="str">
        <f>Sim_Output[[#This Row],[SIM_ID]]&amp;" - "&amp;Sim_Output[[#This Row],[WEEK]]&amp;" - "&amp;Sim_Output[[#This Row],[REGIME]]</f>
        <v>3 - 2 - 3</v>
      </c>
      <c r="G287" t="s">
        <v>54</v>
      </c>
      <c r="H287">
        <v>45</v>
      </c>
      <c r="I287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287" s="7">
        <f>Sim_Output[[#This Row],[VALUE]]/SUMIFS(Sim_Output[VALUE],Sim_Output[SIM_ID],Sim_Output[[#This Row],[SIM_ID]],Sim_Output[WEEK],Sim_Output[[#This Row],[WEEK]],Sim_Output[OUTPUT],"PRICE_0")-1</f>
        <v>-0.51086956521739135</v>
      </c>
      <c r="K287" s="4">
        <f ca="1">IF(Sim_Output[[#This Row],[OUTPUT]]="PRICE_0",0,_xlfn.RANK.EQ(Sim_Output[[#This Row],[WTD_RET]],OFFSET(Sim_Output[[#This Row],[WTD_RET]],-Sim_Output[[#This Row],[OBS]]+1,0,12)))</f>
        <v>7</v>
      </c>
      <c r="L287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-0.50053252424217798</v>
      </c>
      <c r="M287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6.0344827586206809E-2</v>
      </c>
      <c r="N287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-6.25E-2</v>
      </c>
    </row>
    <row r="288" spans="2:14" x14ac:dyDescent="0.25">
      <c r="B288">
        <v>3</v>
      </c>
      <c r="C288">
        <v>2</v>
      </c>
      <c r="D288">
        <f>VALUE(RIGHT(Sim_Output[[#This Row],[OUTPUT]],LEN(Sim_Output[[#This Row],[OUTPUT]])-6))</f>
        <v>11</v>
      </c>
      <c r="E288">
        <v>3</v>
      </c>
      <c r="F288" t="str">
        <f>Sim_Output[[#This Row],[SIM_ID]]&amp;" - "&amp;Sim_Output[[#This Row],[WEEK]]&amp;" - "&amp;Sim_Output[[#This Row],[REGIME]]</f>
        <v>3 - 2 - 3</v>
      </c>
      <c r="G288" t="s">
        <v>55</v>
      </c>
      <c r="H288">
        <v>42</v>
      </c>
      <c r="I288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288" s="7">
        <f>Sim_Output[[#This Row],[VALUE]]/SUMIFS(Sim_Output[VALUE],Sim_Output[SIM_ID],Sim_Output[[#This Row],[SIM_ID]],Sim_Output[WEEK],Sim_Output[[#This Row],[WEEK]],Sim_Output[OUTPUT],"PRICE_0")-1</f>
        <v>-0.54347826086956519</v>
      </c>
      <c r="K288" s="4">
        <f ca="1">IF(Sim_Output[[#This Row],[OUTPUT]]="PRICE_0",0,_xlfn.RANK.EQ(Sim_Output[[#This Row],[WTD_RET]],OFFSET(Sim_Output[[#This Row],[WTD_RET]],-Sim_Output[[#This Row],[OBS]]+1,0,12)))</f>
        <v>9</v>
      </c>
      <c r="L288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-0.57656278108909087</v>
      </c>
      <c r="M288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3.4482758620689634E-2</v>
      </c>
      <c r="N288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-6.6666666666666652E-2</v>
      </c>
    </row>
    <row r="289" spans="2:14" x14ac:dyDescent="0.25">
      <c r="B289">
        <v>3</v>
      </c>
      <c r="C289">
        <v>2</v>
      </c>
      <c r="D289">
        <f>VALUE(RIGHT(Sim_Output[[#This Row],[OUTPUT]],LEN(Sim_Output[[#This Row],[OUTPUT]])-6))</f>
        <v>12</v>
      </c>
      <c r="E289">
        <v>3</v>
      </c>
      <c r="F289" t="str">
        <f>Sim_Output[[#This Row],[SIM_ID]]&amp;" - "&amp;Sim_Output[[#This Row],[WEEK]]&amp;" - "&amp;Sim_Output[[#This Row],[REGIME]]</f>
        <v>3 - 2 - 3</v>
      </c>
      <c r="G289" t="s">
        <v>56</v>
      </c>
      <c r="H289">
        <v>38</v>
      </c>
      <c r="I289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289" s="7">
        <f>Sim_Output[[#This Row],[VALUE]]/SUMIFS(Sim_Output[VALUE],Sim_Output[SIM_ID],Sim_Output[[#This Row],[SIM_ID]],Sim_Output[WEEK],Sim_Output[[#This Row],[WEEK]],Sim_Output[OUTPUT],"PRICE_0")-1</f>
        <v>-0.58695652173913038</v>
      </c>
      <c r="K289" s="4">
        <f ca="1">IF(Sim_Output[[#This Row],[OUTPUT]]="PRICE_0",0,_xlfn.RANK.EQ(Sim_Output[[#This Row],[WTD_RET]],OFFSET(Sim_Output[[#This Row],[WTD_RET]],-Sim_Output[[#This Row],[OBS]]+1,0,12)))</f>
        <v>12</v>
      </c>
      <c r="L289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-0.67793645688497495</v>
      </c>
      <c r="M289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</v>
      </c>
      <c r="N289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-9.5238095238095233E-2</v>
      </c>
    </row>
    <row r="290" spans="2:14" x14ac:dyDescent="0.25">
      <c r="B290">
        <v>3</v>
      </c>
      <c r="C290">
        <v>3</v>
      </c>
      <c r="D290">
        <f>VALUE(RIGHT(Sim_Output[[#This Row],[OUTPUT]],LEN(Sim_Output[[#This Row],[OUTPUT]])-6))</f>
        <v>0</v>
      </c>
      <c r="E290">
        <v>0</v>
      </c>
      <c r="F290" t="str">
        <f>Sim_Output[[#This Row],[SIM_ID]]&amp;" - "&amp;Sim_Output[[#This Row],[WEEK]]&amp;" - "&amp;Sim_Output[[#This Row],[REGIME]]</f>
        <v>3 - 3 - 0</v>
      </c>
      <c r="G290" t="s">
        <v>44</v>
      </c>
      <c r="H290">
        <v>99</v>
      </c>
      <c r="I290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290" s="7">
        <f>Sim_Output[[#This Row],[VALUE]]/SUMIFS(Sim_Output[VALUE],Sim_Output[SIM_ID],Sim_Output[[#This Row],[SIM_ID]],Sim_Output[WEEK],Sim_Output[[#This Row],[WEEK]],Sim_Output[OUTPUT],"PRICE_0")-1</f>
        <v>0</v>
      </c>
      <c r="K290" s="4">
        <f ca="1">IF(Sim_Output[[#This Row],[OUTPUT]]="PRICE_0",0,_xlfn.RANK.EQ(Sim_Output[[#This Row],[WTD_RET]],OFFSET(Sim_Output[[#This Row],[WTD_RET]],-Sim_Output[[#This Row],[OBS]]+1,0,12)))</f>
        <v>0</v>
      </c>
      <c r="L290" s="3" t="str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/>
      </c>
      <c r="M290" s="3" t="str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/>
      </c>
      <c r="N290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</v>
      </c>
    </row>
    <row r="291" spans="2:14" x14ac:dyDescent="0.25">
      <c r="B291">
        <v>3</v>
      </c>
      <c r="C291">
        <v>3</v>
      </c>
      <c r="D291">
        <f>VALUE(RIGHT(Sim_Output[[#This Row],[OUTPUT]],LEN(Sim_Output[[#This Row],[OUTPUT]])-6))</f>
        <v>1</v>
      </c>
      <c r="E291">
        <v>0</v>
      </c>
      <c r="F291" t="str">
        <f>Sim_Output[[#This Row],[SIM_ID]]&amp;" - "&amp;Sim_Output[[#This Row],[WEEK]]&amp;" - "&amp;Sim_Output[[#This Row],[REGIME]]</f>
        <v>3 - 3 - 0</v>
      </c>
      <c r="G291" t="s">
        <v>45</v>
      </c>
      <c r="H291">
        <v>114</v>
      </c>
      <c r="I291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291" s="7">
        <f>Sim_Output[[#This Row],[VALUE]]/SUMIFS(Sim_Output[VALUE],Sim_Output[SIM_ID],Sim_Output[[#This Row],[SIM_ID]],Sim_Output[WEEK],Sim_Output[[#This Row],[WEEK]],Sim_Output[OUTPUT],"PRICE_0")-1</f>
        <v>0.1515151515151516</v>
      </c>
      <c r="K291" s="4">
        <f ca="1">IF(Sim_Output[[#This Row],[OUTPUT]]="PRICE_0",0,_xlfn.RANK.EQ(Sim_Output[[#This Row],[WTD_RET]],OFFSET(Sim_Output[[#This Row],[WTD_RET]],-Sim_Output[[#This Row],[OBS]]+1,0,12)))</f>
        <v>4</v>
      </c>
      <c r="L291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0.97678725373845932</v>
      </c>
      <c r="M291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0.85937500000000011</v>
      </c>
      <c r="N291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0.1515151515151516</v>
      </c>
    </row>
    <row r="292" spans="2:14" x14ac:dyDescent="0.25">
      <c r="B292">
        <v>3</v>
      </c>
      <c r="C292">
        <v>3</v>
      </c>
      <c r="D292">
        <f>VALUE(RIGHT(Sim_Output[[#This Row],[OUTPUT]],LEN(Sim_Output[[#This Row],[OUTPUT]])-6))</f>
        <v>2</v>
      </c>
      <c r="E292">
        <v>0</v>
      </c>
      <c r="F292" t="str">
        <f>Sim_Output[[#This Row],[SIM_ID]]&amp;" - "&amp;Sim_Output[[#This Row],[WEEK]]&amp;" - "&amp;Sim_Output[[#This Row],[REGIME]]</f>
        <v>3 - 3 - 0</v>
      </c>
      <c r="G292" t="s">
        <v>46</v>
      </c>
      <c r="H292">
        <v>123</v>
      </c>
      <c r="I292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292" s="7">
        <f>Sim_Output[[#This Row],[VALUE]]/SUMIFS(Sim_Output[VALUE],Sim_Output[SIM_ID],Sim_Output[[#This Row],[SIM_ID]],Sim_Output[WEEK],Sim_Output[[#This Row],[WEEK]],Sim_Output[OUTPUT],"PRICE_0")-1</f>
        <v>0.24242424242424243</v>
      </c>
      <c r="K292" s="4">
        <f ca="1">IF(Sim_Output[[#This Row],[OUTPUT]]="PRICE_0",0,_xlfn.RANK.EQ(Sim_Output[[#This Row],[WTD_RET]],OFFSET(Sim_Output[[#This Row],[WTD_RET]],-Sim_Output[[#This Row],[OBS]]+1,0,12)))</f>
        <v>1</v>
      </c>
      <c r="L292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1.3418150163812048</v>
      </c>
      <c r="M292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1</v>
      </c>
      <c r="N292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7.8947368421052655E-2</v>
      </c>
    </row>
    <row r="293" spans="2:14" x14ac:dyDescent="0.25">
      <c r="B293">
        <v>3</v>
      </c>
      <c r="C293">
        <v>3</v>
      </c>
      <c r="D293">
        <f>VALUE(RIGHT(Sim_Output[[#This Row],[OUTPUT]],LEN(Sim_Output[[#This Row],[OUTPUT]])-6))</f>
        <v>3</v>
      </c>
      <c r="E293">
        <v>0</v>
      </c>
      <c r="F293" t="str">
        <f>Sim_Output[[#This Row],[SIM_ID]]&amp;" - "&amp;Sim_Output[[#This Row],[WEEK]]&amp;" - "&amp;Sim_Output[[#This Row],[REGIME]]</f>
        <v>3 - 3 - 0</v>
      </c>
      <c r="G293" t="s">
        <v>47</v>
      </c>
      <c r="H293">
        <v>122</v>
      </c>
      <c r="I293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293" s="7">
        <f>Sim_Output[[#This Row],[VALUE]]/SUMIFS(Sim_Output[VALUE],Sim_Output[SIM_ID],Sim_Output[[#This Row],[SIM_ID]],Sim_Output[WEEK],Sim_Output[[#This Row],[WEEK]],Sim_Output[OUTPUT],"PRICE_0")-1</f>
        <v>0.23232323232323226</v>
      </c>
      <c r="K293" s="4">
        <f ca="1">IF(Sim_Output[[#This Row],[OUTPUT]]="PRICE_0",0,_xlfn.RANK.EQ(Sim_Output[[#This Row],[WTD_RET]],OFFSET(Sim_Output[[#This Row],[WTD_RET]],-Sim_Output[[#This Row],[OBS]]+1,0,12)))</f>
        <v>2</v>
      </c>
      <c r="L293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1.3012563760875662</v>
      </c>
      <c r="M293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0.98437499999999989</v>
      </c>
      <c r="N293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-8.1300813008130524E-3</v>
      </c>
    </row>
    <row r="294" spans="2:14" x14ac:dyDescent="0.25">
      <c r="B294">
        <v>3</v>
      </c>
      <c r="C294">
        <v>3</v>
      </c>
      <c r="D294">
        <f>VALUE(RIGHT(Sim_Output[[#This Row],[OUTPUT]],LEN(Sim_Output[[#This Row],[OUTPUT]])-6))</f>
        <v>4</v>
      </c>
      <c r="E294">
        <v>0</v>
      </c>
      <c r="F294" t="str">
        <f>Sim_Output[[#This Row],[SIM_ID]]&amp;" - "&amp;Sim_Output[[#This Row],[WEEK]]&amp;" - "&amp;Sim_Output[[#This Row],[REGIME]]</f>
        <v>3 - 3 - 0</v>
      </c>
      <c r="G294" t="s">
        <v>48</v>
      </c>
      <c r="H294">
        <v>92</v>
      </c>
      <c r="I294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294" s="7">
        <f>Sim_Output[[#This Row],[VALUE]]/SUMIFS(Sim_Output[VALUE],Sim_Output[SIM_ID],Sim_Output[[#This Row],[SIM_ID]],Sim_Output[WEEK],Sim_Output[[#This Row],[WEEK]],Sim_Output[OUTPUT],"PRICE_0")-1</f>
        <v>-7.0707070707070718E-2</v>
      </c>
      <c r="K294" s="4">
        <f ca="1">IF(Sim_Output[[#This Row],[OUTPUT]]="PRICE_0",0,_xlfn.RANK.EQ(Sim_Output[[#This Row],[WTD_RET]],OFFSET(Sim_Output[[#This Row],[WTD_RET]],-Sim_Output[[#This Row],[OBS]]+1,0,12)))</f>
        <v>7</v>
      </c>
      <c r="L294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8.449716727841336E-2</v>
      </c>
      <c r="M294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0.515625</v>
      </c>
      <c r="N294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-0.24590163934426235</v>
      </c>
    </row>
    <row r="295" spans="2:14" x14ac:dyDescent="0.25">
      <c r="B295">
        <v>3</v>
      </c>
      <c r="C295">
        <v>3</v>
      </c>
      <c r="D295">
        <f>VALUE(RIGHT(Sim_Output[[#This Row],[OUTPUT]],LEN(Sim_Output[[#This Row],[OUTPUT]])-6))</f>
        <v>5</v>
      </c>
      <c r="E295">
        <v>0</v>
      </c>
      <c r="F295" t="str">
        <f>Sim_Output[[#This Row],[SIM_ID]]&amp;" - "&amp;Sim_Output[[#This Row],[WEEK]]&amp;" - "&amp;Sim_Output[[#This Row],[REGIME]]</f>
        <v>3 - 3 - 0</v>
      </c>
      <c r="G295" t="s">
        <v>49</v>
      </c>
      <c r="H295">
        <v>94</v>
      </c>
      <c r="I295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295" s="7">
        <f>Sim_Output[[#This Row],[VALUE]]/SUMIFS(Sim_Output[VALUE],Sim_Output[SIM_ID],Sim_Output[[#This Row],[SIM_ID]],Sim_Output[WEEK],Sim_Output[[#This Row],[WEEK]],Sim_Output[OUTPUT],"PRICE_0")-1</f>
        <v>-5.0505050505050497E-2</v>
      </c>
      <c r="K295" s="4">
        <f ca="1">IF(Sim_Output[[#This Row],[OUTPUT]]="PRICE_0",0,_xlfn.RANK.EQ(Sim_Output[[#This Row],[WTD_RET]],OFFSET(Sim_Output[[#This Row],[WTD_RET]],-Sim_Output[[#This Row],[OBS]]+1,0,12)))</f>
        <v>5</v>
      </c>
      <c r="L295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0.1656144478656903</v>
      </c>
      <c r="M295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0.546875</v>
      </c>
      <c r="N295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2.1739130434782705E-2</v>
      </c>
    </row>
    <row r="296" spans="2:14" x14ac:dyDescent="0.25">
      <c r="B296">
        <v>3</v>
      </c>
      <c r="C296">
        <v>3</v>
      </c>
      <c r="D296">
        <f>VALUE(RIGHT(Sim_Output[[#This Row],[OUTPUT]],LEN(Sim_Output[[#This Row],[OUTPUT]])-6))</f>
        <v>6</v>
      </c>
      <c r="E296">
        <v>0</v>
      </c>
      <c r="F296" t="str">
        <f>Sim_Output[[#This Row],[SIM_ID]]&amp;" - "&amp;Sim_Output[[#This Row],[WEEK]]&amp;" - "&amp;Sim_Output[[#This Row],[REGIME]]</f>
        <v>3 - 3 - 0</v>
      </c>
      <c r="G296" t="s">
        <v>50</v>
      </c>
      <c r="H296">
        <v>116</v>
      </c>
      <c r="I296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296" s="7">
        <f>Sim_Output[[#This Row],[VALUE]]/SUMIFS(Sim_Output[VALUE],Sim_Output[SIM_ID],Sim_Output[[#This Row],[SIM_ID]],Sim_Output[WEEK],Sim_Output[[#This Row],[WEEK]],Sim_Output[OUTPUT],"PRICE_0")-1</f>
        <v>0.17171717171717171</v>
      </c>
      <c r="K296" s="4">
        <f ca="1">IF(Sim_Output[[#This Row],[OUTPUT]]="PRICE_0",0,_xlfn.RANK.EQ(Sim_Output[[#This Row],[WTD_RET]],OFFSET(Sim_Output[[#This Row],[WTD_RET]],-Sim_Output[[#This Row],[OBS]]+1,0,12)))</f>
        <v>3</v>
      </c>
      <c r="L296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1.0579045343257358</v>
      </c>
      <c r="M296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0.890625</v>
      </c>
      <c r="N296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0.23404255319148937</v>
      </c>
    </row>
    <row r="297" spans="2:14" x14ac:dyDescent="0.25">
      <c r="B297">
        <v>3</v>
      </c>
      <c r="C297">
        <v>3</v>
      </c>
      <c r="D297">
        <f>VALUE(RIGHT(Sim_Output[[#This Row],[OUTPUT]],LEN(Sim_Output[[#This Row],[OUTPUT]])-6))</f>
        <v>7</v>
      </c>
      <c r="E297">
        <v>0</v>
      </c>
      <c r="F297" t="str">
        <f>Sim_Output[[#This Row],[SIM_ID]]&amp;" - "&amp;Sim_Output[[#This Row],[WEEK]]&amp;" - "&amp;Sim_Output[[#This Row],[REGIME]]</f>
        <v>3 - 3 - 0</v>
      </c>
      <c r="G297" t="s">
        <v>51</v>
      </c>
      <c r="H297">
        <v>70</v>
      </c>
      <c r="I297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297" s="7">
        <f>Sim_Output[[#This Row],[VALUE]]/SUMIFS(Sim_Output[VALUE],Sim_Output[SIM_ID],Sim_Output[[#This Row],[SIM_ID]],Sim_Output[WEEK],Sim_Output[[#This Row],[WEEK]],Sim_Output[OUTPUT],"PRICE_0")-1</f>
        <v>-0.29292929292929293</v>
      </c>
      <c r="K297" s="4">
        <f ca="1">IF(Sim_Output[[#This Row],[OUTPUT]]="PRICE_0",0,_xlfn.RANK.EQ(Sim_Output[[#This Row],[WTD_RET]],OFFSET(Sim_Output[[#This Row],[WTD_RET]],-Sim_Output[[#This Row],[OBS]]+1,0,12)))</f>
        <v>8</v>
      </c>
      <c r="L297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-0.8077929191816321</v>
      </c>
      <c r="M297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0.17187500000000006</v>
      </c>
      <c r="N297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-0.39655172413793105</v>
      </c>
    </row>
    <row r="298" spans="2:14" x14ac:dyDescent="0.25">
      <c r="B298">
        <v>3</v>
      </c>
      <c r="C298">
        <v>3</v>
      </c>
      <c r="D298">
        <f>VALUE(RIGHT(Sim_Output[[#This Row],[OUTPUT]],LEN(Sim_Output[[#This Row],[OUTPUT]])-6))</f>
        <v>8</v>
      </c>
      <c r="E298">
        <v>0</v>
      </c>
      <c r="F298" t="str">
        <f>Sim_Output[[#This Row],[SIM_ID]]&amp;" - "&amp;Sim_Output[[#This Row],[WEEK]]&amp;" - "&amp;Sim_Output[[#This Row],[REGIME]]</f>
        <v>3 - 3 - 0</v>
      </c>
      <c r="G298" t="s">
        <v>52</v>
      </c>
      <c r="H298">
        <v>65</v>
      </c>
      <c r="I298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298" s="7">
        <f>Sim_Output[[#This Row],[VALUE]]/SUMIFS(Sim_Output[VALUE],Sim_Output[SIM_ID],Sim_Output[[#This Row],[SIM_ID]],Sim_Output[WEEK],Sim_Output[[#This Row],[WEEK]],Sim_Output[OUTPUT],"PRICE_0")-1</f>
        <v>-0.34343434343434343</v>
      </c>
      <c r="K298" s="4">
        <f ca="1">IF(Sim_Output[[#This Row],[OUTPUT]]="PRICE_0",0,_xlfn.RANK.EQ(Sim_Output[[#This Row],[WTD_RET]],OFFSET(Sim_Output[[#This Row],[WTD_RET]],-Sim_Output[[#This Row],[OBS]]+1,0,12)))</f>
        <v>10</v>
      </c>
      <c r="L298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-1.0105861206498243</v>
      </c>
      <c r="M298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9.3750000000000083E-2</v>
      </c>
      <c r="N298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-7.1428571428571397E-2</v>
      </c>
    </row>
    <row r="299" spans="2:14" x14ac:dyDescent="0.25">
      <c r="B299">
        <v>3</v>
      </c>
      <c r="C299">
        <v>3</v>
      </c>
      <c r="D299">
        <f>VALUE(RIGHT(Sim_Output[[#This Row],[OUTPUT]],LEN(Sim_Output[[#This Row],[OUTPUT]])-6))</f>
        <v>9</v>
      </c>
      <c r="E299">
        <v>0</v>
      </c>
      <c r="F299" t="str">
        <f>Sim_Output[[#This Row],[SIM_ID]]&amp;" - "&amp;Sim_Output[[#This Row],[WEEK]]&amp;" - "&amp;Sim_Output[[#This Row],[REGIME]]</f>
        <v>3 - 3 - 0</v>
      </c>
      <c r="G299" t="s">
        <v>53</v>
      </c>
      <c r="H299">
        <v>59</v>
      </c>
      <c r="I299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299" s="7">
        <f>Sim_Output[[#This Row],[VALUE]]/SUMIFS(Sim_Output[VALUE],Sim_Output[SIM_ID],Sim_Output[[#This Row],[SIM_ID]],Sim_Output[WEEK],Sim_Output[[#This Row],[WEEK]],Sim_Output[OUTPUT],"PRICE_0")-1</f>
        <v>-0.40404040404040409</v>
      </c>
      <c r="K299" s="4">
        <f ca="1">IF(Sim_Output[[#This Row],[OUTPUT]]="PRICE_0",0,_xlfn.RANK.EQ(Sim_Output[[#This Row],[WTD_RET]],OFFSET(Sim_Output[[#This Row],[WTD_RET]],-Sim_Output[[#This Row],[OBS]]+1,0,12)))</f>
        <v>12</v>
      </c>
      <c r="L299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-1.2539379624116551</v>
      </c>
      <c r="M299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</v>
      </c>
      <c r="N299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-9.2307692307692313E-2</v>
      </c>
    </row>
    <row r="300" spans="2:14" x14ac:dyDescent="0.25">
      <c r="B300">
        <v>3</v>
      </c>
      <c r="C300">
        <v>3</v>
      </c>
      <c r="D300">
        <f>VALUE(RIGHT(Sim_Output[[#This Row],[OUTPUT]],LEN(Sim_Output[[#This Row],[OUTPUT]])-6))</f>
        <v>10</v>
      </c>
      <c r="E300">
        <v>0</v>
      </c>
      <c r="F300" t="str">
        <f>Sim_Output[[#This Row],[SIM_ID]]&amp;" - "&amp;Sim_Output[[#This Row],[WEEK]]&amp;" - "&amp;Sim_Output[[#This Row],[REGIME]]</f>
        <v>3 - 3 - 0</v>
      </c>
      <c r="G300" t="s">
        <v>54</v>
      </c>
      <c r="H300">
        <v>94</v>
      </c>
      <c r="I300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300" s="7">
        <f>Sim_Output[[#This Row],[VALUE]]/SUMIFS(Sim_Output[VALUE],Sim_Output[SIM_ID],Sim_Output[[#This Row],[SIM_ID]],Sim_Output[WEEK],Sim_Output[[#This Row],[WEEK]],Sim_Output[OUTPUT],"PRICE_0")-1</f>
        <v>-5.0505050505050497E-2</v>
      </c>
      <c r="K300" s="4">
        <f ca="1">IF(Sim_Output[[#This Row],[OUTPUT]]="PRICE_0",0,_xlfn.RANK.EQ(Sim_Output[[#This Row],[WTD_RET]],OFFSET(Sim_Output[[#This Row],[WTD_RET]],-Sim_Output[[#This Row],[OBS]]+1,0,12)))</f>
        <v>5</v>
      </c>
      <c r="L300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0.1656144478656903</v>
      </c>
      <c r="M300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0.546875</v>
      </c>
      <c r="N300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0.59322033898305082</v>
      </c>
    </row>
    <row r="301" spans="2:14" x14ac:dyDescent="0.25">
      <c r="B301">
        <v>3</v>
      </c>
      <c r="C301">
        <v>3</v>
      </c>
      <c r="D301">
        <f>VALUE(RIGHT(Sim_Output[[#This Row],[OUTPUT]],LEN(Sim_Output[[#This Row],[OUTPUT]])-6))</f>
        <v>11</v>
      </c>
      <c r="E301">
        <v>0</v>
      </c>
      <c r="F301" t="str">
        <f>Sim_Output[[#This Row],[SIM_ID]]&amp;" - "&amp;Sim_Output[[#This Row],[WEEK]]&amp;" - "&amp;Sim_Output[[#This Row],[REGIME]]</f>
        <v>3 - 3 - 0</v>
      </c>
      <c r="G301" t="s">
        <v>55</v>
      </c>
      <c r="H301">
        <v>70</v>
      </c>
      <c r="I301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301" s="7">
        <f>Sim_Output[[#This Row],[VALUE]]/SUMIFS(Sim_Output[VALUE],Sim_Output[SIM_ID],Sim_Output[[#This Row],[SIM_ID]],Sim_Output[WEEK],Sim_Output[[#This Row],[WEEK]],Sim_Output[OUTPUT],"PRICE_0")-1</f>
        <v>-0.29292929292929293</v>
      </c>
      <c r="K301" s="4">
        <f ca="1">IF(Sim_Output[[#This Row],[OUTPUT]]="PRICE_0",0,_xlfn.RANK.EQ(Sim_Output[[#This Row],[WTD_RET]],OFFSET(Sim_Output[[#This Row],[WTD_RET]],-Sim_Output[[#This Row],[OBS]]+1,0,12)))</f>
        <v>8</v>
      </c>
      <c r="L301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-0.8077929191816321</v>
      </c>
      <c r="M301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0.17187500000000006</v>
      </c>
      <c r="N301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-0.25531914893617025</v>
      </c>
    </row>
    <row r="302" spans="2:14" x14ac:dyDescent="0.25">
      <c r="B302">
        <v>3</v>
      </c>
      <c r="C302">
        <v>3</v>
      </c>
      <c r="D302">
        <f>VALUE(RIGHT(Sim_Output[[#This Row],[OUTPUT]],LEN(Sim_Output[[#This Row],[OUTPUT]])-6))</f>
        <v>12</v>
      </c>
      <c r="E302">
        <v>0</v>
      </c>
      <c r="F302" t="str">
        <f>Sim_Output[[#This Row],[SIM_ID]]&amp;" - "&amp;Sim_Output[[#This Row],[WEEK]]&amp;" - "&amp;Sim_Output[[#This Row],[REGIME]]</f>
        <v>3 - 3 - 0</v>
      </c>
      <c r="G302" t="s">
        <v>56</v>
      </c>
      <c r="H302">
        <v>60</v>
      </c>
      <c r="I302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302" s="7">
        <f>Sim_Output[[#This Row],[VALUE]]/SUMIFS(Sim_Output[VALUE],Sim_Output[SIM_ID],Sim_Output[[#This Row],[SIM_ID]],Sim_Output[WEEK],Sim_Output[[#This Row],[WEEK]],Sim_Output[OUTPUT],"PRICE_0")-1</f>
        <v>-0.39393939393939392</v>
      </c>
      <c r="K302" s="4">
        <f ca="1">IF(Sim_Output[[#This Row],[OUTPUT]]="PRICE_0",0,_xlfn.RANK.EQ(Sim_Output[[#This Row],[WTD_RET]],OFFSET(Sim_Output[[#This Row],[WTD_RET]],-Sim_Output[[#This Row],[OBS]]+1,0,12)))</f>
        <v>11</v>
      </c>
      <c r="L302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-1.2133793221180165</v>
      </c>
      <c r="M302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1.5625000000000101E-2</v>
      </c>
      <c r="N302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-0.1428571428571429</v>
      </c>
    </row>
    <row r="303" spans="2:14" x14ac:dyDescent="0.25">
      <c r="B303">
        <v>3</v>
      </c>
      <c r="C303">
        <v>4</v>
      </c>
      <c r="D303">
        <f>VALUE(RIGHT(Sim_Output[[#This Row],[OUTPUT]],LEN(Sim_Output[[#This Row],[OUTPUT]])-6))</f>
        <v>0</v>
      </c>
      <c r="E303">
        <v>3</v>
      </c>
      <c r="F303" t="str">
        <f>Sim_Output[[#This Row],[SIM_ID]]&amp;" - "&amp;Sim_Output[[#This Row],[WEEK]]&amp;" - "&amp;Sim_Output[[#This Row],[REGIME]]</f>
        <v>3 - 4 - 3</v>
      </c>
      <c r="G303" t="s">
        <v>44</v>
      </c>
      <c r="H303">
        <v>93</v>
      </c>
      <c r="I303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303" s="7">
        <f>Sim_Output[[#This Row],[VALUE]]/SUMIFS(Sim_Output[VALUE],Sim_Output[SIM_ID],Sim_Output[[#This Row],[SIM_ID]],Sim_Output[WEEK],Sim_Output[[#This Row],[WEEK]],Sim_Output[OUTPUT],"PRICE_0")-1</f>
        <v>0</v>
      </c>
      <c r="K303" s="4">
        <f ca="1">IF(Sim_Output[[#This Row],[OUTPUT]]="PRICE_0",0,_xlfn.RANK.EQ(Sim_Output[[#This Row],[WTD_RET]],OFFSET(Sim_Output[[#This Row],[WTD_RET]],-Sim_Output[[#This Row],[OBS]]+1,0,12)))</f>
        <v>0</v>
      </c>
      <c r="L303" s="3" t="str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/>
      </c>
      <c r="M303" s="3" t="str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/>
      </c>
      <c r="N303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</v>
      </c>
    </row>
    <row r="304" spans="2:14" x14ac:dyDescent="0.25">
      <c r="B304">
        <v>3</v>
      </c>
      <c r="C304">
        <v>4</v>
      </c>
      <c r="D304">
        <f>VALUE(RIGHT(Sim_Output[[#This Row],[OUTPUT]],LEN(Sim_Output[[#This Row],[OUTPUT]])-6))</f>
        <v>1</v>
      </c>
      <c r="E304">
        <v>3</v>
      </c>
      <c r="F304" t="str">
        <f>Sim_Output[[#This Row],[SIM_ID]]&amp;" - "&amp;Sim_Output[[#This Row],[WEEK]]&amp;" - "&amp;Sim_Output[[#This Row],[REGIME]]</f>
        <v>3 - 4 - 3</v>
      </c>
      <c r="G304" t="s">
        <v>45</v>
      </c>
      <c r="H304">
        <v>61</v>
      </c>
      <c r="I304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304" s="7">
        <f>Sim_Output[[#This Row],[VALUE]]/SUMIFS(Sim_Output[VALUE],Sim_Output[SIM_ID],Sim_Output[[#This Row],[SIM_ID]],Sim_Output[WEEK],Sim_Output[[#This Row],[WEEK]],Sim_Output[OUTPUT],"PRICE_0")-1</f>
        <v>-0.34408602150537637</v>
      </c>
      <c r="K304" s="4">
        <f ca="1">IF(Sim_Output[[#This Row],[OUTPUT]]="PRICE_0",0,_xlfn.RANK.EQ(Sim_Output[[#This Row],[WTD_RET]],OFFSET(Sim_Output[[#This Row],[WTD_RET]],-Sim_Output[[#This Row],[OBS]]+1,0,12)))</f>
        <v>4</v>
      </c>
      <c r="L304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-0.28458555286678455</v>
      </c>
      <c r="M304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0.1916666666666666</v>
      </c>
      <c r="N304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-0.34408602150537637</v>
      </c>
    </row>
    <row r="305" spans="2:14" x14ac:dyDescent="0.25">
      <c r="B305">
        <v>3</v>
      </c>
      <c r="C305">
        <v>4</v>
      </c>
      <c r="D305">
        <f>VALUE(RIGHT(Sim_Output[[#This Row],[OUTPUT]],LEN(Sim_Output[[#This Row],[OUTPUT]])-6))</f>
        <v>2</v>
      </c>
      <c r="E305">
        <v>3</v>
      </c>
      <c r="F305" t="str">
        <f>Sim_Output[[#This Row],[SIM_ID]]&amp;" - "&amp;Sim_Output[[#This Row],[WEEK]]&amp;" - "&amp;Sim_Output[[#This Row],[REGIME]]</f>
        <v>3 - 4 - 3</v>
      </c>
      <c r="G305" t="s">
        <v>46</v>
      </c>
      <c r="H305">
        <v>58</v>
      </c>
      <c r="I305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305" s="7">
        <f>Sim_Output[[#This Row],[VALUE]]/SUMIFS(Sim_Output[VALUE],Sim_Output[SIM_ID],Sim_Output[[#This Row],[SIM_ID]],Sim_Output[WEEK],Sim_Output[[#This Row],[WEEK]],Sim_Output[OUTPUT],"PRICE_0")-1</f>
        <v>-0.37634408602150538</v>
      </c>
      <c r="K305" s="4">
        <f ca="1">IF(Sim_Output[[#This Row],[OUTPUT]]="PRICE_0",0,_xlfn.RANK.EQ(Sim_Output[[#This Row],[WTD_RET]],OFFSET(Sim_Output[[#This Row],[WTD_RET]],-Sim_Output[[#This Row],[OBS]]+1,0,12)))</f>
        <v>6</v>
      </c>
      <c r="L305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-0.36720716498939937</v>
      </c>
      <c r="M305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0.1666666666666666</v>
      </c>
      <c r="N305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-4.9180327868852514E-2</v>
      </c>
    </row>
    <row r="306" spans="2:14" x14ac:dyDescent="0.25">
      <c r="B306">
        <v>3</v>
      </c>
      <c r="C306">
        <v>4</v>
      </c>
      <c r="D306">
        <f>VALUE(RIGHT(Sim_Output[[#This Row],[OUTPUT]],LEN(Sim_Output[[#This Row],[OUTPUT]])-6))</f>
        <v>3</v>
      </c>
      <c r="E306">
        <v>3</v>
      </c>
      <c r="F306" t="str">
        <f>Sim_Output[[#This Row],[SIM_ID]]&amp;" - "&amp;Sim_Output[[#This Row],[WEEK]]&amp;" - "&amp;Sim_Output[[#This Row],[REGIME]]</f>
        <v>3 - 4 - 3</v>
      </c>
      <c r="G306" t="s">
        <v>47</v>
      </c>
      <c r="H306">
        <v>53</v>
      </c>
      <c r="I306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306" s="7">
        <f>Sim_Output[[#This Row],[VALUE]]/SUMIFS(Sim_Output[VALUE],Sim_Output[SIM_ID],Sim_Output[[#This Row],[SIM_ID]],Sim_Output[WEEK],Sim_Output[[#This Row],[WEEK]],Sim_Output[OUTPUT],"PRICE_0")-1</f>
        <v>-0.43010752688172038</v>
      </c>
      <c r="K306" s="4">
        <f ca="1">IF(Sim_Output[[#This Row],[OUTPUT]]="PRICE_0",0,_xlfn.RANK.EQ(Sim_Output[[#This Row],[WTD_RET]],OFFSET(Sim_Output[[#This Row],[WTD_RET]],-Sim_Output[[#This Row],[OBS]]+1,0,12)))</f>
        <v>8</v>
      </c>
      <c r="L306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-0.50490985186042403</v>
      </c>
      <c r="M306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0.12499999999999997</v>
      </c>
      <c r="N306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-8.6206896551724088E-2</v>
      </c>
    </row>
    <row r="307" spans="2:14" x14ac:dyDescent="0.25">
      <c r="B307">
        <v>3</v>
      </c>
      <c r="C307">
        <v>4</v>
      </c>
      <c r="D307">
        <f>VALUE(RIGHT(Sim_Output[[#This Row],[OUTPUT]],LEN(Sim_Output[[#This Row],[OUTPUT]])-6))</f>
        <v>4</v>
      </c>
      <c r="E307">
        <v>3</v>
      </c>
      <c r="F307" t="str">
        <f>Sim_Output[[#This Row],[SIM_ID]]&amp;" - "&amp;Sim_Output[[#This Row],[WEEK]]&amp;" - "&amp;Sim_Output[[#This Row],[REGIME]]</f>
        <v>3 - 4 - 3</v>
      </c>
      <c r="G307" t="s">
        <v>48</v>
      </c>
      <c r="H307">
        <v>127</v>
      </c>
      <c r="I307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307" s="7">
        <f>Sim_Output[[#This Row],[VALUE]]/SUMIFS(Sim_Output[VALUE],Sim_Output[SIM_ID],Sim_Output[[#This Row],[SIM_ID]],Sim_Output[WEEK],Sim_Output[[#This Row],[WEEK]],Sim_Output[OUTPUT],"PRICE_0")-1</f>
        <v>0.36559139784946226</v>
      </c>
      <c r="K307" s="4">
        <f ca="1">IF(Sim_Output[[#This Row],[OUTPUT]]="PRICE_0",0,_xlfn.RANK.EQ(Sim_Output[[#This Row],[WTD_RET]],OFFSET(Sim_Output[[#This Row],[WTD_RET]],-Sim_Output[[#This Row],[OBS]]+1,0,12)))</f>
        <v>2</v>
      </c>
      <c r="L307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1.5330899138307421</v>
      </c>
      <c r="M307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0.74166666666666659</v>
      </c>
      <c r="N307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1.3962264150943398</v>
      </c>
    </row>
    <row r="308" spans="2:14" x14ac:dyDescent="0.25">
      <c r="B308">
        <v>3</v>
      </c>
      <c r="C308">
        <v>4</v>
      </c>
      <c r="D308">
        <f>VALUE(RIGHT(Sim_Output[[#This Row],[OUTPUT]],LEN(Sim_Output[[#This Row],[OUTPUT]])-6))</f>
        <v>5</v>
      </c>
      <c r="E308">
        <v>3</v>
      </c>
      <c r="F308" t="str">
        <f>Sim_Output[[#This Row],[SIM_ID]]&amp;" - "&amp;Sim_Output[[#This Row],[WEEK]]&amp;" - "&amp;Sim_Output[[#This Row],[REGIME]]</f>
        <v>3 - 4 - 3</v>
      </c>
      <c r="G308" t="s">
        <v>49</v>
      </c>
      <c r="H308">
        <v>93</v>
      </c>
      <c r="I308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308" s="7">
        <f>Sim_Output[[#This Row],[VALUE]]/SUMIFS(Sim_Output[VALUE],Sim_Output[SIM_ID],Sim_Output[[#This Row],[SIM_ID]],Sim_Output[WEEK],Sim_Output[[#This Row],[WEEK]],Sim_Output[OUTPUT],"PRICE_0")-1</f>
        <v>0</v>
      </c>
      <c r="K308" s="4">
        <f ca="1">IF(Sim_Output[[#This Row],[OUTPUT]]="PRICE_0",0,_xlfn.RANK.EQ(Sim_Output[[#This Row],[WTD_RET]],OFFSET(Sim_Output[[#This Row],[WTD_RET]],-Sim_Output[[#This Row],[OBS]]+1,0,12)))</f>
        <v>3</v>
      </c>
      <c r="L308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0.59671164310777403</v>
      </c>
      <c r="M308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0.45833333333333326</v>
      </c>
      <c r="N308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-0.26771653543307083</v>
      </c>
    </row>
    <row r="309" spans="2:14" x14ac:dyDescent="0.25">
      <c r="B309">
        <v>3</v>
      </c>
      <c r="C309">
        <v>4</v>
      </c>
      <c r="D309">
        <f>VALUE(RIGHT(Sim_Output[[#This Row],[OUTPUT]],LEN(Sim_Output[[#This Row],[OUTPUT]])-6))</f>
        <v>6</v>
      </c>
      <c r="E309">
        <v>3</v>
      </c>
      <c r="F309" t="str">
        <f>Sim_Output[[#This Row],[SIM_ID]]&amp;" - "&amp;Sim_Output[[#This Row],[WEEK]]&amp;" - "&amp;Sim_Output[[#This Row],[REGIME]]</f>
        <v>3 - 4 - 3</v>
      </c>
      <c r="G309" t="s">
        <v>50</v>
      </c>
      <c r="H309">
        <v>48</v>
      </c>
      <c r="I309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309" s="7">
        <f>Sim_Output[[#This Row],[VALUE]]/SUMIFS(Sim_Output[VALUE],Sim_Output[SIM_ID],Sim_Output[[#This Row],[SIM_ID]],Sim_Output[WEEK],Sim_Output[[#This Row],[WEEK]],Sim_Output[OUTPUT],"PRICE_0")-1</f>
        <v>-0.4838709677419355</v>
      </c>
      <c r="K309" s="4">
        <f ca="1">IF(Sim_Output[[#This Row],[OUTPUT]]="PRICE_0",0,_xlfn.RANK.EQ(Sim_Output[[#This Row],[WTD_RET]],OFFSET(Sim_Output[[#This Row],[WTD_RET]],-Sim_Output[[#This Row],[OBS]]+1,0,12)))</f>
        <v>11</v>
      </c>
      <c r="L309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-0.64261253873144897</v>
      </c>
      <c r="M309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8.3333333333333259E-2</v>
      </c>
      <c r="N309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-0.4838709677419355</v>
      </c>
    </row>
    <row r="310" spans="2:14" x14ac:dyDescent="0.25">
      <c r="B310">
        <v>3</v>
      </c>
      <c r="C310">
        <v>4</v>
      </c>
      <c r="D310">
        <f>VALUE(RIGHT(Sim_Output[[#This Row],[OUTPUT]],LEN(Sim_Output[[#This Row],[OUTPUT]])-6))</f>
        <v>7</v>
      </c>
      <c r="E310">
        <v>3</v>
      </c>
      <c r="F310" t="str">
        <f>Sim_Output[[#This Row],[SIM_ID]]&amp;" - "&amp;Sim_Output[[#This Row],[WEEK]]&amp;" - "&amp;Sim_Output[[#This Row],[REGIME]]</f>
        <v>3 - 4 - 3</v>
      </c>
      <c r="G310" t="s">
        <v>51</v>
      </c>
      <c r="H310">
        <v>158</v>
      </c>
      <c r="I310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310" s="7">
        <f>Sim_Output[[#This Row],[VALUE]]/SUMIFS(Sim_Output[VALUE],Sim_Output[SIM_ID],Sim_Output[[#This Row],[SIM_ID]],Sim_Output[WEEK],Sim_Output[[#This Row],[WEEK]],Sim_Output[OUTPUT],"PRICE_0")-1</f>
        <v>0.69892473118279574</v>
      </c>
      <c r="K310" s="4">
        <f ca="1">IF(Sim_Output[[#This Row],[OUTPUT]]="PRICE_0",0,_xlfn.RANK.EQ(Sim_Output[[#This Row],[WTD_RET]],OFFSET(Sim_Output[[#This Row],[WTD_RET]],-Sim_Output[[#This Row],[OBS]]+1,0,12)))</f>
        <v>1</v>
      </c>
      <c r="L310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2.3868465724310961</v>
      </c>
      <c r="M310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1</v>
      </c>
      <c r="N310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2.2916666666666665</v>
      </c>
    </row>
    <row r="311" spans="2:14" x14ac:dyDescent="0.25">
      <c r="B311">
        <v>3</v>
      </c>
      <c r="C311">
        <v>4</v>
      </c>
      <c r="D311">
        <f>VALUE(RIGHT(Sim_Output[[#This Row],[OUTPUT]],LEN(Sim_Output[[#This Row],[OUTPUT]])-6))</f>
        <v>8</v>
      </c>
      <c r="E311">
        <v>3</v>
      </c>
      <c r="F311" t="str">
        <f>Sim_Output[[#This Row],[SIM_ID]]&amp;" - "&amp;Sim_Output[[#This Row],[WEEK]]&amp;" - "&amp;Sim_Output[[#This Row],[REGIME]]</f>
        <v>3 - 4 - 3</v>
      </c>
      <c r="G311" t="s">
        <v>52</v>
      </c>
      <c r="H311">
        <v>38</v>
      </c>
      <c r="I311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311" s="7">
        <f>Sim_Output[[#This Row],[VALUE]]/SUMIFS(Sim_Output[VALUE],Sim_Output[SIM_ID],Sim_Output[[#This Row],[SIM_ID]],Sim_Output[WEEK],Sim_Output[[#This Row],[WEEK]],Sim_Output[OUTPUT],"PRICE_0")-1</f>
        <v>-0.59139784946236551</v>
      </c>
      <c r="K311" s="4">
        <f ca="1">IF(Sim_Output[[#This Row],[OUTPUT]]="PRICE_0",0,_xlfn.RANK.EQ(Sim_Output[[#This Row],[WTD_RET]],OFFSET(Sim_Output[[#This Row],[WTD_RET]],-Sim_Output[[#This Row],[OBS]]+1,0,12)))</f>
        <v>12</v>
      </c>
      <c r="L311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-0.91801791247349829</v>
      </c>
      <c r="M311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</v>
      </c>
      <c r="N311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-0.759493670886076</v>
      </c>
    </row>
    <row r="312" spans="2:14" x14ac:dyDescent="0.25">
      <c r="B312">
        <v>3</v>
      </c>
      <c r="C312">
        <v>4</v>
      </c>
      <c r="D312">
        <f>VALUE(RIGHT(Sim_Output[[#This Row],[OUTPUT]],LEN(Sim_Output[[#This Row],[OUTPUT]])-6))</f>
        <v>9</v>
      </c>
      <c r="E312">
        <v>3</v>
      </c>
      <c r="F312" t="str">
        <f>Sim_Output[[#This Row],[SIM_ID]]&amp;" - "&amp;Sim_Output[[#This Row],[WEEK]]&amp;" - "&amp;Sim_Output[[#This Row],[REGIME]]</f>
        <v>3 - 4 - 3</v>
      </c>
      <c r="G312" t="s">
        <v>53</v>
      </c>
      <c r="H312">
        <v>61</v>
      </c>
      <c r="I312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312" s="7">
        <f>Sim_Output[[#This Row],[VALUE]]/SUMIFS(Sim_Output[VALUE],Sim_Output[SIM_ID],Sim_Output[[#This Row],[SIM_ID]],Sim_Output[WEEK],Sim_Output[[#This Row],[WEEK]],Sim_Output[OUTPUT],"PRICE_0")-1</f>
        <v>-0.34408602150537637</v>
      </c>
      <c r="K312" s="4">
        <f ca="1">IF(Sim_Output[[#This Row],[OUTPUT]]="PRICE_0",0,_xlfn.RANK.EQ(Sim_Output[[#This Row],[WTD_RET]],OFFSET(Sim_Output[[#This Row],[WTD_RET]],-Sim_Output[[#This Row],[OBS]]+1,0,12)))</f>
        <v>4</v>
      </c>
      <c r="L312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-0.28458555286678455</v>
      </c>
      <c r="M312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0.1916666666666666</v>
      </c>
      <c r="N312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0.60526315789473695</v>
      </c>
    </row>
    <row r="313" spans="2:14" x14ac:dyDescent="0.25">
      <c r="B313">
        <v>3</v>
      </c>
      <c r="C313">
        <v>4</v>
      </c>
      <c r="D313">
        <f>VALUE(RIGHT(Sim_Output[[#This Row],[OUTPUT]],LEN(Sim_Output[[#This Row],[OUTPUT]])-6))</f>
        <v>10</v>
      </c>
      <c r="E313">
        <v>3</v>
      </c>
      <c r="F313" t="str">
        <f>Sim_Output[[#This Row],[SIM_ID]]&amp;" - "&amp;Sim_Output[[#This Row],[WEEK]]&amp;" - "&amp;Sim_Output[[#This Row],[REGIME]]</f>
        <v>3 - 4 - 3</v>
      </c>
      <c r="G313" t="s">
        <v>54</v>
      </c>
      <c r="H313">
        <v>57</v>
      </c>
      <c r="I313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313" s="7">
        <f>Sim_Output[[#This Row],[VALUE]]/SUMIFS(Sim_Output[VALUE],Sim_Output[SIM_ID],Sim_Output[[#This Row],[SIM_ID]],Sim_Output[WEEK],Sim_Output[[#This Row],[WEEK]],Sim_Output[OUTPUT],"PRICE_0")-1</f>
        <v>-0.38709677419354838</v>
      </c>
      <c r="K313" s="4">
        <f ca="1">IF(Sim_Output[[#This Row],[OUTPUT]]="PRICE_0",0,_xlfn.RANK.EQ(Sim_Output[[#This Row],[WTD_RET]],OFFSET(Sim_Output[[#This Row],[WTD_RET]],-Sim_Output[[#This Row],[OBS]]+1,0,12)))</f>
        <v>7</v>
      </c>
      <c r="L313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-0.39474770236360429</v>
      </c>
      <c r="M313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0.15833333333333327</v>
      </c>
      <c r="N313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-6.557377049180324E-2</v>
      </c>
    </row>
    <row r="314" spans="2:14" x14ac:dyDescent="0.25">
      <c r="B314">
        <v>3</v>
      </c>
      <c r="C314">
        <v>4</v>
      </c>
      <c r="D314">
        <f>VALUE(RIGHT(Sim_Output[[#This Row],[OUTPUT]],LEN(Sim_Output[[#This Row],[OUTPUT]])-6))</f>
        <v>11</v>
      </c>
      <c r="E314">
        <v>3</v>
      </c>
      <c r="F314" t="str">
        <f>Sim_Output[[#This Row],[SIM_ID]]&amp;" - "&amp;Sim_Output[[#This Row],[WEEK]]&amp;" - "&amp;Sim_Output[[#This Row],[REGIME]]</f>
        <v>3 - 4 - 3</v>
      </c>
      <c r="G314" t="s">
        <v>55</v>
      </c>
      <c r="H314">
        <v>53</v>
      </c>
      <c r="I314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314" s="7">
        <f>Sim_Output[[#This Row],[VALUE]]/SUMIFS(Sim_Output[VALUE],Sim_Output[SIM_ID],Sim_Output[[#This Row],[SIM_ID]],Sim_Output[WEEK],Sim_Output[[#This Row],[WEEK]],Sim_Output[OUTPUT],"PRICE_0")-1</f>
        <v>-0.43010752688172038</v>
      </c>
      <c r="K314" s="4">
        <f ca="1">IF(Sim_Output[[#This Row],[OUTPUT]]="PRICE_0",0,_xlfn.RANK.EQ(Sim_Output[[#This Row],[WTD_RET]],OFFSET(Sim_Output[[#This Row],[WTD_RET]],-Sim_Output[[#This Row],[OBS]]+1,0,12)))</f>
        <v>8</v>
      </c>
      <c r="L314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-0.50490985186042403</v>
      </c>
      <c r="M314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0.12499999999999997</v>
      </c>
      <c r="N314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-7.0175438596491224E-2</v>
      </c>
    </row>
    <row r="315" spans="2:14" x14ac:dyDescent="0.25">
      <c r="B315">
        <v>3</v>
      </c>
      <c r="C315">
        <v>4</v>
      </c>
      <c r="D315">
        <f>VALUE(RIGHT(Sim_Output[[#This Row],[OUTPUT]],LEN(Sim_Output[[#This Row],[OUTPUT]])-6))</f>
        <v>12</v>
      </c>
      <c r="E315">
        <v>3</v>
      </c>
      <c r="F315" t="str">
        <f>Sim_Output[[#This Row],[SIM_ID]]&amp;" - "&amp;Sim_Output[[#This Row],[WEEK]]&amp;" - "&amp;Sim_Output[[#This Row],[REGIME]]</f>
        <v>3 - 4 - 3</v>
      </c>
      <c r="G315" t="s">
        <v>56</v>
      </c>
      <c r="H315">
        <v>49</v>
      </c>
      <c r="I315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315" s="7">
        <f>Sim_Output[[#This Row],[VALUE]]/SUMIFS(Sim_Output[VALUE],Sim_Output[SIM_ID],Sim_Output[[#This Row],[SIM_ID]],Sim_Output[WEEK],Sim_Output[[#This Row],[WEEK]],Sim_Output[OUTPUT],"PRICE_0")-1</f>
        <v>-0.4731182795698925</v>
      </c>
      <c r="K315" s="4">
        <f ca="1">IF(Sim_Output[[#This Row],[OUTPUT]]="PRICE_0",0,_xlfn.RANK.EQ(Sim_Output[[#This Row],[WTD_RET]],OFFSET(Sim_Output[[#This Row],[WTD_RET]],-Sim_Output[[#This Row],[OBS]]+1,0,12)))</f>
        <v>10</v>
      </c>
      <c r="L315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-0.61507200135724394</v>
      </c>
      <c r="M315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9.1666666666666591E-2</v>
      </c>
      <c r="N315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-7.547169811320753E-2</v>
      </c>
    </row>
    <row r="316" spans="2:14" x14ac:dyDescent="0.25">
      <c r="B316">
        <v>3</v>
      </c>
      <c r="C316">
        <v>5</v>
      </c>
      <c r="D316">
        <f>VALUE(RIGHT(Sim_Output[[#This Row],[OUTPUT]],LEN(Sim_Output[[#This Row],[OUTPUT]])-6))</f>
        <v>0</v>
      </c>
      <c r="E316">
        <v>0</v>
      </c>
      <c r="F316" t="str">
        <f>Sim_Output[[#This Row],[SIM_ID]]&amp;" - "&amp;Sim_Output[[#This Row],[WEEK]]&amp;" - "&amp;Sim_Output[[#This Row],[REGIME]]</f>
        <v>3 - 5 - 0</v>
      </c>
      <c r="G316" t="s">
        <v>44</v>
      </c>
      <c r="H316">
        <v>91</v>
      </c>
      <c r="I316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316" s="7">
        <f>Sim_Output[[#This Row],[VALUE]]/SUMIFS(Sim_Output[VALUE],Sim_Output[SIM_ID],Sim_Output[[#This Row],[SIM_ID]],Sim_Output[WEEK],Sim_Output[[#This Row],[WEEK]],Sim_Output[OUTPUT],"PRICE_0")-1</f>
        <v>0</v>
      </c>
      <c r="K316" s="4">
        <f ca="1">IF(Sim_Output[[#This Row],[OUTPUT]]="PRICE_0",0,_xlfn.RANK.EQ(Sim_Output[[#This Row],[WTD_RET]],OFFSET(Sim_Output[[#This Row],[WTD_RET]],-Sim_Output[[#This Row],[OBS]]+1,0,12)))</f>
        <v>0</v>
      </c>
      <c r="L316" s="3" t="str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/>
      </c>
      <c r="M316" s="3" t="str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/>
      </c>
      <c r="N316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</v>
      </c>
    </row>
    <row r="317" spans="2:14" x14ac:dyDescent="0.25">
      <c r="B317">
        <v>3</v>
      </c>
      <c r="C317">
        <v>5</v>
      </c>
      <c r="D317">
        <f>VALUE(RIGHT(Sim_Output[[#This Row],[OUTPUT]],LEN(Sim_Output[[#This Row],[OUTPUT]])-6))</f>
        <v>1</v>
      </c>
      <c r="E317">
        <v>0</v>
      </c>
      <c r="F317" t="str">
        <f>Sim_Output[[#This Row],[SIM_ID]]&amp;" - "&amp;Sim_Output[[#This Row],[WEEK]]&amp;" - "&amp;Sim_Output[[#This Row],[REGIME]]</f>
        <v>3 - 5 - 0</v>
      </c>
      <c r="G317" t="s">
        <v>45</v>
      </c>
      <c r="H317">
        <v>120</v>
      </c>
      <c r="I317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317" s="7">
        <f>Sim_Output[[#This Row],[VALUE]]/SUMIFS(Sim_Output[VALUE],Sim_Output[SIM_ID],Sim_Output[[#This Row],[SIM_ID]],Sim_Output[WEEK],Sim_Output[[#This Row],[WEEK]],Sim_Output[OUTPUT],"PRICE_0")-1</f>
        <v>0.31868131868131866</v>
      </c>
      <c r="K317" s="4">
        <f ca="1">IF(Sim_Output[[#This Row],[OUTPUT]]="PRICE_0",0,_xlfn.RANK.EQ(Sim_Output[[#This Row],[WTD_RET]],OFFSET(Sim_Output[[#This Row],[WTD_RET]],-Sim_Output[[#This Row],[OBS]]+1,0,12)))</f>
        <v>2</v>
      </c>
      <c r="L317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1.4590148212190153</v>
      </c>
      <c r="M317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0.97183098591549311</v>
      </c>
      <c r="N317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0.31868131868131866</v>
      </c>
    </row>
    <row r="318" spans="2:14" x14ac:dyDescent="0.25">
      <c r="B318">
        <v>3</v>
      </c>
      <c r="C318">
        <v>5</v>
      </c>
      <c r="D318">
        <f>VALUE(RIGHT(Sim_Output[[#This Row],[OUTPUT]],LEN(Sim_Output[[#This Row],[OUTPUT]])-6))</f>
        <v>2</v>
      </c>
      <c r="E318">
        <v>0</v>
      </c>
      <c r="F318" t="str">
        <f>Sim_Output[[#This Row],[SIM_ID]]&amp;" - "&amp;Sim_Output[[#This Row],[WEEK]]&amp;" - "&amp;Sim_Output[[#This Row],[REGIME]]</f>
        <v>3 - 5 - 0</v>
      </c>
      <c r="G318" t="s">
        <v>46</v>
      </c>
      <c r="H318">
        <v>93</v>
      </c>
      <c r="I318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318" s="7">
        <f>Sim_Output[[#This Row],[VALUE]]/SUMIFS(Sim_Output[VALUE],Sim_Output[SIM_ID],Sim_Output[[#This Row],[SIM_ID]],Sim_Output[WEEK],Sim_Output[[#This Row],[WEEK]],Sim_Output[OUTPUT],"PRICE_0")-1</f>
        <v>2.19780219780219E-2</v>
      </c>
      <c r="K318" s="4">
        <f ca="1">IF(Sim_Output[[#This Row],[OUTPUT]]="PRICE_0",0,_xlfn.RANK.EQ(Sim_Output[[#This Row],[WTD_RET]],OFFSET(Sim_Output[[#This Row],[WTD_RET]],-Sim_Output[[#This Row],[OBS]]+1,0,12)))</f>
        <v>5</v>
      </c>
      <c r="L318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0.42912200624088664</v>
      </c>
      <c r="M318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0.59154929577464788</v>
      </c>
      <c r="N318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-0.22499999999999998</v>
      </c>
    </row>
    <row r="319" spans="2:14" x14ac:dyDescent="0.25">
      <c r="B319">
        <v>3</v>
      </c>
      <c r="C319">
        <v>5</v>
      </c>
      <c r="D319">
        <f>VALUE(RIGHT(Sim_Output[[#This Row],[OUTPUT]],LEN(Sim_Output[[#This Row],[OUTPUT]])-6))</f>
        <v>3</v>
      </c>
      <c r="E319">
        <v>0</v>
      </c>
      <c r="F319" t="str">
        <f>Sim_Output[[#This Row],[SIM_ID]]&amp;" - "&amp;Sim_Output[[#This Row],[WEEK]]&amp;" - "&amp;Sim_Output[[#This Row],[REGIME]]</f>
        <v>3 - 5 - 0</v>
      </c>
      <c r="G319" t="s">
        <v>47</v>
      </c>
      <c r="H319">
        <v>87</v>
      </c>
      <c r="I319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319" s="7">
        <f>Sim_Output[[#This Row],[VALUE]]/SUMIFS(Sim_Output[VALUE],Sim_Output[SIM_ID],Sim_Output[[#This Row],[SIM_ID]],Sim_Output[WEEK],Sim_Output[[#This Row],[WEEK]],Sim_Output[OUTPUT],"PRICE_0")-1</f>
        <v>-4.3956043956043911E-2</v>
      </c>
      <c r="K319" s="4">
        <f ca="1">IF(Sim_Output[[#This Row],[OUTPUT]]="PRICE_0",0,_xlfn.RANK.EQ(Sim_Output[[#This Row],[WTD_RET]],OFFSET(Sim_Output[[#This Row],[WTD_RET]],-Sim_Output[[#This Row],[OBS]]+1,0,12)))</f>
        <v>6</v>
      </c>
      <c r="L319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0.20025693624574742</v>
      </c>
      <c r="M319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0.50704225352112686</v>
      </c>
      <c r="N319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-6.4516129032258118E-2</v>
      </c>
    </row>
    <row r="320" spans="2:14" x14ac:dyDescent="0.25">
      <c r="B320">
        <v>3</v>
      </c>
      <c r="C320">
        <v>5</v>
      </c>
      <c r="D320">
        <f>VALUE(RIGHT(Sim_Output[[#This Row],[OUTPUT]],LEN(Sim_Output[[#This Row],[OUTPUT]])-6))</f>
        <v>4</v>
      </c>
      <c r="E320">
        <v>0</v>
      </c>
      <c r="F320" t="str">
        <f>Sim_Output[[#This Row],[SIM_ID]]&amp;" - "&amp;Sim_Output[[#This Row],[WEEK]]&amp;" - "&amp;Sim_Output[[#This Row],[REGIME]]</f>
        <v>3 - 5 - 0</v>
      </c>
      <c r="G320" t="s">
        <v>48</v>
      </c>
      <c r="H320">
        <v>58</v>
      </c>
      <c r="I320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320" s="7">
        <f>Sim_Output[[#This Row],[VALUE]]/SUMIFS(Sim_Output[VALUE],Sim_Output[SIM_ID],Sim_Output[[#This Row],[SIM_ID]],Sim_Output[WEEK],Sim_Output[[#This Row],[WEEK]],Sim_Output[OUTPUT],"PRICE_0")-1</f>
        <v>-0.36263736263736268</v>
      </c>
      <c r="K320" s="4">
        <f ca="1">IF(Sim_Output[[#This Row],[OUTPUT]]="PRICE_0",0,_xlfn.RANK.EQ(Sim_Output[[#This Row],[WTD_RET]],OFFSET(Sim_Output[[#This Row],[WTD_RET]],-Sim_Output[[#This Row],[OBS]]+1,0,12)))</f>
        <v>8</v>
      </c>
      <c r="L320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-0.90592423539742772</v>
      </c>
      <c r="M320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9.85915492957746E-2</v>
      </c>
      <c r="N320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-0.33333333333333337</v>
      </c>
    </row>
    <row r="321" spans="2:14" x14ac:dyDescent="0.25">
      <c r="B321">
        <v>3</v>
      </c>
      <c r="C321">
        <v>5</v>
      </c>
      <c r="D321">
        <f>VALUE(RIGHT(Sim_Output[[#This Row],[OUTPUT]],LEN(Sim_Output[[#This Row],[OUTPUT]])-6))</f>
        <v>5</v>
      </c>
      <c r="E321">
        <v>0</v>
      </c>
      <c r="F321" t="str">
        <f>Sim_Output[[#This Row],[SIM_ID]]&amp;" - "&amp;Sim_Output[[#This Row],[WEEK]]&amp;" - "&amp;Sim_Output[[#This Row],[REGIME]]</f>
        <v>3 - 5 - 0</v>
      </c>
      <c r="G321" t="s">
        <v>49</v>
      </c>
      <c r="H321">
        <v>55</v>
      </c>
      <c r="I321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321" s="7">
        <f>Sim_Output[[#This Row],[VALUE]]/SUMIFS(Sim_Output[VALUE],Sim_Output[SIM_ID],Sim_Output[[#This Row],[SIM_ID]],Sim_Output[WEEK],Sim_Output[[#This Row],[WEEK]],Sim_Output[OUTPUT],"PRICE_0")-1</f>
        <v>-0.39560439560439564</v>
      </c>
      <c r="K321" s="4">
        <f ca="1">IF(Sim_Output[[#This Row],[OUTPUT]]="PRICE_0",0,_xlfn.RANK.EQ(Sim_Output[[#This Row],[WTD_RET]],OFFSET(Sim_Output[[#This Row],[WTD_RET]],-Sim_Output[[#This Row],[OBS]]+1,0,12)))</f>
        <v>10</v>
      </c>
      <c r="L321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-1.0203567703949976</v>
      </c>
      <c r="M321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5.6338028169014037E-2</v>
      </c>
      <c r="N321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-5.1724137931034475E-2</v>
      </c>
    </row>
    <row r="322" spans="2:14" x14ac:dyDescent="0.25">
      <c r="B322">
        <v>3</v>
      </c>
      <c r="C322">
        <v>5</v>
      </c>
      <c r="D322">
        <f>VALUE(RIGHT(Sim_Output[[#This Row],[OUTPUT]],LEN(Sim_Output[[#This Row],[OUTPUT]])-6))</f>
        <v>6</v>
      </c>
      <c r="E322">
        <v>0</v>
      </c>
      <c r="F322" t="str">
        <f>Sim_Output[[#This Row],[SIM_ID]]&amp;" - "&amp;Sim_Output[[#This Row],[WEEK]]&amp;" - "&amp;Sim_Output[[#This Row],[REGIME]]</f>
        <v>3 - 5 - 0</v>
      </c>
      <c r="G322" t="s">
        <v>50</v>
      </c>
      <c r="H322">
        <v>51</v>
      </c>
      <c r="I322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322" s="7">
        <f>Sim_Output[[#This Row],[VALUE]]/SUMIFS(Sim_Output[VALUE],Sim_Output[SIM_ID],Sim_Output[[#This Row],[SIM_ID]],Sim_Output[WEEK],Sim_Output[[#This Row],[WEEK]],Sim_Output[OUTPUT],"PRICE_0")-1</f>
        <v>-0.43956043956043955</v>
      </c>
      <c r="K322" s="4">
        <f ca="1">IF(Sim_Output[[#This Row],[OUTPUT]]="PRICE_0",0,_xlfn.RANK.EQ(Sim_Output[[#This Row],[WTD_RET]],OFFSET(Sim_Output[[#This Row],[WTD_RET]],-Sim_Output[[#This Row],[OBS]]+1,0,12)))</f>
        <v>12</v>
      </c>
      <c r="L322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-1.1729334837250904</v>
      </c>
      <c r="M322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</v>
      </c>
      <c r="N322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-7.2727272727272751E-2</v>
      </c>
    </row>
    <row r="323" spans="2:14" x14ac:dyDescent="0.25">
      <c r="B323">
        <v>3</v>
      </c>
      <c r="C323">
        <v>5</v>
      </c>
      <c r="D323">
        <f>VALUE(RIGHT(Sim_Output[[#This Row],[OUTPUT]],LEN(Sim_Output[[#This Row],[OUTPUT]])-6))</f>
        <v>7</v>
      </c>
      <c r="E323">
        <v>0</v>
      </c>
      <c r="F323" t="str">
        <f>Sim_Output[[#This Row],[SIM_ID]]&amp;" - "&amp;Sim_Output[[#This Row],[WEEK]]&amp;" - "&amp;Sim_Output[[#This Row],[REGIME]]</f>
        <v>3 - 5 - 0</v>
      </c>
      <c r="G323" t="s">
        <v>51</v>
      </c>
      <c r="H323">
        <v>122</v>
      </c>
      <c r="I323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323" s="7">
        <f>Sim_Output[[#This Row],[VALUE]]/SUMIFS(Sim_Output[VALUE],Sim_Output[SIM_ID],Sim_Output[[#This Row],[SIM_ID]],Sim_Output[WEEK],Sim_Output[[#This Row],[WEEK]],Sim_Output[OUTPUT],"PRICE_0")-1</f>
        <v>0.34065934065934056</v>
      </c>
      <c r="K323" s="4">
        <f ca="1">IF(Sim_Output[[#This Row],[OUTPUT]]="PRICE_0",0,_xlfn.RANK.EQ(Sim_Output[[#This Row],[WTD_RET]],OFFSET(Sim_Output[[#This Row],[WTD_RET]],-Sim_Output[[#This Row],[OBS]]+1,0,12)))</f>
        <v>1</v>
      </c>
      <c r="L323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1.5353031778840613</v>
      </c>
      <c r="M323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1</v>
      </c>
      <c r="N323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1.392156862745098</v>
      </c>
    </row>
    <row r="324" spans="2:14" x14ac:dyDescent="0.25">
      <c r="B324">
        <v>3</v>
      </c>
      <c r="C324">
        <v>5</v>
      </c>
      <c r="D324">
        <f>VALUE(RIGHT(Sim_Output[[#This Row],[OUTPUT]],LEN(Sim_Output[[#This Row],[OUTPUT]])-6))</f>
        <v>8</v>
      </c>
      <c r="E324">
        <v>0</v>
      </c>
      <c r="F324" t="str">
        <f>Sim_Output[[#This Row],[SIM_ID]]&amp;" - "&amp;Sim_Output[[#This Row],[WEEK]]&amp;" - "&amp;Sim_Output[[#This Row],[REGIME]]</f>
        <v>3 - 5 - 0</v>
      </c>
      <c r="G324" t="s">
        <v>52</v>
      </c>
      <c r="H324">
        <v>58</v>
      </c>
      <c r="I324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324" s="7">
        <f>Sim_Output[[#This Row],[VALUE]]/SUMIFS(Sim_Output[VALUE],Sim_Output[SIM_ID],Sim_Output[[#This Row],[SIM_ID]],Sim_Output[WEEK],Sim_Output[[#This Row],[WEEK]],Sim_Output[OUTPUT],"PRICE_0")-1</f>
        <v>-0.36263736263736268</v>
      </c>
      <c r="K324" s="4">
        <f ca="1">IF(Sim_Output[[#This Row],[OUTPUT]]="PRICE_0",0,_xlfn.RANK.EQ(Sim_Output[[#This Row],[WTD_RET]],OFFSET(Sim_Output[[#This Row],[WTD_RET]],-Sim_Output[[#This Row],[OBS]]+1,0,12)))</f>
        <v>8</v>
      </c>
      <c r="L324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-0.90592423539742772</v>
      </c>
      <c r="M324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9.85915492957746E-2</v>
      </c>
      <c r="N324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-0.52459016393442626</v>
      </c>
    </row>
    <row r="325" spans="2:14" x14ac:dyDescent="0.25">
      <c r="B325">
        <v>3</v>
      </c>
      <c r="C325">
        <v>5</v>
      </c>
      <c r="D325">
        <f>VALUE(RIGHT(Sim_Output[[#This Row],[OUTPUT]],LEN(Sim_Output[[#This Row],[OUTPUT]])-6))</f>
        <v>9</v>
      </c>
      <c r="E325">
        <v>0</v>
      </c>
      <c r="F325" t="str">
        <f>Sim_Output[[#This Row],[SIM_ID]]&amp;" - "&amp;Sim_Output[[#This Row],[WEEK]]&amp;" - "&amp;Sim_Output[[#This Row],[REGIME]]</f>
        <v>3 - 5 - 0</v>
      </c>
      <c r="G325" t="s">
        <v>53</v>
      </c>
      <c r="H325">
        <v>52</v>
      </c>
      <c r="I325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325" s="7">
        <f>Sim_Output[[#This Row],[VALUE]]/SUMIFS(Sim_Output[VALUE],Sim_Output[SIM_ID],Sim_Output[[#This Row],[SIM_ID]],Sim_Output[WEEK],Sim_Output[[#This Row],[WEEK]],Sim_Output[OUTPUT],"PRICE_0")-1</f>
        <v>-0.4285714285714286</v>
      </c>
      <c r="K325" s="4">
        <f ca="1">IF(Sim_Output[[#This Row],[OUTPUT]]="PRICE_0",0,_xlfn.RANK.EQ(Sim_Output[[#This Row],[WTD_RET]],OFFSET(Sim_Output[[#This Row],[WTD_RET]],-Sim_Output[[#This Row],[OBS]]+1,0,12)))</f>
        <v>11</v>
      </c>
      <c r="L325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-1.1347893053925673</v>
      </c>
      <c r="M325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1.4084507042253473E-2</v>
      </c>
      <c r="N325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-0.10344827586206895</v>
      </c>
    </row>
    <row r="326" spans="2:14" x14ac:dyDescent="0.25">
      <c r="B326">
        <v>3</v>
      </c>
      <c r="C326">
        <v>5</v>
      </c>
      <c r="D326">
        <f>VALUE(RIGHT(Sim_Output[[#This Row],[OUTPUT]],LEN(Sim_Output[[#This Row],[OUTPUT]])-6))</f>
        <v>10</v>
      </c>
      <c r="E326">
        <v>0</v>
      </c>
      <c r="F326" t="str">
        <f>Sim_Output[[#This Row],[SIM_ID]]&amp;" - "&amp;Sim_Output[[#This Row],[WEEK]]&amp;" - "&amp;Sim_Output[[#This Row],[REGIME]]</f>
        <v>3 - 5 - 0</v>
      </c>
      <c r="G326" t="s">
        <v>54</v>
      </c>
      <c r="H326">
        <v>100</v>
      </c>
      <c r="I326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326" s="7">
        <f>Sim_Output[[#This Row],[VALUE]]/SUMIFS(Sim_Output[VALUE],Sim_Output[SIM_ID],Sim_Output[[#This Row],[SIM_ID]],Sim_Output[WEEK],Sim_Output[[#This Row],[WEEK]],Sim_Output[OUTPUT],"PRICE_0")-1</f>
        <v>9.8901098901098994E-2</v>
      </c>
      <c r="K326" s="4">
        <f ca="1">IF(Sim_Output[[#This Row],[OUTPUT]]="PRICE_0",0,_xlfn.RANK.EQ(Sim_Output[[#This Row],[WTD_RET]],OFFSET(Sim_Output[[#This Row],[WTD_RET]],-Sim_Output[[#This Row],[OBS]]+1,0,12)))</f>
        <v>3</v>
      </c>
      <c r="L326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0.69613125456855007</v>
      </c>
      <c r="M326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0.69014084507042273</v>
      </c>
      <c r="N326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0.92307692307692313</v>
      </c>
    </row>
    <row r="327" spans="2:14" x14ac:dyDescent="0.25">
      <c r="B327">
        <v>3</v>
      </c>
      <c r="C327">
        <v>5</v>
      </c>
      <c r="D327">
        <f>VALUE(RIGHT(Sim_Output[[#This Row],[OUTPUT]],LEN(Sim_Output[[#This Row],[OUTPUT]])-6))</f>
        <v>11</v>
      </c>
      <c r="E327">
        <v>0</v>
      </c>
      <c r="F327" t="str">
        <f>Sim_Output[[#This Row],[SIM_ID]]&amp;" - "&amp;Sim_Output[[#This Row],[WEEK]]&amp;" - "&amp;Sim_Output[[#This Row],[REGIME]]</f>
        <v>3 - 5 - 0</v>
      </c>
      <c r="G327" t="s">
        <v>55</v>
      </c>
      <c r="H327">
        <v>99</v>
      </c>
      <c r="I327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327" s="7">
        <f>Sim_Output[[#This Row],[VALUE]]/SUMIFS(Sim_Output[VALUE],Sim_Output[SIM_ID],Sim_Output[[#This Row],[SIM_ID]],Sim_Output[WEEK],Sim_Output[[#This Row],[WEEK]],Sim_Output[OUTPUT],"PRICE_0")-1</f>
        <v>8.7912087912087822E-2</v>
      </c>
      <c r="K327" s="4">
        <f ca="1">IF(Sim_Output[[#This Row],[OUTPUT]]="PRICE_0",0,_xlfn.RANK.EQ(Sim_Output[[#This Row],[WTD_RET]],OFFSET(Sim_Output[[#This Row],[WTD_RET]],-Sim_Output[[#This Row],[OBS]]+1,0,12)))</f>
        <v>4</v>
      </c>
      <c r="L327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0.65798707623602626</v>
      </c>
      <c r="M327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0.676056338028169</v>
      </c>
      <c r="N327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-1.0000000000000009E-2</v>
      </c>
    </row>
    <row r="328" spans="2:14" x14ac:dyDescent="0.25">
      <c r="B328">
        <v>3</v>
      </c>
      <c r="C328">
        <v>5</v>
      </c>
      <c r="D328">
        <f>VALUE(RIGHT(Sim_Output[[#This Row],[OUTPUT]],LEN(Sim_Output[[#This Row],[OUTPUT]])-6))</f>
        <v>12</v>
      </c>
      <c r="E328">
        <v>0</v>
      </c>
      <c r="F328" t="str">
        <f>Sim_Output[[#This Row],[SIM_ID]]&amp;" - "&amp;Sim_Output[[#This Row],[WEEK]]&amp;" - "&amp;Sim_Output[[#This Row],[REGIME]]</f>
        <v>3 - 5 - 0</v>
      </c>
      <c r="G328" t="s">
        <v>56</v>
      </c>
      <c r="H328">
        <v>86</v>
      </c>
      <c r="I328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328" s="7">
        <f>Sim_Output[[#This Row],[VALUE]]/SUMIFS(Sim_Output[VALUE],Sim_Output[SIM_ID],Sim_Output[[#This Row],[SIM_ID]],Sim_Output[WEEK],Sim_Output[[#This Row],[WEEK]],Sim_Output[OUTPUT],"PRICE_0")-1</f>
        <v>-5.4945054945054972E-2</v>
      </c>
      <c r="K328" s="4">
        <f ca="1">IF(Sim_Output[[#This Row],[OUTPUT]]="PRICE_0",0,_xlfn.RANK.EQ(Sim_Output[[#This Row],[WTD_RET]],OFFSET(Sim_Output[[#This Row],[WTD_RET]],-Sim_Output[[#This Row],[OBS]]+1,0,12)))</f>
        <v>7</v>
      </c>
      <c r="L328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0.16211275791322391</v>
      </c>
      <c r="M328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0.49295774647887325</v>
      </c>
      <c r="N328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-0.13131313131313127</v>
      </c>
    </row>
    <row r="329" spans="2:14" x14ac:dyDescent="0.25">
      <c r="B329">
        <v>3</v>
      </c>
      <c r="C329">
        <v>6</v>
      </c>
      <c r="D329">
        <f>VALUE(RIGHT(Sim_Output[[#This Row],[OUTPUT]],LEN(Sim_Output[[#This Row],[OUTPUT]])-6))</f>
        <v>0</v>
      </c>
      <c r="E329">
        <v>0</v>
      </c>
      <c r="F329" t="str">
        <f>Sim_Output[[#This Row],[SIM_ID]]&amp;" - "&amp;Sim_Output[[#This Row],[WEEK]]&amp;" - "&amp;Sim_Output[[#This Row],[REGIME]]</f>
        <v>3 - 6 - 0</v>
      </c>
      <c r="G329" t="s">
        <v>44</v>
      </c>
      <c r="H329">
        <v>98</v>
      </c>
      <c r="I329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329" s="7">
        <f>Sim_Output[[#This Row],[VALUE]]/SUMIFS(Sim_Output[VALUE],Sim_Output[SIM_ID],Sim_Output[[#This Row],[SIM_ID]],Sim_Output[WEEK],Sim_Output[[#This Row],[WEEK]],Sim_Output[OUTPUT],"PRICE_0")-1</f>
        <v>0</v>
      </c>
      <c r="K329" s="4">
        <f ca="1">IF(Sim_Output[[#This Row],[OUTPUT]]="PRICE_0",0,_xlfn.RANK.EQ(Sim_Output[[#This Row],[WTD_RET]],OFFSET(Sim_Output[[#This Row],[WTD_RET]],-Sim_Output[[#This Row],[OBS]]+1,0,12)))</f>
        <v>0</v>
      </c>
      <c r="L329" s="3" t="str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/>
      </c>
      <c r="M329" s="3" t="str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/>
      </c>
      <c r="N329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</v>
      </c>
    </row>
    <row r="330" spans="2:14" x14ac:dyDescent="0.25">
      <c r="B330">
        <v>3</v>
      </c>
      <c r="C330">
        <v>6</v>
      </c>
      <c r="D330">
        <f>VALUE(RIGHT(Sim_Output[[#This Row],[OUTPUT]],LEN(Sim_Output[[#This Row],[OUTPUT]])-6))</f>
        <v>1</v>
      </c>
      <c r="E330">
        <v>0</v>
      </c>
      <c r="F330" t="str">
        <f>Sim_Output[[#This Row],[SIM_ID]]&amp;" - "&amp;Sim_Output[[#This Row],[WEEK]]&amp;" - "&amp;Sim_Output[[#This Row],[REGIME]]</f>
        <v>3 - 6 - 0</v>
      </c>
      <c r="G330" t="s">
        <v>45</v>
      </c>
      <c r="H330">
        <v>98</v>
      </c>
      <c r="I330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330" s="7">
        <f>Sim_Output[[#This Row],[VALUE]]/SUMIFS(Sim_Output[VALUE],Sim_Output[SIM_ID],Sim_Output[[#This Row],[SIM_ID]],Sim_Output[WEEK],Sim_Output[[#This Row],[WEEK]],Sim_Output[OUTPUT],"PRICE_0")-1</f>
        <v>0</v>
      </c>
      <c r="K330" s="4">
        <f ca="1">IF(Sim_Output[[#This Row],[OUTPUT]]="PRICE_0",0,_xlfn.RANK.EQ(Sim_Output[[#This Row],[WTD_RET]],OFFSET(Sim_Output[[#This Row],[WTD_RET]],-Sim_Output[[#This Row],[OBS]]+1,0,12)))</f>
        <v>5</v>
      </c>
      <c r="L330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0.43921757777428683</v>
      </c>
      <c r="M330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0.62162162162162149</v>
      </c>
      <c r="N330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</v>
      </c>
    </row>
    <row r="331" spans="2:14" x14ac:dyDescent="0.25">
      <c r="B331">
        <v>3</v>
      </c>
      <c r="C331">
        <v>6</v>
      </c>
      <c r="D331">
        <f>VALUE(RIGHT(Sim_Output[[#This Row],[OUTPUT]],LEN(Sim_Output[[#This Row],[OUTPUT]])-6))</f>
        <v>2</v>
      </c>
      <c r="E331">
        <v>0</v>
      </c>
      <c r="F331" t="str">
        <f>Sim_Output[[#This Row],[SIM_ID]]&amp;" - "&amp;Sim_Output[[#This Row],[WEEK]]&amp;" - "&amp;Sim_Output[[#This Row],[REGIME]]</f>
        <v>3 - 6 - 0</v>
      </c>
      <c r="G331" t="s">
        <v>46</v>
      </c>
      <c r="H331">
        <v>103</v>
      </c>
      <c r="I331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331" s="7">
        <f>Sim_Output[[#This Row],[VALUE]]/SUMIFS(Sim_Output[VALUE],Sim_Output[SIM_ID],Sim_Output[[#This Row],[SIM_ID]],Sim_Output[WEEK],Sim_Output[[#This Row],[WEEK]],Sim_Output[OUTPUT],"PRICE_0")-1</f>
        <v>5.1020408163265252E-2</v>
      </c>
      <c r="K331" s="4">
        <f ca="1">IF(Sim_Output[[#This Row],[OUTPUT]]="PRICE_0",0,_xlfn.RANK.EQ(Sim_Output[[#This Row],[WTD_RET]],OFFSET(Sim_Output[[#This Row],[WTD_RET]],-Sim_Output[[#This Row],[OBS]]+1,0,12)))</f>
        <v>4</v>
      </c>
      <c r="L331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0.63018174202397659</v>
      </c>
      <c r="M331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0.68918918918918903</v>
      </c>
      <c r="N331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5.1020408163265252E-2</v>
      </c>
    </row>
    <row r="332" spans="2:14" x14ac:dyDescent="0.25">
      <c r="B332">
        <v>3</v>
      </c>
      <c r="C332">
        <v>6</v>
      </c>
      <c r="D332">
        <f>VALUE(RIGHT(Sim_Output[[#This Row],[OUTPUT]],LEN(Sim_Output[[#This Row],[OUTPUT]])-6))</f>
        <v>3</v>
      </c>
      <c r="E332">
        <v>0</v>
      </c>
      <c r="F332" t="str">
        <f>Sim_Output[[#This Row],[SIM_ID]]&amp;" - "&amp;Sim_Output[[#This Row],[WEEK]]&amp;" - "&amp;Sim_Output[[#This Row],[REGIME]]</f>
        <v>3 - 6 - 0</v>
      </c>
      <c r="G332" t="s">
        <v>47</v>
      </c>
      <c r="H332">
        <v>66</v>
      </c>
      <c r="I332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332" s="7">
        <f>Sim_Output[[#This Row],[VALUE]]/SUMIFS(Sim_Output[VALUE],Sim_Output[SIM_ID],Sim_Output[[#This Row],[SIM_ID]],Sim_Output[WEEK],Sim_Output[[#This Row],[WEEK]],Sim_Output[OUTPUT],"PRICE_0")-1</f>
        <v>-0.32653061224489799</v>
      </c>
      <c r="K332" s="4">
        <f ca="1">IF(Sim_Output[[#This Row],[OUTPUT]]="PRICE_0",0,_xlfn.RANK.EQ(Sim_Output[[#This Row],[WTD_RET]],OFFSET(Sim_Output[[#This Row],[WTD_RET]],-Sim_Output[[#This Row],[OBS]]+1,0,12)))</f>
        <v>8</v>
      </c>
      <c r="L332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-0.78295307342372877</v>
      </c>
      <c r="M332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0.18918918918918909</v>
      </c>
      <c r="N332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-0.35922330097087374</v>
      </c>
    </row>
    <row r="333" spans="2:14" x14ac:dyDescent="0.25">
      <c r="B333">
        <v>3</v>
      </c>
      <c r="C333">
        <v>6</v>
      </c>
      <c r="D333">
        <f>VALUE(RIGHT(Sim_Output[[#This Row],[OUTPUT]],LEN(Sim_Output[[#This Row],[OUTPUT]])-6))</f>
        <v>4</v>
      </c>
      <c r="E333">
        <v>0</v>
      </c>
      <c r="F333" t="str">
        <f>Sim_Output[[#This Row],[SIM_ID]]&amp;" - "&amp;Sim_Output[[#This Row],[WEEK]]&amp;" - "&amp;Sim_Output[[#This Row],[REGIME]]</f>
        <v>3 - 6 - 0</v>
      </c>
      <c r="G333" t="s">
        <v>48</v>
      </c>
      <c r="H333">
        <v>58</v>
      </c>
      <c r="I333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333" s="7">
        <f>Sim_Output[[#This Row],[VALUE]]/SUMIFS(Sim_Output[VALUE],Sim_Output[SIM_ID],Sim_Output[[#This Row],[SIM_ID]],Sim_Output[WEEK],Sim_Output[[#This Row],[WEEK]],Sim_Output[OUTPUT],"PRICE_0")-1</f>
        <v>-0.40816326530612246</v>
      </c>
      <c r="K333" s="4">
        <f ca="1">IF(Sim_Output[[#This Row],[OUTPUT]]="PRICE_0",0,_xlfn.RANK.EQ(Sim_Output[[#This Row],[WTD_RET]],OFFSET(Sim_Output[[#This Row],[WTD_RET]],-Sim_Output[[#This Row],[OBS]]+1,0,12)))</f>
        <v>10</v>
      </c>
      <c r="L333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-1.0884957362232326</v>
      </c>
      <c r="M333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8.1081081081081016E-2</v>
      </c>
      <c r="N333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-0.12121212121212122</v>
      </c>
    </row>
    <row r="334" spans="2:14" x14ac:dyDescent="0.25">
      <c r="B334">
        <v>3</v>
      </c>
      <c r="C334">
        <v>6</v>
      </c>
      <c r="D334">
        <f>VALUE(RIGHT(Sim_Output[[#This Row],[OUTPUT]],LEN(Sim_Output[[#This Row],[OUTPUT]])-6))</f>
        <v>5</v>
      </c>
      <c r="E334">
        <v>0</v>
      </c>
      <c r="F334" t="str">
        <f>Sim_Output[[#This Row],[SIM_ID]]&amp;" - "&amp;Sim_Output[[#This Row],[WEEK]]&amp;" - "&amp;Sim_Output[[#This Row],[REGIME]]</f>
        <v>3 - 6 - 0</v>
      </c>
      <c r="G334" t="s">
        <v>49</v>
      </c>
      <c r="H334">
        <v>52</v>
      </c>
      <c r="I334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334" s="7">
        <f>Sim_Output[[#This Row],[VALUE]]/SUMIFS(Sim_Output[VALUE],Sim_Output[SIM_ID],Sim_Output[[#This Row],[SIM_ID]],Sim_Output[WEEK],Sim_Output[[#This Row],[WEEK]],Sim_Output[OUTPUT],"PRICE_0")-1</f>
        <v>-0.46938775510204078</v>
      </c>
      <c r="K334" s="4">
        <f ca="1">IF(Sim_Output[[#This Row],[OUTPUT]]="PRICE_0",0,_xlfn.RANK.EQ(Sim_Output[[#This Row],[WTD_RET]],OFFSET(Sim_Output[[#This Row],[WTD_RET]],-Sim_Output[[#This Row],[OBS]]+1,0,12)))</f>
        <v>12</v>
      </c>
      <c r="L334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-1.3176527333228603</v>
      </c>
      <c r="M334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</v>
      </c>
      <c r="N334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-0.10344827586206895</v>
      </c>
    </row>
    <row r="335" spans="2:14" x14ac:dyDescent="0.25">
      <c r="B335">
        <v>3</v>
      </c>
      <c r="C335">
        <v>6</v>
      </c>
      <c r="D335">
        <f>VALUE(RIGHT(Sim_Output[[#This Row],[OUTPUT]],LEN(Sim_Output[[#This Row],[OUTPUT]])-6))</f>
        <v>6</v>
      </c>
      <c r="E335">
        <v>0</v>
      </c>
      <c r="F335" t="str">
        <f>Sim_Output[[#This Row],[SIM_ID]]&amp;" - "&amp;Sim_Output[[#This Row],[WEEK]]&amp;" - "&amp;Sim_Output[[#This Row],[REGIME]]</f>
        <v>3 - 6 - 0</v>
      </c>
      <c r="G335" t="s">
        <v>50</v>
      </c>
      <c r="H335">
        <v>125</v>
      </c>
      <c r="I335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335" s="7">
        <f>Sim_Output[[#This Row],[VALUE]]/SUMIFS(Sim_Output[VALUE],Sim_Output[SIM_ID],Sim_Output[[#This Row],[SIM_ID]],Sim_Output[WEEK],Sim_Output[[#This Row],[WEEK]],Sim_Output[OUTPUT],"PRICE_0")-1</f>
        <v>0.27551020408163263</v>
      </c>
      <c r="K335" s="4">
        <f ca="1">IF(Sim_Output[[#This Row],[OUTPUT]]="PRICE_0",0,_xlfn.RANK.EQ(Sim_Output[[#This Row],[WTD_RET]],OFFSET(Sim_Output[[#This Row],[WTD_RET]],-Sim_Output[[#This Row],[OBS]]+1,0,12)))</f>
        <v>2</v>
      </c>
      <c r="L335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1.4704240647226123</v>
      </c>
      <c r="M335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0.98648648648648629</v>
      </c>
      <c r="N335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1.4038461538461537</v>
      </c>
    </row>
    <row r="336" spans="2:14" x14ac:dyDescent="0.25">
      <c r="B336">
        <v>3</v>
      </c>
      <c r="C336">
        <v>6</v>
      </c>
      <c r="D336">
        <f>VALUE(RIGHT(Sim_Output[[#This Row],[OUTPUT]],LEN(Sim_Output[[#This Row],[OUTPUT]])-6))</f>
        <v>7</v>
      </c>
      <c r="E336">
        <v>0</v>
      </c>
      <c r="F336" t="str">
        <f>Sim_Output[[#This Row],[SIM_ID]]&amp;" - "&amp;Sim_Output[[#This Row],[WEEK]]&amp;" - "&amp;Sim_Output[[#This Row],[REGIME]]</f>
        <v>3 - 6 - 0</v>
      </c>
      <c r="G336" t="s">
        <v>51</v>
      </c>
      <c r="H336">
        <v>90</v>
      </c>
      <c r="I336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336" s="7">
        <f>Sim_Output[[#This Row],[VALUE]]/SUMIFS(Sim_Output[VALUE],Sim_Output[SIM_ID],Sim_Output[[#This Row],[SIM_ID]],Sim_Output[WEEK],Sim_Output[[#This Row],[WEEK]],Sim_Output[OUTPUT],"PRICE_0")-1</f>
        <v>-8.1632653061224469E-2</v>
      </c>
      <c r="K336" s="4">
        <f ca="1">IF(Sim_Output[[#This Row],[OUTPUT]]="PRICE_0",0,_xlfn.RANK.EQ(Sim_Output[[#This Row],[WTD_RET]],OFFSET(Sim_Output[[#This Row],[WTD_RET]],-Sim_Output[[#This Row],[OBS]]+1,0,12)))</f>
        <v>6</v>
      </c>
      <c r="L336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0.13367491497478304</v>
      </c>
      <c r="M336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0.51351351351351349</v>
      </c>
      <c r="N336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-0.28000000000000003</v>
      </c>
    </row>
    <row r="337" spans="2:14" x14ac:dyDescent="0.25">
      <c r="B337">
        <v>3</v>
      </c>
      <c r="C337">
        <v>6</v>
      </c>
      <c r="D337">
        <f>VALUE(RIGHT(Sim_Output[[#This Row],[OUTPUT]],LEN(Sim_Output[[#This Row],[OUTPUT]])-6))</f>
        <v>8</v>
      </c>
      <c r="E337">
        <v>0</v>
      </c>
      <c r="F337" t="str">
        <f>Sim_Output[[#This Row],[SIM_ID]]&amp;" - "&amp;Sim_Output[[#This Row],[WEEK]]&amp;" - "&amp;Sim_Output[[#This Row],[REGIME]]</f>
        <v>3 - 6 - 0</v>
      </c>
      <c r="G337" t="s">
        <v>52</v>
      </c>
      <c r="H337">
        <v>66</v>
      </c>
      <c r="I337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337" s="7">
        <f>Sim_Output[[#This Row],[VALUE]]/SUMIFS(Sim_Output[VALUE],Sim_Output[SIM_ID],Sim_Output[[#This Row],[SIM_ID]],Sim_Output[WEEK],Sim_Output[[#This Row],[WEEK]],Sim_Output[OUTPUT],"PRICE_0")-1</f>
        <v>-0.32653061224489799</v>
      </c>
      <c r="K337" s="4">
        <f ca="1">IF(Sim_Output[[#This Row],[OUTPUT]]="PRICE_0",0,_xlfn.RANK.EQ(Sim_Output[[#This Row],[WTD_RET]],OFFSET(Sim_Output[[#This Row],[WTD_RET]],-Sim_Output[[#This Row],[OBS]]+1,0,12)))</f>
        <v>8</v>
      </c>
      <c r="L337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-0.78295307342372877</v>
      </c>
      <c r="M337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0.18918918918918909</v>
      </c>
      <c r="N337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-0.26666666666666672</v>
      </c>
    </row>
    <row r="338" spans="2:14" x14ac:dyDescent="0.25">
      <c r="B338">
        <v>3</v>
      </c>
      <c r="C338">
        <v>6</v>
      </c>
      <c r="D338">
        <f>VALUE(RIGHT(Sim_Output[[#This Row],[OUTPUT]],LEN(Sim_Output[[#This Row],[OUTPUT]])-6))</f>
        <v>9</v>
      </c>
      <c r="E338">
        <v>0</v>
      </c>
      <c r="F338" t="str">
        <f>Sim_Output[[#This Row],[SIM_ID]]&amp;" - "&amp;Sim_Output[[#This Row],[WEEK]]&amp;" - "&amp;Sim_Output[[#This Row],[REGIME]]</f>
        <v>3 - 6 - 0</v>
      </c>
      <c r="G338" t="s">
        <v>53</v>
      </c>
      <c r="H338">
        <v>58</v>
      </c>
      <c r="I338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338" s="7">
        <f>Sim_Output[[#This Row],[VALUE]]/SUMIFS(Sim_Output[VALUE],Sim_Output[SIM_ID],Sim_Output[[#This Row],[SIM_ID]],Sim_Output[WEEK],Sim_Output[[#This Row],[WEEK]],Sim_Output[OUTPUT],"PRICE_0")-1</f>
        <v>-0.40816326530612246</v>
      </c>
      <c r="K338" s="4">
        <f ca="1">IF(Sim_Output[[#This Row],[OUTPUT]]="PRICE_0",0,_xlfn.RANK.EQ(Sim_Output[[#This Row],[WTD_RET]],OFFSET(Sim_Output[[#This Row],[WTD_RET]],-Sim_Output[[#This Row],[OBS]]+1,0,12)))</f>
        <v>10</v>
      </c>
      <c r="L338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-1.0884957362232326</v>
      </c>
      <c r="M338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8.1081081081081016E-2</v>
      </c>
      <c r="N338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-0.12121212121212122</v>
      </c>
    </row>
    <row r="339" spans="2:14" x14ac:dyDescent="0.25">
      <c r="B339">
        <v>3</v>
      </c>
      <c r="C339">
        <v>6</v>
      </c>
      <c r="D339">
        <f>VALUE(RIGHT(Sim_Output[[#This Row],[OUTPUT]],LEN(Sim_Output[[#This Row],[OUTPUT]])-6))</f>
        <v>10</v>
      </c>
      <c r="E339">
        <v>0</v>
      </c>
      <c r="F339" t="str">
        <f>Sim_Output[[#This Row],[SIM_ID]]&amp;" - "&amp;Sim_Output[[#This Row],[WEEK]]&amp;" - "&amp;Sim_Output[[#This Row],[REGIME]]</f>
        <v>3 - 6 - 0</v>
      </c>
      <c r="G339" t="s">
        <v>54</v>
      </c>
      <c r="H339">
        <v>126</v>
      </c>
      <c r="I339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339" s="7">
        <f>Sim_Output[[#This Row],[VALUE]]/SUMIFS(Sim_Output[VALUE],Sim_Output[SIM_ID],Sim_Output[[#This Row],[SIM_ID]],Sim_Output[WEEK],Sim_Output[[#This Row],[WEEK]],Sim_Output[OUTPUT],"PRICE_0")-1</f>
        <v>0.28571428571428581</v>
      </c>
      <c r="K339" s="4">
        <f ca="1">IF(Sim_Output[[#This Row],[OUTPUT]]="PRICE_0",0,_xlfn.RANK.EQ(Sim_Output[[#This Row],[WTD_RET]],OFFSET(Sim_Output[[#This Row],[WTD_RET]],-Sim_Output[[#This Row],[OBS]]+1,0,12)))</f>
        <v>1</v>
      </c>
      <c r="L339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1.5086168975725509</v>
      </c>
      <c r="M339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1</v>
      </c>
      <c r="N339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1.1724137931034484</v>
      </c>
    </row>
    <row r="340" spans="2:14" x14ac:dyDescent="0.25">
      <c r="B340">
        <v>3</v>
      </c>
      <c r="C340">
        <v>6</v>
      </c>
      <c r="D340">
        <f>VALUE(RIGHT(Sim_Output[[#This Row],[OUTPUT]],LEN(Sim_Output[[#This Row],[OUTPUT]])-6))</f>
        <v>11</v>
      </c>
      <c r="E340">
        <v>0</v>
      </c>
      <c r="F340" t="str">
        <f>Sim_Output[[#This Row],[SIM_ID]]&amp;" - "&amp;Sim_Output[[#This Row],[WEEK]]&amp;" - "&amp;Sim_Output[[#This Row],[REGIME]]</f>
        <v>3 - 6 - 0</v>
      </c>
      <c r="G340" t="s">
        <v>55</v>
      </c>
      <c r="H340">
        <v>89</v>
      </c>
      <c r="I340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340" s="7">
        <f>Sim_Output[[#This Row],[VALUE]]/SUMIFS(Sim_Output[VALUE],Sim_Output[SIM_ID],Sim_Output[[#This Row],[SIM_ID]],Sim_Output[WEEK],Sim_Output[[#This Row],[WEEK]],Sim_Output[OUTPUT],"PRICE_0")-1</f>
        <v>-9.1836734693877542E-2</v>
      </c>
      <c r="K340" s="4">
        <f ca="1">IF(Sim_Output[[#This Row],[OUTPUT]]="PRICE_0",0,_xlfn.RANK.EQ(Sim_Output[[#This Row],[WTD_RET]],OFFSET(Sim_Output[[#This Row],[WTD_RET]],-Sim_Output[[#This Row],[OBS]]+1,0,12)))</f>
        <v>7</v>
      </c>
      <c r="L340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9.5482082124845019E-2</v>
      </c>
      <c r="M340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0.49999999999999994</v>
      </c>
      <c r="N340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-0.29365079365079361</v>
      </c>
    </row>
    <row r="341" spans="2:14" x14ac:dyDescent="0.25">
      <c r="B341">
        <v>3</v>
      </c>
      <c r="C341">
        <v>6</v>
      </c>
      <c r="D341">
        <f>VALUE(RIGHT(Sim_Output[[#This Row],[OUTPUT]],LEN(Sim_Output[[#This Row],[OUTPUT]])-6))</f>
        <v>12</v>
      </c>
      <c r="E341">
        <v>0</v>
      </c>
      <c r="F341" t="str">
        <f>Sim_Output[[#This Row],[SIM_ID]]&amp;" - "&amp;Sim_Output[[#This Row],[WEEK]]&amp;" - "&amp;Sim_Output[[#This Row],[REGIME]]</f>
        <v>3 - 6 - 0</v>
      </c>
      <c r="G341" t="s">
        <v>56</v>
      </c>
      <c r="H341">
        <v>107</v>
      </c>
      <c r="I341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341" s="7">
        <f>Sim_Output[[#This Row],[VALUE]]/SUMIFS(Sim_Output[VALUE],Sim_Output[SIM_ID],Sim_Output[[#This Row],[SIM_ID]],Sim_Output[WEEK],Sim_Output[[#This Row],[WEEK]],Sim_Output[OUTPUT],"PRICE_0")-1</f>
        <v>9.1836734693877542E-2</v>
      </c>
      <c r="K341" s="4">
        <f ca="1">IF(Sim_Output[[#This Row],[OUTPUT]]="PRICE_0",0,_xlfn.RANK.EQ(Sim_Output[[#This Row],[WTD_RET]],OFFSET(Sim_Output[[#This Row],[WTD_RET]],-Sim_Output[[#This Row],[OBS]]+1,0,12)))</f>
        <v>3</v>
      </c>
      <c r="L341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0.78295307342372877</v>
      </c>
      <c r="M341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0.74324324324324309</v>
      </c>
      <c r="N341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0.202247191011236</v>
      </c>
    </row>
    <row r="342" spans="2:14" x14ac:dyDescent="0.25">
      <c r="B342">
        <v>3</v>
      </c>
      <c r="C342">
        <v>7</v>
      </c>
      <c r="D342">
        <f>VALUE(RIGHT(Sim_Output[[#This Row],[OUTPUT]],LEN(Sim_Output[[#This Row],[OUTPUT]])-6))</f>
        <v>0</v>
      </c>
      <c r="E342">
        <v>3</v>
      </c>
      <c r="F342" t="str">
        <f>Sim_Output[[#This Row],[SIM_ID]]&amp;" - "&amp;Sim_Output[[#This Row],[WEEK]]&amp;" - "&amp;Sim_Output[[#This Row],[REGIME]]</f>
        <v>3 - 7 - 3</v>
      </c>
      <c r="G342" t="s">
        <v>44</v>
      </c>
      <c r="H342">
        <v>96</v>
      </c>
      <c r="I342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342" s="7">
        <f>Sim_Output[[#This Row],[VALUE]]/SUMIFS(Sim_Output[VALUE],Sim_Output[SIM_ID],Sim_Output[[#This Row],[SIM_ID]],Sim_Output[WEEK],Sim_Output[[#This Row],[WEEK]],Sim_Output[OUTPUT],"PRICE_0")-1</f>
        <v>0</v>
      </c>
      <c r="K342" s="4">
        <f ca="1">IF(Sim_Output[[#This Row],[OUTPUT]]="PRICE_0",0,_xlfn.RANK.EQ(Sim_Output[[#This Row],[WTD_RET]],OFFSET(Sim_Output[[#This Row],[WTD_RET]],-Sim_Output[[#This Row],[OBS]]+1,0,12)))</f>
        <v>0</v>
      </c>
      <c r="L342" s="3" t="str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/>
      </c>
      <c r="M342" s="3" t="str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/>
      </c>
      <c r="N342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</v>
      </c>
    </row>
    <row r="343" spans="2:14" x14ac:dyDescent="0.25">
      <c r="B343">
        <v>3</v>
      </c>
      <c r="C343">
        <v>7</v>
      </c>
      <c r="D343">
        <f>VALUE(RIGHT(Sim_Output[[#This Row],[OUTPUT]],LEN(Sim_Output[[#This Row],[OUTPUT]])-6))</f>
        <v>1</v>
      </c>
      <c r="E343">
        <v>3</v>
      </c>
      <c r="F343" t="str">
        <f>Sim_Output[[#This Row],[SIM_ID]]&amp;" - "&amp;Sim_Output[[#This Row],[WEEK]]&amp;" - "&amp;Sim_Output[[#This Row],[REGIME]]</f>
        <v>3 - 7 - 3</v>
      </c>
      <c r="G343" t="s">
        <v>45</v>
      </c>
      <c r="H343">
        <v>70</v>
      </c>
      <c r="I343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343" s="7">
        <f>Sim_Output[[#This Row],[VALUE]]/SUMIFS(Sim_Output[VALUE],Sim_Output[SIM_ID],Sim_Output[[#This Row],[SIM_ID]],Sim_Output[WEEK],Sim_Output[[#This Row],[WEEK]],Sim_Output[OUTPUT],"PRICE_0")-1</f>
        <v>-0.27083333333333337</v>
      </c>
      <c r="K343" s="4">
        <f ca="1">IF(Sim_Output[[#This Row],[OUTPUT]]="PRICE_0",0,_xlfn.RANK.EQ(Sim_Output[[#This Row],[WTD_RET]],OFFSET(Sim_Output[[#This Row],[WTD_RET]],-Sim_Output[[#This Row],[OBS]]+1,0,12)))</f>
        <v>4</v>
      </c>
      <c r="L343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-0.29289481831187636</v>
      </c>
      <c r="M343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0.15748031496062989</v>
      </c>
      <c r="N343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-0.27083333333333337</v>
      </c>
    </row>
    <row r="344" spans="2:14" x14ac:dyDescent="0.25">
      <c r="B344">
        <v>3</v>
      </c>
      <c r="C344">
        <v>7</v>
      </c>
      <c r="D344">
        <f>VALUE(RIGHT(Sim_Output[[#This Row],[OUTPUT]],LEN(Sim_Output[[#This Row],[OUTPUT]])-6))</f>
        <v>2</v>
      </c>
      <c r="E344">
        <v>3</v>
      </c>
      <c r="F344" t="str">
        <f>Sim_Output[[#This Row],[SIM_ID]]&amp;" - "&amp;Sim_Output[[#This Row],[WEEK]]&amp;" - "&amp;Sim_Output[[#This Row],[REGIME]]</f>
        <v>3 - 7 - 3</v>
      </c>
      <c r="G344" t="s">
        <v>46</v>
      </c>
      <c r="H344">
        <v>66</v>
      </c>
      <c r="I344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344" s="7">
        <f>Sim_Output[[#This Row],[VALUE]]/SUMIFS(Sim_Output[VALUE],Sim_Output[SIM_ID],Sim_Output[[#This Row],[SIM_ID]],Sim_Output[WEEK],Sim_Output[[#This Row],[WEEK]],Sim_Output[OUTPUT],"PRICE_0")-1</f>
        <v>-0.3125</v>
      </c>
      <c r="K344" s="4">
        <f ca="1">IF(Sim_Output[[#This Row],[OUTPUT]]="PRICE_0",0,_xlfn.RANK.EQ(Sim_Output[[#This Row],[WTD_RET]],OFFSET(Sim_Output[[#This Row],[WTD_RET]],-Sim_Output[[#This Row],[OBS]]+1,0,12)))</f>
        <v>8</v>
      </c>
      <c r="L344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-0.40021505708264016</v>
      </c>
      <c r="M344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0.12598425196850394</v>
      </c>
      <c r="N344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-5.7142857142857162E-2</v>
      </c>
    </row>
    <row r="345" spans="2:14" x14ac:dyDescent="0.25">
      <c r="B345">
        <v>3</v>
      </c>
      <c r="C345">
        <v>7</v>
      </c>
      <c r="D345">
        <f>VALUE(RIGHT(Sim_Output[[#This Row],[OUTPUT]],LEN(Sim_Output[[#This Row],[OUTPUT]])-6))</f>
        <v>3</v>
      </c>
      <c r="E345">
        <v>3</v>
      </c>
      <c r="F345" t="str">
        <f>Sim_Output[[#This Row],[SIM_ID]]&amp;" - "&amp;Sim_Output[[#This Row],[WEEK]]&amp;" - "&amp;Sim_Output[[#This Row],[REGIME]]</f>
        <v>3 - 7 - 3</v>
      </c>
      <c r="G345" t="s">
        <v>47</v>
      </c>
      <c r="H345">
        <v>90</v>
      </c>
      <c r="I345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345" s="7">
        <f>Sim_Output[[#This Row],[VALUE]]/SUMIFS(Sim_Output[VALUE],Sim_Output[SIM_ID],Sim_Output[[#This Row],[SIM_ID]],Sim_Output[WEEK],Sim_Output[[#This Row],[WEEK]],Sim_Output[OUTPUT],"PRICE_0")-1</f>
        <v>-6.25E-2</v>
      </c>
      <c r="K345" s="4">
        <f ca="1">IF(Sim_Output[[#This Row],[OUTPUT]]="PRICE_0",0,_xlfn.RANK.EQ(Sim_Output[[#This Row],[WTD_RET]],OFFSET(Sim_Output[[#This Row],[WTD_RET]],-Sim_Output[[#This Row],[OBS]]+1,0,12)))</f>
        <v>3</v>
      </c>
      <c r="L345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0.24370637554194299</v>
      </c>
      <c r="M345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0.31496062992125984</v>
      </c>
      <c r="N345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0.36363636363636354</v>
      </c>
    </row>
    <row r="346" spans="2:14" x14ac:dyDescent="0.25">
      <c r="B346">
        <v>3</v>
      </c>
      <c r="C346">
        <v>7</v>
      </c>
      <c r="D346">
        <f>VALUE(RIGHT(Sim_Output[[#This Row],[OUTPUT]],LEN(Sim_Output[[#This Row],[OUTPUT]])-6))</f>
        <v>4</v>
      </c>
      <c r="E346">
        <v>3</v>
      </c>
      <c r="F346" t="str">
        <f>Sim_Output[[#This Row],[SIM_ID]]&amp;" - "&amp;Sim_Output[[#This Row],[WEEK]]&amp;" - "&amp;Sim_Output[[#This Row],[REGIME]]</f>
        <v>3 - 7 - 3</v>
      </c>
      <c r="G346" t="s">
        <v>48</v>
      </c>
      <c r="H346">
        <v>134</v>
      </c>
      <c r="I346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346" s="7">
        <f>Sim_Output[[#This Row],[VALUE]]/SUMIFS(Sim_Output[VALUE],Sim_Output[SIM_ID],Sim_Output[[#This Row],[SIM_ID]],Sim_Output[WEEK],Sim_Output[[#This Row],[WEEK]],Sim_Output[OUTPUT],"PRICE_0")-1</f>
        <v>0.39583333333333326</v>
      </c>
      <c r="K346" s="4">
        <f ca="1">IF(Sim_Output[[#This Row],[OUTPUT]]="PRICE_0",0,_xlfn.RANK.EQ(Sim_Output[[#This Row],[WTD_RET]],OFFSET(Sim_Output[[#This Row],[WTD_RET]],-Sim_Output[[#This Row],[OBS]]+1,0,12)))</f>
        <v>2</v>
      </c>
      <c r="L346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1.4242290020203452</v>
      </c>
      <c r="M346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0.6614173228346456</v>
      </c>
      <c r="N346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0.48888888888888893</v>
      </c>
    </row>
    <row r="347" spans="2:14" x14ac:dyDescent="0.25">
      <c r="B347">
        <v>3</v>
      </c>
      <c r="C347">
        <v>7</v>
      </c>
      <c r="D347">
        <f>VALUE(RIGHT(Sim_Output[[#This Row],[OUTPUT]],LEN(Sim_Output[[#This Row],[OUTPUT]])-6))</f>
        <v>5</v>
      </c>
      <c r="E347">
        <v>3</v>
      </c>
      <c r="F347" t="str">
        <f>Sim_Output[[#This Row],[SIM_ID]]&amp;" - "&amp;Sim_Output[[#This Row],[WEEK]]&amp;" - "&amp;Sim_Output[[#This Row],[REGIME]]</f>
        <v>3 - 7 - 3</v>
      </c>
      <c r="G347" t="s">
        <v>49</v>
      </c>
      <c r="H347">
        <v>50</v>
      </c>
      <c r="I347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347" s="7">
        <f>Sim_Output[[#This Row],[VALUE]]/SUMIFS(Sim_Output[VALUE],Sim_Output[SIM_ID],Sim_Output[[#This Row],[SIM_ID]],Sim_Output[WEEK],Sim_Output[[#This Row],[WEEK]],Sim_Output[OUTPUT],"PRICE_0")-1</f>
        <v>-0.47916666666666663</v>
      </c>
      <c r="K347" s="4">
        <f ca="1">IF(Sim_Output[[#This Row],[OUTPUT]]="PRICE_0",0,_xlfn.RANK.EQ(Sim_Output[[#This Row],[WTD_RET]],OFFSET(Sim_Output[[#This Row],[WTD_RET]],-Sim_Output[[#This Row],[OBS]]+1,0,12)))</f>
        <v>12</v>
      </c>
      <c r="L347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-0.82949601216569546</v>
      </c>
      <c r="M347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</v>
      </c>
      <c r="N347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-0.62686567164179108</v>
      </c>
    </row>
    <row r="348" spans="2:14" x14ac:dyDescent="0.25">
      <c r="B348">
        <v>3</v>
      </c>
      <c r="C348">
        <v>7</v>
      </c>
      <c r="D348">
        <f>VALUE(RIGHT(Sim_Output[[#This Row],[OUTPUT]],LEN(Sim_Output[[#This Row],[OUTPUT]])-6))</f>
        <v>6</v>
      </c>
      <c r="E348">
        <v>3</v>
      </c>
      <c r="F348" t="str">
        <f>Sim_Output[[#This Row],[SIM_ID]]&amp;" - "&amp;Sim_Output[[#This Row],[WEEK]]&amp;" - "&amp;Sim_Output[[#This Row],[REGIME]]</f>
        <v>3 - 7 - 3</v>
      </c>
      <c r="G348" t="s">
        <v>50</v>
      </c>
      <c r="H348">
        <v>177</v>
      </c>
      <c r="I348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348" s="7">
        <f>Sim_Output[[#This Row],[VALUE]]/SUMIFS(Sim_Output[VALUE],Sim_Output[SIM_ID],Sim_Output[[#This Row],[SIM_ID]],Sim_Output[WEEK],Sim_Output[[#This Row],[WEEK]],Sim_Output[OUTPUT],"PRICE_0")-1</f>
        <v>0.84375</v>
      </c>
      <c r="K348" s="4">
        <f ca="1">IF(Sim_Output[[#This Row],[OUTPUT]]="PRICE_0",0,_xlfn.RANK.EQ(Sim_Output[[#This Row],[WTD_RET]],OFFSET(Sim_Output[[#This Row],[WTD_RET]],-Sim_Output[[#This Row],[OBS]]+1,0,12)))</f>
        <v>1</v>
      </c>
      <c r="L348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2.5779215688060568</v>
      </c>
      <c r="M348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1</v>
      </c>
      <c r="N348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2.54</v>
      </c>
    </row>
    <row r="349" spans="2:14" x14ac:dyDescent="0.25">
      <c r="B349">
        <v>3</v>
      </c>
      <c r="C349">
        <v>7</v>
      </c>
      <c r="D349">
        <f>VALUE(RIGHT(Sim_Output[[#This Row],[OUTPUT]],LEN(Sim_Output[[#This Row],[OUTPUT]])-6))</f>
        <v>7</v>
      </c>
      <c r="E349">
        <v>3</v>
      </c>
      <c r="F349" t="str">
        <f>Sim_Output[[#This Row],[SIM_ID]]&amp;" - "&amp;Sim_Output[[#This Row],[WEEK]]&amp;" - "&amp;Sim_Output[[#This Row],[REGIME]]</f>
        <v>3 - 7 - 3</v>
      </c>
      <c r="G349" t="s">
        <v>51</v>
      </c>
      <c r="H349">
        <v>67</v>
      </c>
      <c r="I349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349" s="7">
        <f>Sim_Output[[#This Row],[VALUE]]/SUMIFS(Sim_Output[VALUE],Sim_Output[SIM_ID],Sim_Output[[#This Row],[SIM_ID]],Sim_Output[WEEK],Sim_Output[[#This Row],[WEEK]],Sim_Output[OUTPUT],"PRICE_0")-1</f>
        <v>-0.30208333333333337</v>
      </c>
      <c r="K349" s="4">
        <f ca="1">IF(Sim_Output[[#This Row],[OUTPUT]]="PRICE_0",0,_xlfn.RANK.EQ(Sim_Output[[#This Row],[WTD_RET]],OFFSET(Sim_Output[[#This Row],[WTD_RET]],-Sim_Output[[#This Row],[OBS]]+1,0,12)))</f>
        <v>6</v>
      </c>
      <c r="L349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-0.37338499738994929</v>
      </c>
      <c r="M349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0.13385826771653539</v>
      </c>
      <c r="N349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-0.62146892655367236</v>
      </c>
    </row>
    <row r="350" spans="2:14" x14ac:dyDescent="0.25">
      <c r="B350">
        <v>3</v>
      </c>
      <c r="C350">
        <v>7</v>
      </c>
      <c r="D350">
        <f>VALUE(RIGHT(Sim_Output[[#This Row],[OUTPUT]],LEN(Sim_Output[[#This Row],[OUTPUT]])-6))</f>
        <v>8</v>
      </c>
      <c r="E350">
        <v>3</v>
      </c>
      <c r="F350" t="str">
        <f>Sim_Output[[#This Row],[SIM_ID]]&amp;" - "&amp;Sim_Output[[#This Row],[WEEK]]&amp;" - "&amp;Sim_Output[[#This Row],[REGIME]]</f>
        <v>3 - 7 - 3</v>
      </c>
      <c r="G350" t="s">
        <v>52</v>
      </c>
      <c r="H350">
        <v>70</v>
      </c>
      <c r="I350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350" s="7">
        <f>Sim_Output[[#This Row],[VALUE]]/SUMIFS(Sim_Output[VALUE],Sim_Output[SIM_ID],Sim_Output[[#This Row],[SIM_ID]],Sim_Output[WEEK],Sim_Output[[#This Row],[WEEK]],Sim_Output[OUTPUT],"PRICE_0")-1</f>
        <v>-0.27083333333333337</v>
      </c>
      <c r="K350" s="4">
        <f ca="1">IF(Sim_Output[[#This Row],[OUTPUT]]="PRICE_0",0,_xlfn.RANK.EQ(Sim_Output[[#This Row],[WTD_RET]],OFFSET(Sim_Output[[#This Row],[WTD_RET]],-Sim_Output[[#This Row],[OBS]]+1,0,12)))</f>
        <v>4</v>
      </c>
      <c r="L350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-0.29289481831187636</v>
      </c>
      <c r="M350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0.15748031496062989</v>
      </c>
      <c r="N350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4.4776119402984982E-2</v>
      </c>
    </row>
    <row r="351" spans="2:14" x14ac:dyDescent="0.25">
      <c r="B351">
        <v>3</v>
      </c>
      <c r="C351">
        <v>7</v>
      </c>
      <c r="D351">
        <f>VALUE(RIGHT(Sim_Output[[#This Row],[OUTPUT]],LEN(Sim_Output[[#This Row],[OUTPUT]])-6))</f>
        <v>9</v>
      </c>
      <c r="E351">
        <v>3</v>
      </c>
      <c r="F351" t="str">
        <f>Sim_Output[[#This Row],[SIM_ID]]&amp;" - "&amp;Sim_Output[[#This Row],[WEEK]]&amp;" - "&amp;Sim_Output[[#This Row],[REGIME]]</f>
        <v>3 - 7 - 3</v>
      </c>
      <c r="G351" t="s">
        <v>53</v>
      </c>
      <c r="H351">
        <v>67</v>
      </c>
      <c r="I351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351" s="7">
        <f>Sim_Output[[#This Row],[VALUE]]/SUMIFS(Sim_Output[VALUE],Sim_Output[SIM_ID],Sim_Output[[#This Row],[SIM_ID]],Sim_Output[WEEK],Sim_Output[[#This Row],[WEEK]],Sim_Output[OUTPUT],"PRICE_0")-1</f>
        <v>-0.30208333333333337</v>
      </c>
      <c r="K351" s="4">
        <f ca="1">IF(Sim_Output[[#This Row],[OUTPUT]]="PRICE_0",0,_xlfn.RANK.EQ(Sim_Output[[#This Row],[WTD_RET]],OFFSET(Sim_Output[[#This Row],[WTD_RET]],-Sim_Output[[#This Row],[OBS]]+1,0,12)))</f>
        <v>6</v>
      </c>
      <c r="L351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-0.37338499738994929</v>
      </c>
      <c r="M351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0.13385826771653539</v>
      </c>
      <c r="N351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-4.2857142857142816E-2</v>
      </c>
    </row>
    <row r="352" spans="2:14" x14ac:dyDescent="0.25">
      <c r="B352">
        <v>3</v>
      </c>
      <c r="C352">
        <v>7</v>
      </c>
      <c r="D352">
        <f>VALUE(RIGHT(Sim_Output[[#This Row],[OUTPUT]],LEN(Sim_Output[[#This Row],[OUTPUT]])-6))</f>
        <v>10</v>
      </c>
      <c r="E352">
        <v>3</v>
      </c>
      <c r="F352" t="str">
        <f>Sim_Output[[#This Row],[SIM_ID]]&amp;" - "&amp;Sim_Output[[#This Row],[WEEK]]&amp;" - "&amp;Sim_Output[[#This Row],[REGIME]]</f>
        <v>3 - 7 - 3</v>
      </c>
      <c r="G352" t="s">
        <v>54</v>
      </c>
      <c r="H352">
        <v>64</v>
      </c>
      <c r="I352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352" s="7">
        <f>Sim_Output[[#This Row],[VALUE]]/SUMIFS(Sim_Output[VALUE],Sim_Output[SIM_ID],Sim_Output[[#This Row],[SIM_ID]],Sim_Output[WEEK],Sim_Output[[#This Row],[WEEK]],Sim_Output[OUTPUT],"PRICE_0")-1</f>
        <v>-0.33333333333333337</v>
      </c>
      <c r="K352" s="4">
        <f ca="1">IF(Sim_Output[[#This Row],[OUTPUT]]="PRICE_0",0,_xlfn.RANK.EQ(Sim_Output[[#This Row],[WTD_RET]],OFFSET(Sim_Output[[#This Row],[WTD_RET]],-Sim_Output[[#This Row],[OBS]]+1,0,12)))</f>
        <v>9</v>
      </c>
      <c r="L352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-0.45387517646802217</v>
      </c>
      <c r="M352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0.1102362204724409</v>
      </c>
      <c r="N352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-4.4776119402985093E-2</v>
      </c>
    </row>
    <row r="353" spans="2:14" x14ac:dyDescent="0.25">
      <c r="B353">
        <v>3</v>
      </c>
      <c r="C353">
        <v>7</v>
      </c>
      <c r="D353">
        <f>VALUE(RIGHT(Sim_Output[[#This Row],[OUTPUT]],LEN(Sim_Output[[#This Row],[OUTPUT]])-6))</f>
        <v>11</v>
      </c>
      <c r="E353">
        <v>3</v>
      </c>
      <c r="F353" t="str">
        <f>Sim_Output[[#This Row],[SIM_ID]]&amp;" - "&amp;Sim_Output[[#This Row],[WEEK]]&amp;" - "&amp;Sim_Output[[#This Row],[REGIME]]</f>
        <v>3 - 7 - 3</v>
      </c>
      <c r="G353" t="s">
        <v>55</v>
      </c>
      <c r="H353">
        <v>60</v>
      </c>
      <c r="I353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353" s="7">
        <f>Sim_Output[[#This Row],[VALUE]]/SUMIFS(Sim_Output[VALUE],Sim_Output[SIM_ID],Sim_Output[[#This Row],[SIM_ID]],Sim_Output[WEEK],Sim_Output[[#This Row],[WEEK]],Sim_Output[OUTPUT],"PRICE_0")-1</f>
        <v>-0.375</v>
      </c>
      <c r="K353" s="4">
        <f ca="1">IF(Sim_Output[[#This Row],[OUTPUT]]="PRICE_0",0,_xlfn.RANK.EQ(Sim_Output[[#This Row],[WTD_RET]],OFFSET(Sim_Output[[#This Row],[WTD_RET]],-Sim_Output[[#This Row],[OBS]]+1,0,12)))</f>
        <v>10</v>
      </c>
      <c r="L353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-0.56119541523878591</v>
      </c>
      <c r="M353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7.8740157480314946E-2</v>
      </c>
      <c r="N353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-6.25E-2</v>
      </c>
    </row>
    <row r="354" spans="2:14" x14ac:dyDescent="0.25">
      <c r="B354">
        <v>3</v>
      </c>
      <c r="C354">
        <v>7</v>
      </c>
      <c r="D354">
        <f>VALUE(RIGHT(Sim_Output[[#This Row],[OUTPUT]],LEN(Sim_Output[[#This Row],[OUTPUT]])-6))</f>
        <v>12</v>
      </c>
      <c r="E354">
        <v>3</v>
      </c>
      <c r="F354" t="str">
        <f>Sim_Output[[#This Row],[SIM_ID]]&amp;" - "&amp;Sim_Output[[#This Row],[WEEK]]&amp;" - "&amp;Sim_Output[[#This Row],[REGIME]]</f>
        <v>3 - 7 - 3</v>
      </c>
      <c r="G354" t="s">
        <v>56</v>
      </c>
      <c r="H354">
        <v>56</v>
      </c>
      <c r="I354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354" s="7">
        <f>Sim_Output[[#This Row],[VALUE]]/SUMIFS(Sim_Output[VALUE],Sim_Output[SIM_ID],Sim_Output[[#This Row],[SIM_ID]],Sim_Output[WEEK],Sim_Output[[#This Row],[WEEK]],Sim_Output[OUTPUT],"PRICE_0")-1</f>
        <v>-0.41666666666666663</v>
      </c>
      <c r="K354" s="4">
        <f ca="1">IF(Sim_Output[[#This Row],[OUTPUT]]="PRICE_0",0,_xlfn.RANK.EQ(Sim_Output[[#This Row],[WTD_RET]],OFFSET(Sim_Output[[#This Row],[WTD_RET]],-Sim_Output[[#This Row],[OBS]]+1,0,12)))</f>
        <v>11</v>
      </c>
      <c r="L354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-0.66851565400954971</v>
      </c>
      <c r="M354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4.7244094488188983E-2</v>
      </c>
      <c r="N354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-6.6666666666666652E-2</v>
      </c>
    </row>
    <row r="355" spans="2:14" x14ac:dyDescent="0.25">
      <c r="B355">
        <v>3</v>
      </c>
      <c r="C355">
        <v>8</v>
      </c>
      <c r="D355">
        <f>VALUE(RIGHT(Sim_Output[[#This Row],[OUTPUT]],LEN(Sim_Output[[#This Row],[OUTPUT]])-6))</f>
        <v>0</v>
      </c>
      <c r="E355">
        <v>0</v>
      </c>
      <c r="F355" t="str">
        <f>Sim_Output[[#This Row],[SIM_ID]]&amp;" - "&amp;Sim_Output[[#This Row],[WEEK]]&amp;" - "&amp;Sim_Output[[#This Row],[REGIME]]</f>
        <v>3 - 8 - 0</v>
      </c>
      <c r="G355" t="s">
        <v>44</v>
      </c>
      <c r="H355">
        <v>98</v>
      </c>
      <c r="I355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355" s="7">
        <f>Sim_Output[[#This Row],[VALUE]]/SUMIFS(Sim_Output[VALUE],Sim_Output[SIM_ID],Sim_Output[[#This Row],[SIM_ID]],Sim_Output[WEEK],Sim_Output[[#This Row],[WEEK]],Sim_Output[OUTPUT],"PRICE_0")-1</f>
        <v>0</v>
      </c>
      <c r="K355" s="4">
        <f ca="1">IF(Sim_Output[[#This Row],[OUTPUT]]="PRICE_0",0,_xlfn.RANK.EQ(Sim_Output[[#This Row],[WTD_RET]],OFFSET(Sim_Output[[#This Row],[WTD_RET]],-Sim_Output[[#This Row],[OBS]]+1,0,12)))</f>
        <v>0</v>
      </c>
      <c r="L355" s="3" t="str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/>
      </c>
      <c r="M355" s="3" t="str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/>
      </c>
      <c r="N355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</v>
      </c>
    </row>
    <row r="356" spans="2:14" x14ac:dyDescent="0.25">
      <c r="B356">
        <v>3</v>
      </c>
      <c r="C356">
        <v>8</v>
      </c>
      <c r="D356">
        <f>VALUE(RIGHT(Sim_Output[[#This Row],[OUTPUT]],LEN(Sim_Output[[#This Row],[OUTPUT]])-6))</f>
        <v>1</v>
      </c>
      <c r="E356">
        <v>0</v>
      </c>
      <c r="F356" t="str">
        <f>Sim_Output[[#This Row],[SIM_ID]]&amp;" - "&amp;Sim_Output[[#This Row],[WEEK]]&amp;" - "&amp;Sim_Output[[#This Row],[REGIME]]</f>
        <v>3 - 8 - 0</v>
      </c>
      <c r="G356" t="s">
        <v>45</v>
      </c>
      <c r="H356">
        <v>95</v>
      </c>
      <c r="I356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356" s="7">
        <f>Sim_Output[[#This Row],[VALUE]]/SUMIFS(Sim_Output[VALUE],Sim_Output[SIM_ID],Sim_Output[[#This Row],[SIM_ID]],Sim_Output[WEEK],Sim_Output[[#This Row],[WEEK]],Sim_Output[OUTPUT],"PRICE_0")-1</f>
        <v>-3.0612244897959218E-2</v>
      </c>
      <c r="K356" s="4">
        <f ca="1">IF(Sim_Output[[#This Row],[OUTPUT]]="PRICE_0",0,_xlfn.RANK.EQ(Sim_Output[[#This Row],[WTD_RET]],OFFSET(Sim_Output[[#This Row],[WTD_RET]],-Sim_Output[[#This Row],[OBS]]+1,0,12)))</f>
        <v>7</v>
      </c>
      <c r="L356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6.9014324217451101E-3</v>
      </c>
      <c r="M356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0.53409090909090906</v>
      </c>
      <c r="N356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-3.0612244897959218E-2</v>
      </c>
    </row>
    <row r="357" spans="2:14" x14ac:dyDescent="0.25">
      <c r="B357">
        <v>3</v>
      </c>
      <c r="C357">
        <v>8</v>
      </c>
      <c r="D357">
        <f>VALUE(RIGHT(Sim_Output[[#This Row],[OUTPUT]],LEN(Sim_Output[[#This Row],[OUTPUT]])-6))</f>
        <v>2</v>
      </c>
      <c r="E357">
        <v>0</v>
      </c>
      <c r="F357" t="str">
        <f>Sim_Output[[#This Row],[SIM_ID]]&amp;" - "&amp;Sim_Output[[#This Row],[WEEK]]&amp;" - "&amp;Sim_Output[[#This Row],[REGIME]]</f>
        <v>3 - 8 - 0</v>
      </c>
      <c r="G357" t="s">
        <v>46</v>
      </c>
      <c r="H357">
        <v>130</v>
      </c>
      <c r="I357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357" s="7">
        <f>Sim_Output[[#This Row],[VALUE]]/SUMIFS(Sim_Output[VALUE],Sim_Output[SIM_ID],Sim_Output[[#This Row],[SIM_ID]],Sim_Output[WEEK],Sim_Output[[#This Row],[WEEK]],Sim_Output[OUTPUT],"PRICE_0")-1</f>
        <v>0.32653061224489788</v>
      </c>
      <c r="K357" s="4">
        <f ca="1">IF(Sim_Output[[#This Row],[OUTPUT]]="PRICE_0",0,_xlfn.RANK.EQ(Sim_Output[[#This Row],[WTD_RET]],OFFSET(Sim_Output[[#This Row],[WTD_RET]],-Sim_Output[[#This Row],[OBS]]+1,0,12)))</f>
        <v>3</v>
      </c>
      <c r="L357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0.97310197146607247</v>
      </c>
      <c r="M357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0.93181818181818177</v>
      </c>
      <c r="N357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0.36842105263157898</v>
      </c>
    </row>
    <row r="358" spans="2:14" x14ac:dyDescent="0.25">
      <c r="B358">
        <v>3</v>
      </c>
      <c r="C358">
        <v>8</v>
      </c>
      <c r="D358">
        <f>VALUE(RIGHT(Sim_Output[[#This Row],[OUTPUT]],LEN(Sim_Output[[#This Row],[OUTPUT]])-6))</f>
        <v>3</v>
      </c>
      <c r="E358">
        <v>0</v>
      </c>
      <c r="F358" t="str">
        <f>Sim_Output[[#This Row],[SIM_ID]]&amp;" - "&amp;Sim_Output[[#This Row],[WEEK]]&amp;" - "&amp;Sim_Output[[#This Row],[REGIME]]</f>
        <v>3 - 8 - 0</v>
      </c>
      <c r="G358" t="s">
        <v>47</v>
      </c>
      <c r="H358">
        <v>62</v>
      </c>
      <c r="I358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358" s="7">
        <f>Sim_Output[[#This Row],[VALUE]]/SUMIFS(Sim_Output[VALUE],Sim_Output[SIM_ID],Sim_Output[[#This Row],[SIM_ID]],Sim_Output[WEEK],Sim_Output[[#This Row],[WEEK]],Sim_Output[OUTPUT],"PRICE_0")-1</f>
        <v>-0.36734693877551017</v>
      </c>
      <c r="K358" s="4">
        <f ca="1">IF(Sim_Output[[#This Row],[OUTPUT]]="PRICE_0",0,_xlfn.RANK.EQ(Sim_Output[[#This Row],[WTD_RET]],OFFSET(Sim_Output[[#This Row],[WTD_RET]],-Sim_Output[[#This Row],[OBS]]+1,0,12)))</f>
        <v>8</v>
      </c>
      <c r="L358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-0.90408764724862056</v>
      </c>
      <c r="M358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0.15909090909090914</v>
      </c>
      <c r="N358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-0.52307692307692299</v>
      </c>
    </row>
    <row r="359" spans="2:14" x14ac:dyDescent="0.25">
      <c r="B359">
        <v>3</v>
      </c>
      <c r="C359">
        <v>8</v>
      </c>
      <c r="D359">
        <f>VALUE(RIGHT(Sim_Output[[#This Row],[OUTPUT]],LEN(Sim_Output[[#This Row],[OUTPUT]])-6))</f>
        <v>4</v>
      </c>
      <c r="E359">
        <v>0</v>
      </c>
      <c r="F359" t="str">
        <f>Sim_Output[[#This Row],[SIM_ID]]&amp;" - "&amp;Sim_Output[[#This Row],[WEEK]]&amp;" - "&amp;Sim_Output[[#This Row],[REGIME]]</f>
        <v>3 - 8 - 0</v>
      </c>
      <c r="G359" t="s">
        <v>48</v>
      </c>
      <c r="H359">
        <v>54</v>
      </c>
      <c r="I359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359" s="7">
        <f>Sim_Output[[#This Row],[VALUE]]/SUMIFS(Sim_Output[VALUE],Sim_Output[SIM_ID],Sim_Output[[#This Row],[SIM_ID]],Sim_Output[WEEK],Sim_Output[[#This Row],[WEEK]],Sim_Output[OUTPUT],"PRICE_0")-1</f>
        <v>-0.44897959183673475</v>
      </c>
      <c r="K359" s="4">
        <f ca="1">IF(Sim_Output[[#This Row],[OUTPUT]]="PRICE_0",0,_xlfn.RANK.EQ(Sim_Output[[#This Row],[WTD_RET]],OFFSET(Sim_Output[[#This Row],[WTD_RET]],-Sim_Output[[#This Row],[OBS]]+1,0,12)))</f>
        <v>11</v>
      </c>
      <c r="L359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-1.124933484744467</v>
      </c>
      <c r="M359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6.8181818181818135E-2</v>
      </c>
      <c r="N359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-0.12903225806451613</v>
      </c>
    </row>
    <row r="360" spans="2:14" x14ac:dyDescent="0.25">
      <c r="B360">
        <v>3</v>
      </c>
      <c r="C360">
        <v>8</v>
      </c>
      <c r="D360">
        <f>VALUE(RIGHT(Sim_Output[[#This Row],[OUTPUT]],LEN(Sim_Output[[#This Row],[OUTPUT]])-6))</f>
        <v>5</v>
      </c>
      <c r="E360">
        <v>0</v>
      </c>
      <c r="F360" t="str">
        <f>Sim_Output[[#This Row],[SIM_ID]]&amp;" - "&amp;Sim_Output[[#This Row],[WEEK]]&amp;" - "&amp;Sim_Output[[#This Row],[REGIME]]</f>
        <v>3 - 8 - 0</v>
      </c>
      <c r="G360" t="s">
        <v>49</v>
      </c>
      <c r="H360">
        <v>48</v>
      </c>
      <c r="I360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360" s="7">
        <f>Sim_Output[[#This Row],[VALUE]]/SUMIFS(Sim_Output[VALUE],Sim_Output[SIM_ID],Sim_Output[[#This Row],[SIM_ID]],Sim_Output[WEEK],Sim_Output[[#This Row],[WEEK]],Sim_Output[OUTPUT],"PRICE_0")-1</f>
        <v>-0.51020408163265307</v>
      </c>
      <c r="K360" s="4">
        <f ca="1">IF(Sim_Output[[#This Row],[OUTPUT]]="PRICE_0",0,_xlfn.RANK.EQ(Sim_Output[[#This Row],[WTD_RET]],OFFSET(Sim_Output[[#This Row],[WTD_RET]],-Sim_Output[[#This Row],[OBS]]+1,0,12)))</f>
        <v>12</v>
      </c>
      <c r="L360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-1.2905678628663517</v>
      </c>
      <c r="M360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</v>
      </c>
      <c r="N360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-0.11111111111111116</v>
      </c>
    </row>
    <row r="361" spans="2:14" x14ac:dyDescent="0.25">
      <c r="B361">
        <v>3</v>
      </c>
      <c r="C361">
        <v>8</v>
      </c>
      <c r="D361">
        <f>VALUE(RIGHT(Sim_Output[[#This Row],[OUTPUT]],LEN(Sim_Output[[#This Row],[OUTPUT]])-6))</f>
        <v>6</v>
      </c>
      <c r="E361">
        <v>0</v>
      </c>
      <c r="F361" t="str">
        <f>Sim_Output[[#This Row],[SIM_ID]]&amp;" - "&amp;Sim_Output[[#This Row],[WEEK]]&amp;" - "&amp;Sim_Output[[#This Row],[REGIME]]</f>
        <v>3 - 8 - 0</v>
      </c>
      <c r="G361" t="s">
        <v>50</v>
      </c>
      <c r="H361">
        <v>129</v>
      </c>
      <c r="I361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361" s="7">
        <f>Sim_Output[[#This Row],[VALUE]]/SUMIFS(Sim_Output[VALUE],Sim_Output[SIM_ID],Sim_Output[[#This Row],[SIM_ID]],Sim_Output[WEEK],Sim_Output[[#This Row],[WEEK]],Sim_Output[OUTPUT],"PRICE_0")-1</f>
        <v>0.31632653061224492</v>
      </c>
      <c r="K361" s="4">
        <f ca="1">IF(Sim_Output[[#This Row],[OUTPUT]]="PRICE_0",0,_xlfn.RANK.EQ(Sim_Output[[#This Row],[WTD_RET]],OFFSET(Sim_Output[[#This Row],[WTD_RET]],-Sim_Output[[#This Row],[OBS]]+1,0,12)))</f>
        <v>4</v>
      </c>
      <c r="L361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0.94549624177909197</v>
      </c>
      <c r="M361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0.92045454545454553</v>
      </c>
      <c r="N361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1.6875</v>
      </c>
    </row>
    <row r="362" spans="2:14" x14ac:dyDescent="0.25">
      <c r="B362">
        <v>3</v>
      </c>
      <c r="C362">
        <v>8</v>
      </c>
      <c r="D362">
        <f>VALUE(RIGHT(Sim_Output[[#This Row],[OUTPUT]],LEN(Sim_Output[[#This Row],[OUTPUT]])-6))</f>
        <v>7</v>
      </c>
      <c r="E362">
        <v>0</v>
      </c>
      <c r="F362" t="str">
        <f>Sim_Output[[#This Row],[SIM_ID]]&amp;" - "&amp;Sim_Output[[#This Row],[WEEK]]&amp;" - "&amp;Sim_Output[[#This Row],[REGIME]]</f>
        <v>3 - 8 - 0</v>
      </c>
      <c r="G362" t="s">
        <v>51</v>
      </c>
      <c r="H362">
        <v>127</v>
      </c>
      <c r="I362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362" s="7">
        <f>Sim_Output[[#This Row],[VALUE]]/SUMIFS(Sim_Output[VALUE],Sim_Output[SIM_ID],Sim_Output[[#This Row],[SIM_ID]],Sim_Output[WEEK],Sim_Output[[#This Row],[WEEK]],Sim_Output[OUTPUT],"PRICE_0")-1</f>
        <v>0.29591836734693877</v>
      </c>
      <c r="K362" s="4">
        <f ca="1">IF(Sim_Output[[#This Row],[OUTPUT]]="PRICE_0",0,_xlfn.RANK.EQ(Sim_Output[[#This Row],[WTD_RET]],OFFSET(Sim_Output[[#This Row],[WTD_RET]],-Sim_Output[[#This Row],[OBS]]+1,0,12)))</f>
        <v>5</v>
      </c>
      <c r="L362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0.89028478240513031</v>
      </c>
      <c r="M362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0.89772727272727271</v>
      </c>
      <c r="N362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-1.5503875968992276E-2</v>
      </c>
    </row>
    <row r="363" spans="2:14" x14ac:dyDescent="0.25">
      <c r="B363">
        <v>3</v>
      </c>
      <c r="C363">
        <v>8</v>
      </c>
      <c r="D363">
        <f>VALUE(RIGHT(Sim_Output[[#This Row],[OUTPUT]],LEN(Sim_Output[[#This Row],[OUTPUT]])-6))</f>
        <v>8</v>
      </c>
      <c r="E363">
        <v>0</v>
      </c>
      <c r="F363" t="str">
        <f>Sim_Output[[#This Row],[SIM_ID]]&amp;" - "&amp;Sim_Output[[#This Row],[WEEK]]&amp;" - "&amp;Sim_Output[[#This Row],[REGIME]]</f>
        <v>3 - 8 - 0</v>
      </c>
      <c r="G363" t="s">
        <v>52</v>
      </c>
      <c r="H363">
        <v>135</v>
      </c>
      <c r="I363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363" s="7">
        <f>Sim_Output[[#This Row],[VALUE]]/SUMIFS(Sim_Output[VALUE],Sim_Output[SIM_ID],Sim_Output[[#This Row],[SIM_ID]],Sim_Output[WEEK],Sim_Output[[#This Row],[WEEK]],Sim_Output[OUTPUT],"PRICE_0")-1</f>
        <v>0.37755102040816335</v>
      </c>
      <c r="K363" s="4">
        <f ca="1">IF(Sim_Output[[#This Row],[OUTPUT]]="PRICE_0",0,_xlfn.RANK.EQ(Sim_Output[[#This Row],[WTD_RET]],OFFSET(Sim_Output[[#This Row],[WTD_RET]],-Sim_Output[[#This Row],[OBS]]+1,0,12)))</f>
        <v>2</v>
      </c>
      <c r="L363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1.1111306199009767</v>
      </c>
      <c r="M363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0.98863636363636376</v>
      </c>
      <c r="N363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6.2992125984252079E-2</v>
      </c>
    </row>
    <row r="364" spans="2:14" x14ac:dyDescent="0.25">
      <c r="B364">
        <v>3</v>
      </c>
      <c r="C364">
        <v>8</v>
      </c>
      <c r="D364">
        <f>VALUE(RIGHT(Sim_Output[[#This Row],[OUTPUT]],LEN(Sim_Output[[#This Row],[OUTPUT]])-6))</f>
        <v>9</v>
      </c>
      <c r="E364">
        <v>0</v>
      </c>
      <c r="F364" t="str">
        <f>Sim_Output[[#This Row],[SIM_ID]]&amp;" - "&amp;Sim_Output[[#This Row],[WEEK]]&amp;" - "&amp;Sim_Output[[#This Row],[REGIME]]</f>
        <v>3 - 8 - 0</v>
      </c>
      <c r="G364" t="s">
        <v>53</v>
      </c>
      <c r="H364">
        <v>104</v>
      </c>
      <c r="I364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364" s="7">
        <f>Sim_Output[[#This Row],[VALUE]]/SUMIFS(Sim_Output[VALUE],Sim_Output[SIM_ID],Sim_Output[[#This Row],[SIM_ID]],Sim_Output[WEEK],Sim_Output[[#This Row],[WEEK]],Sim_Output[OUTPUT],"PRICE_0")-1</f>
        <v>6.1224489795918435E-2</v>
      </c>
      <c r="K364" s="4">
        <f ca="1">IF(Sim_Output[[#This Row],[OUTPUT]]="PRICE_0",0,_xlfn.RANK.EQ(Sim_Output[[#This Row],[WTD_RET]],OFFSET(Sim_Output[[#This Row],[WTD_RET]],-Sim_Output[[#This Row],[OBS]]+1,0,12)))</f>
        <v>6</v>
      </c>
      <c r="L364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0.25535299960457247</v>
      </c>
      <c r="M364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0.63636363636363646</v>
      </c>
      <c r="N364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-0.22962962962962963</v>
      </c>
    </row>
    <row r="365" spans="2:14" x14ac:dyDescent="0.25">
      <c r="B365">
        <v>3</v>
      </c>
      <c r="C365">
        <v>8</v>
      </c>
      <c r="D365">
        <f>VALUE(RIGHT(Sim_Output[[#This Row],[OUTPUT]],LEN(Sim_Output[[#This Row],[OUTPUT]])-6))</f>
        <v>10</v>
      </c>
      <c r="E365">
        <v>0</v>
      </c>
      <c r="F365" t="str">
        <f>Sim_Output[[#This Row],[SIM_ID]]&amp;" - "&amp;Sim_Output[[#This Row],[WEEK]]&amp;" - "&amp;Sim_Output[[#This Row],[REGIME]]</f>
        <v>3 - 8 - 0</v>
      </c>
      <c r="G365" t="s">
        <v>54</v>
      </c>
      <c r="H365">
        <v>62</v>
      </c>
      <c r="I365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365" s="7">
        <f>Sim_Output[[#This Row],[VALUE]]/SUMIFS(Sim_Output[VALUE],Sim_Output[SIM_ID],Sim_Output[[#This Row],[SIM_ID]],Sim_Output[WEEK],Sim_Output[[#This Row],[WEEK]],Sim_Output[OUTPUT],"PRICE_0")-1</f>
        <v>-0.36734693877551017</v>
      </c>
      <c r="K365" s="4">
        <f ca="1">IF(Sim_Output[[#This Row],[OUTPUT]]="PRICE_0",0,_xlfn.RANK.EQ(Sim_Output[[#This Row],[WTD_RET]],OFFSET(Sim_Output[[#This Row],[WTD_RET]],-Sim_Output[[#This Row],[OBS]]+1,0,12)))</f>
        <v>8</v>
      </c>
      <c r="L365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-0.90408764724862056</v>
      </c>
      <c r="M365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0.15909090909090914</v>
      </c>
      <c r="N365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-0.40384615384615385</v>
      </c>
    </row>
    <row r="366" spans="2:14" x14ac:dyDescent="0.25">
      <c r="B366">
        <v>3</v>
      </c>
      <c r="C366">
        <v>8</v>
      </c>
      <c r="D366">
        <f>VALUE(RIGHT(Sim_Output[[#This Row],[OUTPUT]],LEN(Sim_Output[[#This Row],[OUTPUT]])-6))</f>
        <v>11</v>
      </c>
      <c r="E366">
        <v>0</v>
      </c>
      <c r="F366" t="str">
        <f>Sim_Output[[#This Row],[SIM_ID]]&amp;" - "&amp;Sim_Output[[#This Row],[WEEK]]&amp;" - "&amp;Sim_Output[[#This Row],[REGIME]]</f>
        <v>3 - 8 - 0</v>
      </c>
      <c r="G366" t="s">
        <v>55</v>
      </c>
      <c r="H366">
        <v>55</v>
      </c>
      <c r="I366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366" s="7">
        <f>Sim_Output[[#This Row],[VALUE]]/SUMIFS(Sim_Output[VALUE],Sim_Output[SIM_ID],Sim_Output[[#This Row],[SIM_ID]],Sim_Output[WEEK],Sim_Output[[#This Row],[WEEK]],Sim_Output[OUTPUT],"PRICE_0")-1</f>
        <v>-0.43877551020408168</v>
      </c>
      <c r="K366" s="4">
        <f ca="1">IF(Sim_Output[[#This Row],[OUTPUT]]="PRICE_0",0,_xlfn.RANK.EQ(Sim_Output[[#This Row],[WTD_RET]],OFFSET(Sim_Output[[#This Row],[WTD_RET]],-Sim_Output[[#This Row],[OBS]]+1,0,12)))</f>
        <v>10</v>
      </c>
      <c r="L366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-1.0973277550574863</v>
      </c>
      <c r="M366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7.9545454545454516E-2</v>
      </c>
      <c r="N366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-0.11290322580645162</v>
      </c>
    </row>
    <row r="367" spans="2:14" x14ac:dyDescent="0.25">
      <c r="B367">
        <v>3</v>
      </c>
      <c r="C367">
        <v>8</v>
      </c>
      <c r="D367">
        <f>VALUE(RIGHT(Sim_Output[[#This Row],[OUTPUT]],LEN(Sim_Output[[#This Row],[OUTPUT]])-6))</f>
        <v>12</v>
      </c>
      <c r="E367">
        <v>0</v>
      </c>
      <c r="F367" t="str">
        <f>Sim_Output[[#This Row],[SIM_ID]]&amp;" - "&amp;Sim_Output[[#This Row],[WEEK]]&amp;" - "&amp;Sim_Output[[#This Row],[REGIME]]</f>
        <v>3 - 8 - 0</v>
      </c>
      <c r="G367" t="s">
        <v>56</v>
      </c>
      <c r="H367">
        <v>136</v>
      </c>
      <c r="I367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367" s="7">
        <f>Sim_Output[[#This Row],[VALUE]]/SUMIFS(Sim_Output[VALUE],Sim_Output[SIM_ID],Sim_Output[[#This Row],[SIM_ID]],Sim_Output[WEEK],Sim_Output[[#This Row],[WEEK]],Sim_Output[OUTPUT],"PRICE_0")-1</f>
        <v>0.38775510204081631</v>
      </c>
      <c r="K367" s="4">
        <f ca="1">IF(Sim_Output[[#This Row],[OUTPUT]]="PRICE_0",0,_xlfn.RANK.EQ(Sim_Output[[#This Row],[WTD_RET]],OFFSET(Sim_Output[[#This Row],[WTD_RET]],-Sim_Output[[#This Row],[OBS]]+1,0,12)))</f>
        <v>1</v>
      </c>
      <c r="L367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1.1387363495879574</v>
      </c>
      <c r="M367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1</v>
      </c>
      <c r="N367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1.4727272727272727</v>
      </c>
    </row>
    <row r="368" spans="2:14" x14ac:dyDescent="0.25">
      <c r="B368">
        <v>3</v>
      </c>
      <c r="C368">
        <v>9</v>
      </c>
      <c r="D368">
        <f>VALUE(RIGHT(Sim_Output[[#This Row],[OUTPUT]],LEN(Sim_Output[[#This Row],[OUTPUT]])-6))</f>
        <v>0</v>
      </c>
      <c r="E368">
        <v>2</v>
      </c>
      <c r="F368" t="str">
        <f>Sim_Output[[#This Row],[SIM_ID]]&amp;" - "&amp;Sim_Output[[#This Row],[WEEK]]&amp;" - "&amp;Sim_Output[[#This Row],[REGIME]]</f>
        <v>3 - 9 - 2</v>
      </c>
      <c r="G368" t="s">
        <v>44</v>
      </c>
      <c r="H368">
        <v>90</v>
      </c>
      <c r="I368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368" s="7">
        <f>Sim_Output[[#This Row],[VALUE]]/SUMIFS(Sim_Output[VALUE],Sim_Output[SIM_ID],Sim_Output[[#This Row],[SIM_ID]],Sim_Output[WEEK],Sim_Output[[#This Row],[WEEK]],Sim_Output[OUTPUT],"PRICE_0")-1</f>
        <v>0</v>
      </c>
      <c r="K368" s="4">
        <f ca="1">IF(Sim_Output[[#This Row],[OUTPUT]]="PRICE_0",0,_xlfn.RANK.EQ(Sim_Output[[#This Row],[WTD_RET]],OFFSET(Sim_Output[[#This Row],[WTD_RET]],-Sim_Output[[#This Row],[OBS]]+1,0,12)))</f>
        <v>0</v>
      </c>
      <c r="L368" s="3" t="str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/>
      </c>
      <c r="M368" s="3" t="str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/>
      </c>
      <c r="N368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</v>
      </c>
    </row>
    <row r="369" spans="2:14" x14ac:dyDescent="0.25">
      <c r="B369">
        <v>3</v>
      </c>
      <c r="C369">
        <v>9</v>
      </c>
      <c r="D369">
        <f>VALUE(RIGHT(Sim_Output[[#This Row],[OUTPUT]],LEN(Sim_Output[[#This Row],[OUTPUT]])-6))</f>
        <v>1</v>
      </c>
      <c r="E369">
        <v>2</v>
      </c>
      <c r="F369" t="str">
        <f>Sim_Output[[#This Row],[SIM_ID]]&amp;" - "&amp;Sim_Output[[#This Row],[WEEK]]&amp;" - "&amp;Sim_Output[[#This Row],[REGIME]]</f>
        <v>3 - 9 - 2</v>
      </c>
      <c r="G369" t="s">
        <v>45</v>
      </c>
      <c r="H369">
        <v>79</v>
      </c>
      <c r="I369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369" s="7">
        <f>Sim_Output[[#This Row],[VALUE]]/SUMIFS(Sim_Output[VALUE],Sim_Output[SIM_ID],Sim_Output[[#This Row],[SIM_ID]],Sim_Output[WEEK],Sim_Output[[#This Row],[WEEK]],Sim_Output[OUTPUT],"PRICE_0")-1</f>
        <v>-0.12222222222222223</v>
      </c>
      <c r="K369" s="4">
        <f ca="1">IF(Sim_Output[[#This Row],[OUTPUT]]="PRICE_0",0,_xlfn.RANK.EQ(Sim_Output[[#This Row],[WTD_RET]],OFFSET(Sim_Output[[#This Row],[WTD_RET]],-Sim_Output[[#This Row],[OBS]]+1,0,12)))</f>
        <v>1</v>
      </c>
      <c r="L369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1.4710741109906325</v>
      </c>
      <c r="M369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1</v>
      </c>
      <c r="N369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-0.12222222222222223</v>
      </c>
    </row>
    <row r="370" spans="2:14" x14ac:dyDescent="0.25">
      <c r="B370">
        <v>3</v>
      </c>
      <c r="C370">
        <v>9</v>
      </c>
      <c r="D370">
        <f>VALUE(RIGHT(Sim_Output[[#This Row],[OUTPUT]],LEN(Sim_Output[[#This Row],[OUTPUT]])-6))</f>
        <v>2</v>
      </c>
      <c r="E370">
        <v>2</v>
      </c>
      <c r="F370" t="str">
        <f>Sim_Output[[#This Row],[SIM_ID]]&amp;" - "&amp;Sim_Output[[#This Row],[WEEK]]&amp;" - "&amp;Sim_Output[[#This Row],[REGIME]]</f>
        <v>3 - 9 - 2</v>
      </c>
      <c r="G370" t="s">
        <v>46</v>
      </c>
      <c r="H370">
        <v>76</v>
      </c>
      <c r="I370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370" s="7">
        <f>Sim_Output[[#This Row],[VALUE]]/SUMIFS(Sim_Output[VALUE],Sim_Output[SIM_ID],Sim_Output[[#This Row],[SIM_ID]],Sim_Output[WEEK],Sim_Output[[#This Row],[WEEK]],Sim_Output[OUTPUT],"PRICE_0")-1</f>
        <v>-0.15555555555555556</v>
      </c>
      <c r="K370" s="4">
        <f ca="1">IF(Sim_Output[[#This Row],[OUTPUT]]="PRICE_0",0,_xlfn.RANK.EQ(Sim_Output[[#This Row],[WTD_RET]],OFFSET(Sim_Output[[#This Row],[WTD_RET]],-Sim_Output[[#This Row],[OBS]]+1,0,12)))</f>
        <v>2</v>
      </c>
      <c r="L370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1.2377760140934397</v>
      </c>
      <c r="M370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0.92307692307692313</v>
      </c>
      <c r="N370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-3.7974683544303778E-2</v>
      </c>
    </row>
    <row r="371" spans="2:14" x14ac:dyDescent="0.25">
      <c r="B371">
        <v>3</v>
      </c>
      <c r="C371">
        <v>9</v>
      </c>
      <c r="D371">
        <f>VALUE(RIGHT(Sim_Output[[#This Row],[OUTPUT]],LEN(Sim_Output[[#This Row],[OUTPUT]])-6))</f>
        <v>3</v>
      </c>
      <c r="E371">
        <v>2</v>
      </c>
      <c r="F371" t="str">
        <f>Sim_Output[[#This Row],[SIM_ID]]&amp;" - "&amp;Sim_Output[[#This Row],[WEEK]]&amp;" - "&amp;Sim_Output[[#This Row],[REGIME]]</f>
        <v>3 - 9 - 2</v>
      </c>
      <c r="G371" t="s">
        <v>47</v>
      </c>
      <c r="H371">
        <v>73</v>
      </c>
      <c r="I371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371" s="7">
        <f>Sim_Output[[#This Row],[VALUE]]/SUMIFS(Sim_Output[VALUE],Sim_Output[SIM_ID],Sim_Output[[#This Row],[SIM_ID]],Sim_Output[WEEK],Sim_Output[[#This Row],[WEEK]],Sim_Output[OUTPUT],"PRICE_0")-1</f>
        <v>-0.18888888888888888</v>
      </c>
      <c r="K371" s="4">
        <f ca="1">IF(Sim_Output[[#This Row],[OUTPUT]]="PRICE_0",0,_xlfn.RANK.EQ(Sim_Output[[#This Row],[WTD_RET]],OFFSET(Sim_Output[[#This Row],[WTD_RET]],-Sim_Output[[#This Row],[OBS]]+1,0,12)))</f>
        <v>3</v>
      </c>
      <c r="L371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1.004477917196247</v>
      </c>
      <c r="M371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0.84615384615384615</v>
      </c>
      <c r="N371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-3.9473684210526327E-2</v>
      </c>
    </row>
    <row r="372" spans="2:14" x14ac:dyDescent="0.25">
      <c r="B372">
        <v>3</v>
      </c>
      <c r="C372">
        <v>9</v>
      </c>
      <c r="D372">
        <f>VALUE(RIGHT(Sim_Output[[#This Row],[OUTPUT]],LEN(Sim_Output[[#This Row],[OUTPUT]])-6))</f>
        <v>4</v>
      </c>
      <c r="E372">
        <v>2</v>
      </c>
      <c r="F372" t="str">
        <f>Sim_Output[[#This Row],[SIM_ID]]&amp;" - "&amp;Sim_Output[[#This Row],[WEEK]]&amp;" - "&amp;Sim_Output[[#This Row],[REGIME]]</f>
        <v>3 - 9 - 2</v>
      </c>
      <c r="G372" t="s">
        <v>48</v>
      </c>
      <c r="H372">
        <v>69</v>
      </c>
      <c r="I372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372" s="7">
        <f>Sim_Output[[#This Row],[VALUE]]/SUMIFS(Sim_Output[VALUE],Sim_Output[SIM_ID],Sim_Output[[#This Row],[SIM_ID]],Sim_Output[WEEK],Sim_Output[[#This Row],[WEEK]],Sim_Output[OUTPUT],"PRICE_0")-1</f>
        <v>-0.23333333333333328</v>
      </c>
      <c r="K372" s="4">
        <f ca="1">IF(Sim_Output[[#This Row],[OUTPUT]]="PRICE_0",0,_xlfn.RANK.EQ(Sim_Output[[#This Row],[WTD_RET]],OFFSET(Sim_Output[[#This Row],[WTD_RET]],-Sim_Output[[#This Row],[OBS]]+1,0,12)))</f>
        <v>4</v>
      </c>
      <c r="L372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0.69341378799999021</v>
      </c>
      <c r="M372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0.74358974358974372</v>
      </c>
      <c r="N372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-5.4794520547945202E-2</v>
      </c>
    </row>
    <row r="373" spans="2:14" x14ac:dyDescent="0.25">
      <c r="B373">
        <v>3</v>
      </c>
      <c r="C373">
        <v>9</v>
      </c>
      <c r="D373">
        <f>VALUE(RIGHT(Sim_Output[[#This Row],[OUTPUT]],LEN(Sim_Output[[#This Row],[OUTPUT]])-6))</f>
        <v>5</v>
      </c>
      <c r="E373">
        <v>2</v>
      </c>
      <c r="F373" t="str">
        <f>Sim_Output[[#This Row],[SIM_ID]]&amp;" - "&amp;Sim_Output[[#This Row],[WEEK]]&amp;" - "&amp;Sim_Output[[#This Row],[REGIME]]</f>
        <v>3 - 9 - 2</v>
      </c>
      <c r="G373" t="s">
        <v>49</v>
      </c>
      <c r="H373">
        <v>65</v>
      </c>
      <c r="I373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373" s="7">
        <f>Sim_Output[[#This Row],[VALUE]]/SUMIFS(Sim_Output[VALUE],Sim_Output[SIM_ID],Sim_Output[[#This Row],[SIM_ID]],Sim_Output[WEEK],Sim_Output[[#This Row],[WEEK]],Sim_Output[OUTPUT],"PRICE_0")-1</f>
        <v>-0.27777777777777779</v>
      </c>
      <c r="K373" s="4">
        <f ca="1">IF(Sim_Output[[#This Row],[OUTPUT]]="PRICE_0",0,_xlfn.RANK.EQ(Sim_Output[[#This Row],[WTD_RET]],OFFSET(Sim_Output[[#This Row],[WTD_RET]],-Sim_Output[[#This Row],[OBS]]+1,0,12)))</f>
        <v>5</v>
      </c>
      <c r="L373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0.38234965880373267</v>
      </c>
      <c r="M373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0.64102564102564108</v>
      </c>
      <c r="N373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-5.7971014492753659E-2</v>
      </c>
    </row>
    <row r="374" spans="2:14" x14ac:dyDescent="0.25">
      <c r="B374">
        <v>3</v>
      </c>
      <c r="C374">
        <v>9</v>
      </c>
      <c r="D374">
        <f>VALUE(RIGHT(Sim_Output[[#This Row],[OUTPUT]],LEN(Sim_Output[[#This Row],[OUTPUT]])-6))</f>
        <v>6</v>
      </c>
      <c r="E374">
        <v>2</v>
      </c>
      <c r="F374" t="str">
        <f>Sim_Output[[#This Row],[SIM_ID]]&amp;" - "&amp;Sim_Output[[#This Row],[WEEK]]&amp;" - "&amp;Sim_Output[[#This Row],[REGIME]]</f>
        <v>3 - 9 - 2</v>
      </c>
      <c r="G374" t="s">
        <v>50</v>
      </c>
      <c r="H374">
        <v>62</v>
      </c>
      <c r="I374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374" s="7">
        <f>Sim_Output[[#This Row],[VALUE]]/SUMIFS(Sim_Output[VALUE],Sim_Output[SIM_ID],Sim_Output[[#This Row],[SIM_ID]],Sim_Output[WEEK],Sim_Output[[#This Row],[WEEK]],Sim_Output[OUTPUT],"PRICE_0")-1</f>
        <v>-0.31111111111111112</v>
      </c>
      <c r="K374" s="4">
        <f ca="1">IF(Sim_Output[[#This Row],[OUTPUT]]="PRICE_0",0,_xlfn.RANK.EQ(Sim_Output[[#This Row],[WTD_RET]],OFFSET(Sim_Output[[#This Row],[WTD_RET]],-Sim_Output[[#This Row],[OBS]]+1,0,12)))</f>
        <v>6</v>
      </c>
      <c r="L374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0.14905156190653995</v>
      </c>
      <c r="M374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0.5641025641025641</v>
      </c>
      <c r="N374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-4.6153846153846101E-2</v>
      </c>
    </row>
    <row r="375" spans="2:14" x14ac:dyDescent="0.25">
      <c r="B375">
        <v>3</v>
      </c>
      <c r="C375">
        <v>9</v>
      </c>
      <c r="D375">
        <f>VALUE(RIGHT(Sim_Output[[#This Row],[OUTPUT]],LEN(Sim_Output[[#This Row],[OUTPUT]])-6))</f>
        <v>7</v>
      </c>
      <c r="E375">
        <v>2</v>
      </c>
      <c r="F375" t="str">
        <f>Sim_Output[[#This Row],[SIM_ID]]&amp;" - "&amp;Sim_Output[[#This Row],[WEEK]]&amp;" - "&amp;Sim_Output[[#This Row],[REGIME]]</f>
        <v>3 - 9 - 2</v>
      </c>
      <c r="G375" t="s">
        <v>51</v>
      </c>
      <c r="H375">
        <v>59</v>
      </c>
      <c r="I375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375" s="7">
        <f>Sim_Output[[#This Row],[VALUE]]/SUMIFS(Sim_Output[VALUE],Sim_Output[SIM_ID],Sim_Output[[#This Row],[SIM_ID]],Sim_Output[WEEK],Sim_Output[[#This Row],[WEEK]],Sim_Output[OUTPUT],"PRICE_0")-1</f>
        <v>-0.34444444444444444</v>
      </c>
      <c r="K375" s="4">
        <f ca="1">IF(Sim_Output[[#This Row],[OUTPUT]]="PRICE_0",0,_xlfn.RANK.EQ(Sim_Output[[#This Row],[WTD_RET]],OFFSET(Sim_Output[[#This Row],[WTD_RET]],-Sim_Output[[#This Row],[OBS]]+1,0,12)))</f>
        <v>7</v>
      </c>
      <c r="L375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-8.424653499065278E-2</v>
      </c>
      <c r="M375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0.48717948717948723</v>
      </c>
      <c r="N375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-4.8387096774193505E-2</v>
      </c>
    </row>
    <row r="376" spans="2:14" x14ac:dyDescent="0.25">
      <c r="B376">
        <v>3</v>
      </c>
      <c r="C376">
        <v>9</v>
      </c>
      <c r="D376">
        <f>VALUE(RIGHT(Sim_Output[[#This Row],[OUTPUT]],LEN(Sim_Output[[#This Row],[OUTPUT]])-6))</f>
        <v>8</v>
      </c>
      <c r="E376">
        <v>2</v>
      </c>
      <c r="F376" t="str">
        <f>Sim_Output[[#This Row],[SIM_ID]]&amp;" - "&amp;Sim_Output[[#This Row],[WEEK]]&amp;" - "&amp;Sim_Output[[#This Row],[REGIME]]</f>
        <v>3 - 9 - 2</v>
      </c>
      <c r="G376" t="s">
        <v>52</v>
      </c>
      <c r="H376">
        <v>56</v>
      </c>
      <c r="I376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376" s="7">
        <f>Sim_Output[[#This Row],[VALUE]]/SUMIFS(Sim_Output[VALUE],Sim_Output[SIM_ID],Sim_Output[[#This Row],[SIM_ID]],Sim_Output[WEEK],Sim_Output[[#This Row],[WEEK]],Sim_Output[OUTPUT],"PRICE_0")-1</f>
        <v>-0.37777777777777777</v>
      </c>
      <c r="K376" s="4">
        <f ca="1">IF(Sim_Output[[#This Row],[OUTPUT]]="PRICE_0",0,_xlfn.RANK.EQ(Sim_Output[[#This Row],[WTD_RET]],OFFSET(Sim_Output[[#This Row],[WTD_RET]],-Sim_Output[[#This Row],[OBS]]+1,0,12)))</f>
        <v>8</v>
      </c>
      <c r="L376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-0.31754463188784554</v>
      </c>
      <c r="M376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0.4102564102564103</v>
      </c>
      <c r="N376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-5.084745762711862E-2</v>
      </c>
    </row>
    <row r="377" spans="2:14" x14ac:dyDescent="0.25">
      <c r="B377">
        <v>3</v>
      </c>
      <c r="C377">
        <v>9</v>
      </c>
      <c r="D377">
        <f>VALUE(RIGHT(Sim_Output[[#This Row],[OUTPUT]],LEN(Sim_Output[[#This Row],[OUTPUT]])-6))</f>
        <v>9</v>
      </c>
      <c r="E377">
        <v>2</v>
      </c>
      <c r="F377" t="str">
        <f>Sim_Output[[#This Row],[SIM_ID]]&amp;" - "&amp;Sim_Output[[#This Row],[WEEK]]&amp;" - "&amp;Sim_Output[[#This Row],[REGIME]]</f>
        <v>3 - 9 - 2</v>
      </c>
      <c r="G377" t="s">
        <v>53</v>
      </c>
      <c r="H377">
        <v>51</v>
      </c>
      <c r="I377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377" s="7">
        <f>Sim_Output[[#This Row],[VALUE]]/SUMIFS(Sim_Output[VALUE],Sim_Output[SIM_ID],Sim_Output[[#This Row],[SIM_ID]],Sim_Output[WEEK],Sim_Output[[#This Row],[WEEK]],Sim_Output[OUTPUT],"PRICE_0")-1</f>
        <v>-0.43333333333333335</v>
      </c>
      <c r="K377" s="4">
        <f ca="1">IF(Sim_Output[[#This Row],[OUTPUT]]="PRICE_0",0,_xlfn.RANK.EQ(Sim_Output[[#This Row],[WTD_RET]],OFFSET(Sim_Output[[#This Row],[WTD_RET]],-Sim_Output[[#This Row],[OBS]]+1,0,12)))</f>
        <v>9</v>
      </c>
      <c r="L377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-0.706374793383167</v>
      </c>
      <c r="M377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0.28205128205128205</v>
      </c>
      <c r="N377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-8.9285714285714302E-2</v>
      </c>
    </row>
    <row r="378" spans="2:14" x14ac:dyDescent="0.25">
      <c r="B378">
        <v>3</v>
      </c>
      <c r="C378">
        <v>9</v>
      </c>
      <c r="D378">
        <f>VALUE(RIGHT(Sim_Output[[#This Row],[OUTPUT]],LEN(Sim_Output[[#This Row],[OUTPUT]])-6))</f>
        <v>10</v>
      </c>
      <c r="E378">
        <v>2</v>
      </c>
      <c r="F378" t="str">
        <f>Sim_Output[[#This Row],[SIM_ID]]&amp;" - "&amp;Sim_Output[[#This Row],[WEEK]]&amp;" - "&amp;Sim_Output[[#This Row],[REGIME]]</f>
        <v>3 - 9 - 2</v>
      </c>
      <c r="G378" t="s">
        <v>54</v>
      </c>
      <c r="H378">
        <v>47</v>
      </c>
      <c r="I378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378" s="7">
        <f>Sim_Output[[#This Row],[VALUE]]/SUMIFS(Sim_Output[VALUE],Sim_Output[SIM_ID],Sim_Output[[#This Row],[SIM_ID]],Sim_Output[WEEK],Sim_Output[[#This Row],[WEEK]],Sim_Output[OUTPUT],"PRICE_0")-1</f>
        <v>-0.47777777777777775</v>
      </c>
      <c r="K378" s="4">
        <f ca="1">IF(Sim_Output[[#This Row],[OUTPUT]]="PRICE_0",0,_xlfn.RANK.EQ(Sim_Output[[#This Row],[WTD_RET]],OFFSET(Sim_Output[[#This Row],[WTD_RET]],-Sim_Output[[#This Row],[OBS]]+1,0,12)))</f>
        <v>10</v>
      </c>
      <c r="L378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-1.0174389225794238</v>
      </c>
      <c r="M378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0.1794871794871796</v>
      </c>
      <c r="N378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-7.8431372549019662E-2</v>
      </c>
    </row>
    <row r="379" spans="2:14" x14ac:dyDescent="0.25">
      <c r="B379">
        <v>3</v>
      </c>
      <c r="C379">
        <v>9</v>
      </c>
      <c r="D379">
        <f>VALUE(RIGHT(Sim_Output[[#This Row],[OUTPUT]],LEN(Sim_Output[[#This Row],[OUTPUT]])-6))</f>
        <v>11</v>
      </c>
      <c r="E379">
        <v>2</v>
      </c>
      <c r="F379" t="str">
        <f>Sim_Output[[#This Row],[SIM_ID]]&amp;" - "&amp;Sim_Output[[#This Row],[WEEK]]&amp;" - "&amp;Sim_Output[[#This Row],[REGIME]]</f>
        <v>3 - 9 - 2</v>
      </c>
      <c r="G379" t="s">
        <v>55</v>
      </c>
      <c r="H379">
        <v>44</v>
      </c>
      <c r="I379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379" s="7">
        <f>Sim_Output[[#This Row],[VALUE]]/SUMIFS(Sim_Output[VALUE],Sim_Output[SIM_ID],Sim_Output[[#This Row],[SIM_ID]],Sim_Output[WEEK],Sim_Output[[#This Row],[WEEK]],Sim_Output[OUTPUT],"PRICE_0")-1</f>
        <v>-0.51111111111111107</v>
      </c>
      <c r="K379" s="4">
        <f ca="1">IF(Sim_Output[[#This Row],[OUTPUT]]="PRICE_0",0,_xlfn.RANK.EQ(Sim_Output[[#This Row],[WTD_RET]],OFFSET(Sim_Output[[#This Row],[WTD_RET]],-Sim_Output[[#This Row],[OBS]]+1,0,12)))</f>
        <v>11</v>
      </c>
      <c r="L379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-1.2507370194766165</v>
      </c>
      <c r="M379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0.10256410256410271</v>
      </c>
      <c r="N379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-6.3829787234042534E-2</v>
      </c>
    </row>
    <row r="380" spans="2:14" x14ac:dyDescent="0.25">
      <c r="B380">
        <v>3</v>
      </c>
      <c r="C380">
        <v>9</v>
      </c>
      <c r="D380">
        <f>VALUE(RIGHT(Sim_Output[[#This Row],[OUTPUT]],LEN(Sim_Output[[#This Row],[OUTPUT]])-6))</f>
        <v>12</v>
      </c>
      <c r="E380">
        <v>2</v>
      </c>
      <c r="F380" t="str">
        <f>Sim_Output[[#This Row],[SIM_ID]]&amp;" - "&amp;Sim_Output[[#This Row],[WEEK]]&amp;" - "&amp;Sim_Output[[#This Row],[REGIME]]</f>
        <v>3 - 9 - 2</v>
      </c>
      <c r="G380" t="s">
        <v>56</v>
      </c>
      <c r="H380">
        <v>40</v>
      </c>
      <c r="I380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380" s="7">
        <f>Sim_Output[[#This Row],[VALUE]]/SUMIFS(Sim_Output[VALUE],Sim_Output[SIM_ID],Sim_Output[[#This Row],[SIM_ID]],Sim_Output[WEEK],Sim_Output[[#This Row],[WEEK]],Sim_Output[OUTPUT],"PRICE_0")-1</f>
        <v>-0.55555555555555558</v>
      </c>
      <c r="K380" s="4">
        <f ca="1">IF(Sim_Output[[#This Row],[OUTPUT]]="PRICE_0",0,_xlfn.RANK.EQ(Sim_Output[[#This Row],[WTD_RET]],OFFSET(Sim_Output[[#This Row],[WTD_RET]],-Sim_Output[[#This Row],[OBS]]+1,0,12)))</f>
        <v>12</v>
      </c>
      <c r="L380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-1.561801148672874</v>
      </c>
      <c r="M380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</v>
      </c>
      <c r="N380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-9.0909090909090939E-2</v>
      </c>
    </row>
    <row r="381" spans="2:14" x14ac:dyDescent="0.25">
      <c r="B381">
        <v>3</v>
      </c>
      <c r="C381">
        <v>10</v>
      </c>
      <c r="D381">
        <f>VALUE(RIGHT(Sim_Output[[#This Row],[OUTPUT]],LEN(Sim_Output[[#This Row],[OUTPUT]])-6))</f>
        <v>0</v>
      </c>
      <c r="E381">
        <v>0</v>
      </c>
      <c r="F381" t="str">
        <f>Sim_Output[[#This Row],[SIM_ID]]&amp;" - "&amp;Sim_Output[[#This Row],[WEEK]]&amp;" - "&amp;Sim_Output[[#This Row],[REGIME]]</f>
        <v>3 - 10 - 0</v>
      </c>
      <c r="G381" t="s">
        <v>44</v>
      </c>
      <c r="H381">
        <v>93</v>
      </c>
      <c r="I381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381" s="7">
        <f>Sim_Output[[#This Row],[VALUE]]/SUMIFS(Sim_Output[VALUE],Sim_Output[SIM_ID],Sim_Output[[#This Row],[SIM_ID]],Sim_Output[WEEK],Sim_Output[[#This Row],[WEEK]],Sim_Output[OUTPUT],"PRICE_0")-1</f>
        <v>0</v>
      </c>
      <c r="K381" s="4">
        <f ca="1">IF(Sim_Output[[#This Row],[OUTPUT]]="PRICE_0",0,_xlfn.RANK.EQ(Sim_Output[[#This Row],[WTD_RET]],OFFSET(Sim_Output[[#This Row],[WTD_RET]],-Sim_Output[[#This Row],[OBS]]+1,0,12)))</f>
        <v>0</v>
      </c>
      <c r="L381" s="3" t="str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/>
      </c>
      <c r="M381" s="3" t="str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/>
      </c>
      <c r="N381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</v>
      </c>
    </row>
    <row r="382" spans="2:14" x14ac:dyDescent="0.25">
      <c r="B382">
        <v>3</v>
      </c>
      <c r="C382">
        <v>10</v>
      </c>
      <c r="D382">
        <f>VALUE(RIGHT(Sim_Output[[#This Row],[OUTPUT]],LEN(Sim_Output[[#This Row],[OUTPUT]])-6))</f>
        <v>1</v>
      </c>
      <c r="E382">
        <v>0</v>
      </c>
      <c r="F382" t="str">
        <f>Sim_Output[[#This Row],[SIM_ID]]&amp;" - "&amp;Sim_Output[[#This Row],[WEEK]]&amp;" - "&amp;Sim_Output[[#This Row],[REGIME]]</f>
        <v>3 - 10 - 0</v>
      </c>
      <c r="G382" t="s">
        <v>45</v>
      </c>
      <c r="H382">
        <v>117</v>
      </c>
      <c r="I382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382" s="7">
        <f>Sim_Output[[#This Row],[VALUE]]/SUMIFS(Sim_Output[VALUE],Sim_Output[SIM_ID],Sim_Output[[#This Row],[SIM_ID]],Sim_Output[WEEK],Sim_Output[[#This Row],[WEEK]],Sim_Output[OUTPUT],"PRICE_0")-1</f>
        <v>0.25806451612903225</v>
      </c>
      <c r="K382" s="4">
        <f ca="1">IF(Sim_Output[[#This Row],[OUTPUT]]="PRICE_0",0,_xlfn.RANK.EQ(Sim_Output[[#This Row],[WTD_RET]],OFFSET(Sim_Output[[#This Row],[WTD_RET]],-Sim_Output[[#This Row],[OBS]]+1,0,12)))</f>
        <v>2</v>
      </c>
      <c r="L382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1.2018765820771053</v>
      </c>
      <c r="M382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0.88405797101449279</v>
      </c>
      <c r="N382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0.25806451612903225</v>
      </c>
    </row>
    <row r="383" spans="2:14" x14ac:dyDescent="0.25">
      <c r="B383">
        <v>3</v>
      </c>
      <c r="C383">
        <v>10</v>
      </c>
      <c r="D383">
        <f>VALUE(RIGHT(Sim_Output[[#This Row],[OUTPUT]],LEN(Sim_Output[[#This Row],[OUTPUT]])-6))</f>
        <v>2</v>
      </c>
      <c r="E383">
        <v>0</v>
      </c>
      <c r="F383" t="str">
        <f>Sim_Output[[#This Row],[SIM_ID]]&amp;" - "&amp;Sim_Output[[#This Row],[WEEK]]&amp;" - "&amp;Sim_Output[[#This Row],[REGIME]]</f>
        <v>3 - 10 - 0</v>
      </c>
      <c r="G383" t="s">
        <v>46</v>
      </c>
      <c r="H383">
        <v>106</v>
      </c>
      <c r="I383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383" s="7">
        <f>Sim_Output[[#This Row],[VALUE]]/SUMIFS(Sim_Output[VALUE],Sim_Output[SIM_ID],Sim_Output[[#This Row],[SIM_ID]],Sim_Output[WEEK],Sim_Output[[#This Row],[WEEK]],Sim_Output[OUTPUT],"PRICE_0")-1</f>
        <v>0.13978494623655924</v>
      </c>
      <c r="K383" s="4">
        <f ca="1">IF(Sim_Output[[#This Row],[OUTPUT]]="PRICE_0",0,_xlfn.RANK.EQ(Sim_Output[[#This Row],[WTD_RET]],OFFSET(Sim_Output[[#This Row],[WTD_RET]],-Sim_Output[[#This Row],[OBS]]+1,0,12)))</f>
        <v>4</v>
      </c>
      <c r="L383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0.7537192124890324</v>
      </c>
      <c r="M383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0.72463768115942051</v>
      </c>
      <c r="N383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-9.4017094017094016E-2</v>
      </c>
    </row>
    <row r="384" spans="2:14" x14ac:dyDescent="0.25">
      <c r="B384">
        <v>3</v>
      </c>
      <c r="C384">
        <v>10</v>
      </c>
      <c r="D384">
        <f>VALUE(RIGHT(Sim_Output[[#This Row],[OUTPUT]],LEN(Sim_Output[[#This Row],[OUTPUT]])-6))</f>
        <v>3</v>
      </c>
      <c r="E384">
        <v>0</v>
      </c>
      <c r="F384" t="str">
        <f>Sim_Output[[#This Row],[SIM_ID]]&amp;" - "&amp;Sim_Output[[#This Row],[WEEK]]&amp;" - "&amp;Sim_Output[[#This Row],[REGIME]]</f>
        <v>3 - 10 - 0</v>
      </c>
      <c r="G384" t="s">
        <v>47</v>
      </c>
      <c r="H384">
        <v>84</v>
      </c>
      <c r="I384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384" s="7">
        <f>Sim_Output[[#This Row],[VALUE]]/SUMIFS(Sim_Output[VALUE],Sim_Output[SIM_ID],Sim_Output[[#This Row],[SIM_ID]],Sim_Output[WEEK],Sim_Output[[#This Row],[WEEK]],Sim_Output[OUTPUT],"PRICE_0")-1</f>
        <v>-9.6774193548387122E-2</v>
      </c>
      <c r="K384" s="4">
        <f ca="1">IF(Sim_Output[[#This Row],[OUTPUT]]="PRICE_0",0,_xlfn.RANK.EQ(Sim_Output[[#This Row],[WTD_RET]],OFFSET(Sim_Output[[#This Row],[WTD_RET]],-Sim_Output[[#This Row],[OBS]]+1,0,12)))</f>
        <v>7</v>
      </c>
      <c r="L384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-0.14259552668711434</v>
      </c>
      <c r="M384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0.40579710144927533</v>
      </c>
      <c r="N384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-0.20754716981132071</v>
      </c>
    </row>
    <row r="385" spans="2:14" x14ac:dyDescent="0.25">
      <c r="B385">
        <v>3</v>
      </c>
      <c r="C385">
        <v>10</v>
      </c>
      <c r="D385">
        <f>VALUE(RIGHT(Sim_Output[[#This Row],[OUTPUT]],LEN(Sim_Output[[#This Row],[OUTPUT]])-6))</f>
        <v>4</v>
      </c>
      <c r="E385">
        <v>0</v>
      </c>
      <c r="F385" t="str">
        <f>Sim_Output[[#This Row],[SIM_ID]]&amp;" - "&amp;Sim_Output[[#This Row],[WEEK]]&amp;" - "&amp;Sim_Output[[#This Row],[REGIME]]</f>
        <v>3 - 10 - 0</v>
      </c>
      <c r="G385" t="s">
        <v>48</v>
      </c>
      <c r="H385">
        <v>105</v>
      </c>
      <c r="I385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385" s="7">
        <f>Sim_Output[[#This Row],[VALUE]]/SUMIFS(Sim_Output[VALUE],Sim_Output[SIM_ID],Sim_Output[[#This Row],[SIM_ID]],Sim_Output[WEEK],Sim_Output[[#This Row],[WEEK]],Sim_Output[OUTPUT],"PRICE_0")-1</f>
        <v>0.12903225806451624</v>
      </c>
      <c r="K385" s="4">
        <f ca="1">IF(Sim_Output[[#This Row],[OUTPUT]]="PRICE_0",0,_xlfn.RANK.EQ(Sim_Output[[#This Row],[WTD_RET]],OFFSET(Sim_Output[[#This Row],[WTD_RET]],-Sim_Output[[#This Row],[OBS]]+1,0,12)))</f>
        <v>5</v>
      </c>
      <c r="L385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0.7129776334355713</v>
      </c>
      <c r="M385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0.71014492753623215</v>
      </c>
      <c r="N385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0.25</v>
      </c>
    </row>
    <row r="386" spans="2:14" x14ac:dyDescent="0.25">
      <c r="B386">
        <v>3</v>
      </c>
      <c r="C386">
        <v>10</v>
      </c>
      <c r="D386">
        <f>VALUE(RIGHT(Sim_Output[[#This Row],[OUTPUT]],LEN(Sim_Output[[#This Row],[OUTPUT]])-6))</f>
        <v>5</v>
      </c>
      <c r="E386">
        <v>0</v>
      </c>
      <c r="F386" t="str">
        <f>Sim_Output[[#This Row],[SIM_ID]]&amp;" - "&amp;Sim_Output[[#This Row],[WEEK]]&amp;" - "&amp;Sim_Output[[#This Row],[REGIME]]</f>
        <v>3 - 10 - 0</v>
      </c>
      <c r="G386" t="s">
        <v>49</v>
      </c>
      <c r="H386">
        <v>108</v>
      </c>
      <c r="I386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386" s="7">
        <f>Sim_Output[[#This Row],[VALUE]]/SUMIFS(Sim_Output[VALUE],Sim_Output[SIM_ID],Sim_Output[[#This Row],[SIM_ID]],Sim_Output[WEEK],Sim_Output[[#This Row],[WEEK]],Sim_Output[OUTPUT],"PRICE_0")-1</f>
        <v>0.16129032258064524</v>
      </c>
      <c r="K386" s="4">
        <f ca="1">IF(Sim_Output[[#This Row],[OUTPUT]]="PRICE_0",0,_xlfn.RANK.EQ(Sim_Output[[#This Row],[WTD_RET]],OFFSET(Sim_Output[[#This Row],[WTD_RET]],-Sim_Output[[#This Row],[OBS]]+1,0,12)))</f>
        <v>3</v>
      </c>
      <c r="L386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0.8352023705959547</v>
      </c>
      <c r="M386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0.75362318840579734</v>
      </c>
      <c r="N386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2.857142857142847E-2</v>
      </c>
    </row>
    <row r="387" spans="2:14" x14ac:dyDescent="0.25">
      <c r="B387">
        <v>3</v>
      </c>
      <c r="C387">
        <v>10</v>
      </c>
      <c r="D387">
        <f>VALUE(RIGHT(Sim_Output[[#This Row],[OUTPUT]],LEN(Sim_Output[[#This Row],[OUTPUT]])-6))</f>
        <v>6</v>
      </c>
      <c r="E387">
        <v>0</v>
      </c>
      <c r="F387" t="str">
        <f>Sim_Output[[#This Row],[SIM_ID]]&amp;" - "&amp;Sim_Output[[#This Row],[WEEK]]&amp;" - "&amp;Sim_Output[[#This Row],[REGIME]]</f>
        <v>3 - 10 - 0</v>
      </c>
      <c r="G387" t="s">
        <v>50</v>
      </c>
      <c r="H387">
        <v>67</v>
      </c>
      <c r="I387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387" s="7">
        <f>Sim_Output[[#This Row],[VALUE]]/SUMIFS(Sim_Output[VALUE],Sim_Output[SIM_ID],Sim_Output[[#This Row],[SIM_ID]],Sim_Output[WEEK],Sim_Output[[#This Row],[WEEK]],Sim_Output[OUTPUT],"PRICE_0")-1</f>
        <v>-0.27956989247311825</v>
      </c>
      <c r="K387" s="4">
        <f ca="1">IF(Sim_Output[[#This Row],[OUTPUT]]="PRICE_0",0,_xlfn.RANK.EQ(Sim_Output[[#This Row],[WTD_RET]],OFFSET(Sim_Output[[#This Row],[WTD_RET]],-Sim_Output[[#This Row],[OBS]]+1,0,12)))</f>
        <v>8</v>
      </c>
      <c r="L387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-0.83520237059595448</v>
      </c>
      <c r="M387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0.15942028985507251</v>
      </c>
      <c r="N387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-0.37962962962962965</v>
      </c>
    </row>
    <row r="388" spans="2:14" x14ac:dyDescent="0.25">
      <c r="B388">
        <v>3</v>
      </c>
      <c r="C388">
        <v>10</v>
      </c>
      <c r="D388">
        <f>VALUE(RIGHT(Sim_Output[[#This Row],[OUTPUT]],LEN(Sim_Output[[#This Row],[OUTPUT]])-6))</f>
        <v>7</v>
      </c>
      <c r="E388">
        <v>0</v>
      </c>
      <c r="F388" t="str">
        <f>Sim_Output[[#This Row],[SIM_ID]]&amp;" - "&amp;Sim_Output[[#This Row],[WEEK]]&amp;" - "&amp;Sim_Output[[#This Row],[REGIME]]</f>
        <v>3 - 10 - 0</v>
      </c>
      <c r="G388" t="s">
        <v>51</v>
      </c>
      <c r="H388">
        <v>60</v>
      </c>
      <c r="I388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388" s="7">
        <f>Sim_Output[[#This Row],[VALUE]]/SUMIFS(Sim_Output[VALUE],Sim_Output[SIM_ID],Sim_Output[[#This Row],[SIM_ID]],Sim_Output[WEEK],Sim_Output[[#This Row],[WEEK]],Sim_Output[OUTPUT],"PRICE_0")-1</f>
        <v>-0.35483870967741937</v>
      </c>
      <c r="K388" s="4">
        <f ca="1">IF(Sim_Output[[#This Row],[OUTPUT]]="PRICE_0",0,_xlfn.RANK.EQ(Sim_Output[[#This Row],[WTD_RET]],OFFSET(Sim_Output[[#This Row],[WTD_RET]],-Sim_Output[[#This Row],[OBS]]+1,0,12)))</f>
        <v>11</v>
      </c>
      <c r="L388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-1.1203934239701829</v>
      </c>
      <c r="M388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5.7971014492753582E-2</v>
      </c>
      <c r="N388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-0.10447761194029848</v>
      </c>
    </row>
    <row r="389" spans="2:14" x14ac:dyDescent="0.25">
      <c r="B389">
        <v>3</v>
      </c>
      <c r="C389">
        <v>10</v>
      </c>
      <c r="D389">
        <f>VALUE(RIGHT(Sim_Output[[#This Row],[OUTPUT]],LEN(Sim_Output[[#This Row],[OUTPUT]])-6))</f>
        <v>8</v>
      </c>
      <c r="E389">
        <v>0</v>
      </c>
      <c r="F389" t="str">
        <f>Sim_Output[[#This Row],[SIM_ID]]&amp;" - "&amp;Sim_Output[[#This Row],[WEEK]]&amp;" - "&amp;Sim_Output[[#This Row],[REGIME]]</f>
        <v>3 - 10 - 0</v>
      </c>
      <c r="G389" t="s">
        <v>52</v>
      </c>
      <c r="H389">
        <v>56</v>
      </c>
      <c r="I389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389" s="7">
        <f>Sim_Output[[#This Row],[VALUE]]/SUMIFS(Sim_Output[VALUE],Sim_Output[SIM_ID],Sim_Output[[#This Row],[SIM_ID]],Sim_Output[WEEK],Sim_Output[[#This Row],[WEEK]],Sim_Output[OUTPUT],"PRICE_0")-1</f>
        <v>-0.39784946236559138</v>
      </c>
      <c r="K389" s="4">
        <f ca="1">IF(Sim_Output[[#This Row],[OUTPUT]]="PRICE_0",0,_xlfn.RANK.EQ(Sim_Output[[#This Row],[WTD_RET]],OFFSET(Sim_Output[[#This Row],[WTD_RET]],-Sim_Output[[#This Row],[OBS]]+1,0,12)))</f>
        <v>12</v>
      </c>
      <c r="L389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-1.2833597401840275</v>
      </c>
      <c r="M389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</v>
      </c>
      <c r="N389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-6.6666666666666652E-2</v>
      </c>
    </row>
    <row r="390" spans="2:14" x14ac:dyDescent="0.25">
      <c r="B390">
        <v>3</v>
      </c>
      <c r="C390">
        <v>10</v>
      </c>
      <c r="D390">
        <f>VALUE(RIGHT(Sim_Output[[#This Row],[OUTPUT]],LEN(Sim_Output[[#This Row],[OUTPUT]])-6))</f>
        <v>9</v>
      </c>
      <c r="E390">
        <v>0</v>
      </c>
      <c r="F390" t="str">
        <f>Sim_Output[[#This Row],[SIM_ID]]&amp;" - "&amp;Sim_Output[[#This Row],[WEEK]]&amp;" - "&amp;Sim_Output[[#This Row],[REGIME]]</f>
        <v>3 - 10 - 0</v>
      </c>
      <c r="G390" t="s">
        <v>53</v>
      </c>
      <c r="H390">
        <v>125</v>
      </c>
      <c r="I390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390" s="7">
        <f>Sim_Output[[#This Row],[VALUE]]/SUMIFS(Sim_Output[VALUE],Sim_Output[SIM_ID],Sim_Output[[#This Row],[SIM_ID]],Sim_Output[WEEK],Sim_Output[[#This Row],[WEEK]],Sim_Output[OUTPUT],"PRICE_0")-1</f>
        <v>0.34408602150537626</v>
      </c>
      <c r="K390" s="4">
        <f ca="1">IF(Sim_Output[[#This Row],[OUTPUT]]="PRICE_0",0,_xlfn.RANK.EQ(Sim_Output[[#This Row],[WTD_RET]],OFFSET(Sim_Output[[#This Row],[WTD_RET]],-Sim_Output[[#This Row],[OBS]]+1,0,12)))</f>
        <v>1</v>
      </c>
      <c r="L390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1.5278092145047946</v>
      </c>
      <c r="M390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1</v>
      </c>
      <c r="N390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1.2321428571428572</v>
      </c>
    </row>
    <row r="391" spans="2:14" x14ac:dyDescent="0.25">
      <c r="B391">
        <v>3</v>
      </c>
      <c r="C391">
        <v>10</v>
      </c>
      <c r="D391">
        <f>VALUE(RIGHT(Sim_Output[[#This Row],[OUTPUT]],LEN(Sim_Output[[#This Row],[OUTPUT]])-6))</f>
        <v>10</v>
      </c>
      <c r="E391">
        <v>0</v>
      </c>
      <c r="F391" t="str">
        <f>Sim_Output[[#This Row],[SIM_ID]]&amp;" - "&amp;Sim_Output[[#This Row],[WEEK]]&amp;" - "&amp;Sim_Output[[#This Row],[REGIME]]</f>
        <v>3 - 10 - 0</v>
      </c>
      <c r="G391" t="s">
        <v>54</v>
      </c>
      <c r="H391">
        <v>93</v>
      </c>
      <c r="I391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391" s="7">
        <f>Sim_Output[[#This Row],[VALUE]]/SUMIFS(Sim_Output[VALUE],Sim_Output[SIM_ID],Sim_Output[[#This Row],[SIM_ID]],Sim_Output[WEEK],Sim_Output[[#This Row],[WEEK]],Sim_Output[OUTPUT],"PRICE_0")-1</f>
        <v>0</v>
      </c>
      <c r="K391" s="4">
        <f ca="1">IF(Sim_Output[[#This Row],[OUTPUT]]="PRICE_0",0,_xlfn.RANK.EQ(Sim_Output[[#This Row],[WTD_RET]],OFFSET(Sim_Output[[#This Row],[WTD_RET]],-Sim_Output[[#This Row],[OBS]]+1,0,12)))</f>
        <v>6</v>
      </c>
      <c r="L391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0.2240786847940365</v>
      </c>
      <c r="M391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0.53623188405797106</v>
      </c>
      <c r="N391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-0.25600000000000001</v>
      </c>
    </row>
    <row r="392" spans="2:14" x14ac:dyDescent="0.25">
      <c r="B392">
        <v>3</v>
      </c>
      <c r="C392">
        <v>10</v>
      </c>
      <c r="D392">
        <f>VALUE(RIGHT(Sim_Output[[#This Row],[OUTPUT]],LEN(Sim_Output[[#This Row],[OUTPUT]])-6))</f>
        <v>11</v>
      </c>
      <c r="E392">
        <v>0</v>
      </c>
      <c r="F392" t="str">
        <f>Sim_Output[[#This Row],[SIM_ID]]&amp;" - "&amp;Sim_Output[[#This Row],[WEEK]]&amp;" - "&amp;Sim_Output[[#This Row],[REGIME]]</f>
        <v>3 - 10 - 0</v>
      </c>
      <c r="G392" t="s">
        <v>55</v>
      </c>
      <c r="H392">
        <v>67</v>
      </c>
      <c r="I392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392" s="7">
        <f>Sim_Output[[#This Row],[VALUE]]/SUMIFS(Sim_Output[VALUE],Sim_Output[SIM_ID],Sim_Output[[#This Row],[SIM_ID]],Sim_Output[WEEK],Sim_Output[[#This Row],[WEEK]],Sim_Output[OUTPUT],"PRICE_0")-1</f>
        <v>-0.27956989247311825</v>
      </c>
      <c r="K392" s="4">
        <f ca="1">IF(Sim_Output[[#This Row],[OUTPUT]]="PRICE_0",0,_xlfn.RANK.EQ(Sim_Output[[#This Row],[WTD_RET]],OFFSET(Sim_Output[[#This Row],[WTD_RET]],-Sim_Output[[#This Row],[OBS]]+1,0,12)))</f>
        <v>8</v>
      </c>
      <c r="L392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-0.83520237059595448</v>
      </c>
      <c r="M392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0.15942028985507251</v>
      </c>
      <c r="N392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-0.27956989247311825</v>
      </c>
    </row>
    <row r="393" spans="2:14" x14ac:dyDescent="0.25">
      <c r="B393">
        <v>3</v>
      </c>
      <c r="C393">
        <v>10</v>
      </c>
      <c r="D393">
        <f>VALUE(RIGHT(Sim_Output[[#This Row],[OUTPUT]],LEN(Sim_Output[[#This Row],[OUTPUT]])-6))</f>
        <v>12</v>
      </c>
      <c r="E393">
        <v>0</v>
      </c>
      <c r="F393" t="str">
        <f>Sim_Output[[#This Row],[SIM_ID]]&amp;" - "&amp;Sim_Output[[#This Row],[WEEK]]&amp;" - "&amp;Sim_Output[[#This Row],[REGIME]]</f>
        <v>3 - 10 - 0</v>
      </c>
      <c r="G393" t="s">
        <v>56</v>
      </c>
      <c r="H393">
        <v>62</v>
      </c>
      <c r="I393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393" s="7">
        <f>Sim_Output[[#This Row],[VALUE]]/SUMIFS(Sim_Output[VALUE],Sim_Output[SIM_ID],Sim_Output[[#This Row],[SIM_ID]],Sim_Output[WEEK],Sim_Output[[#This Row],[WEEK]],Sim_Output[OUTPUT],"PRICE_0")-1</f>
        <v>-0.33333333333333337</v>
      </c>
      <c r="K393" s="4">
        <f ca="1">IF(Sim_Output[[#This Row],[OUTPUT]]="PRICE_0",0,_xlfn.RANK.EQ(Sim_Output[[#This Row],[WTD_RET]],OFFSET(Sim_Output[[#This Row],[WTD_RET]],-Sim_Output[[#This Row],[OBS]]+1,0,12)))</f>
        <v>10</v>
      </c>
      <c r="L393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-1.0389102658632607</v>
      </c>
      <c r="M393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8.6956521739130363E-2</v>
      </c>
      <c r="N393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-7.4626865671641784E-2</v>
      </c>
    </row>
    <row r="394" spans="2:14" x14ac:dyDescent="0.25">
      <c r="B394">
        <v>4</v>
      </c>
      <c r="C394">
        <v>1</v>
      </c>
      <c r="D394">
        <f>VALUE(RIGHT(Sim_Output[[#This Row],[OUTPUT]],LEN(Sim_Output[[#This Row],[OUTPUT]])-6))</f>
        <v>0</v>
      </c>
      <c r="E394">
        <v>3</v>
      </c>
      <c r="F394" t="str">
        <f>Sim_Output[[#This Row],[SIM_ID]]&amp;" - "&amp;Sim_Output[[#This Row],[WEEK]]&amp;" - "&amp;Sim_Output[[#This Row],[REGIME]]</f>
        <v>4 - 1 - 3</v>
      </c>
      <c r="G394" t="s">
        <v>44</v>
      </c>
      <c r="H394">
        <v>102</v>
      </c>
      <c r="I394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394" s="7">
        <f>Sim_Output[[#This Row],[VALUE]]/SUMIFS(Sim_Output[VALUE],Sim_Output[SIM_ID],Sim_Output[[#This Row],[SIM_ID]],Sim_Output[WEEK],Sim_Output[[#This Row],[WEEK]],Sim_Output[OUTPUT],"PRICE_0")-1</f>
        <v>0</v>
      </c>
      <c r="K394" s="4">
        <f ca="1">IF(Sim_Output[[#This Row],[OUTPUT]]="PRICE_0",0,_xlfn.RANK.EQ(Sim_Output[[#This Row],[WTD_RET]],OFFSET(Sim_Output[[#This Row],[WTD_RET]],-Sim_Output[[#This Row],[OBS]]+1,0,12)))</f>
        <v>0</v>
      </c>
      <c r="L394" s="3" t="str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/>
      </c>
      <c r="M394" s="3" t="str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/>
      </c>
      <c r="N394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</v>
      </c>
    </row>
    <row r="395" spans="2:14" x14ac:dyDescent="0.25">
      <c r="B395">
        <v>4</v>
      </c>
      <c r="C395">
        <v>1</v>
      </c>
      <c r="D395">
        <f>VALUE(RIGHT(Sim_Output[[#This Row],[OUTPUT]],LEN(Sim_Output[[#This Row],[OUTPUT]])-6))</f>
        <v>1</v>
      </c>
      <c r="E395">
        <v>3</v>
      </c>
      <c r="F395" t="str">
        <f>Sim_Output[[#This Row],[SIM_ID]]&amp;" - "&amp;Sim_Output[[#This Row],[WEEK]]&amp;" - "&amp;Sim_Output[[#This Row],[REGIME]]</f>
        <v>4 - 1 - 3</v>
      </c>
      <c r="G395" t="s">
        <v>45</v>
      </c>
      <c r="H395">
        <v>88</v>
      </c>
      <c r="I395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395" s="7">
        <f>Sim_Output[[#This Row],[VALUE]]/SUMIFS(Sim_Output[VALUE],Sim_Output[SIM_ID],Sim_Output[[#This Row],[SIM_ID]],Sim_Output[WEEK],Sim_Output[[#This Row],[WEEK]],Sim_Output[OUTPUT],"PRICE_0")-1</f>
        <v>-0.13725490196078427</v>
      </c>
      <c r="K395" s="4">
        <f ca="1">IF(Sim_Output[[#This Row],[OUTPUT]]="PRICE_0",0,_xlfn.RANK.EQ(Sim_Output[[#This Row],[WTD_RET]],OFFSET(Sim_Output[[#This Row],[WTD_RET]],-Sim_Output[[#This Row],[OBS]]+1,0,12)))</f>
        <v>4</v>
      </c>
      <c r="L395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4.2840128003378247E-2</v>
      </c>
      <c r="M395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0.36936936936936943</v>
      </c>
      <c r="N395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-0.13725490196078427</v>
      </c>
    </row>
    <row r="396" spans="2:14" x14ac:dyDescent="0.25">
      <c r="B396">
        <v>4</v>
      </c>
      <c r="C396">
        <v>1</v>
      </c>
      <c r="D396">
        <f>VALUE(RIGHT(Sim_Output[[#This Row],[OUTPUT]],LEN(Sim_Output[[#This Row],[OUTPUT]])-6))</f>
        <v>2</v>
      </c>
      <c r="E396">
        <v>3</v>
      </c>
      <c r="F396" t="str">
        <f>Sim_Output[[#This Row],[SIM_ID]]&amp;" - "&amp;Sim_Output[[#This Row],[WEEK]]&amp;" - "&amp;Sim_Output[[#This Row],[REGIME]]</f>
        <v>4 - 1 - 3</v>
      </c>
      <c r="G396" t="s">
        <v>46</v>
      </c>
      <c r="H396">
        <v>132</v>
      </c>
      <c r="I396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396" s="7">
        <f>Sim_Output[[#This Row],[VALUE]]/SUMIFS(Sim_Output[VALUE],Sim_Output[SIM_ID],Sim_Output[[#This Row],[SIM_ID]],Sim_Output[WEEK],Sim_Output[[#This Row],[WEEK]],Sim_Output[OUTPUT],"PRICE_0")-1</f>
        <v>0.29411764705882359</v>
      </c>
      <c r="K396" s="4">
        <f ca="1">IF(Sim_Output[[#This Row],[OUTPUT]]="PRICE_0",0,_xlfn.RANK.EQ(Sim_Output[[#This Row],[WTD_RET]],OFFSET(Sim_Output[[#This Row],[WTD_RET]],-Sim_Output[[#This Row],[OBS]]+1,0,12)))</f>
        <v>2</v>
      </c>
      <c r="L396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1.3734041036377085</v>
      </c>
      <c r="M396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0.76576576576576583</v>
      </c>
      <c r="N396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0.5</v>
      </c>
    </row>
    <row r="397" spans="2:14" x14ac:dyDescent="0.25">
      <c r="B397">
        <v>4</v>
      </c>
      <c r="C397">
        <v>1</v>
      </c>
      <c r="D397">
        <f>VALUE(RIGHT(Sim_Output[[#This Row],[OUTPUT]],LEN(Sim_Output[[#This Row],[OUTPUT]])-6))</f>
        <v>3</v>
      </c>
      <c r="E397">
        <v>3</v>
      </c>
      <c r="F397" t="str">
        <f>Sim_Output[[#This Row],[SIM_ID]]&amp;" - "&amp;Sim_Output[[#This Row],[WEEK]]&amp;" - "&amp;Sim_Output[[#This Row],[REGIME]]</f>
        <v>4 - 1 - 3</v>
      </c>
      <c r="G397" t="s">
        <v>47</v>
      </c>
      <c r="H397">
        <v>112</v>
      </c>
      <c r="I397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397" s="7">
        <f>Sim_Output[[#This Row],[VALUE]]/SUMIFS(Sim_Output[VALUE],Sim_Output[SIM_ID],Sim_Output[[#This Row],[SIM_ID]],Sim_Output[WEEK],Sim_Output[[#This Row],[WEEK]],Sim_Output[OUTPUT],"PRICE_0")-1</f>
        <v>9.8039215686274606E-2</v>
      </c>
      <c r="K397" s="4">
        <f ca="1">IF(Sim_Output[[#This Row],[OUTPUT]]="PRICE_0",0,_xlfn.RANK.EQ(Sim_Output[[#This Row],[WTD_RET]],OFFSET(Sim_Output[[#This Row],[WTD_RET]],-Sim_Output[[#This Row],[OBS]]+1,0,12)))</f>
        <v>3</v>
      </c>
      <c r="L397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0.76860229653119494</v>
      </c>
      <c r="M397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0.58558558558558571</v>
      </c>
      <c r="N397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-0.15151515151515149</v>
      </c>
    </row>
    <row r="398" spans="2:14" x14ac:dyDescent="0.25">
      <c r="B398">
        <v>4</v>
      </c>
      <c r="C398">
        <v>1</v>
      </c>
      <c r="D398">
        <f>VALUE(RIGHT(Sim_Output[[#This Row],[OUTPUT]],LEN(Sim_Output[[#This Row],[OUTPUT]])-6))</f>
        <v>4</v>
      </c>
      <c r="E398">
        <v>3</v>
      </c>
      <c r="F398" t="str">
        <f>Sim_Output[[#This Row],[SIM_ID]]&amp;" - "&amp;Sim_Output[[#This Row],[WEEK]]&amp;" - "&amp;Sim_Output[[#This Row],[REGIME]]</f>
        <v>4 - 1 - 3</v>
      </c>
      <c r="G398" t="s">
        <v>48</v>
      </c>
      <c r="H398">
        <v>47</v>
      </c>
      <c r="I398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398" s="7">
        <f>Sim_Output[[#This Row],[VALUE]]/SUMIFS(Sim_Output[VALUE],Sim_Output[SIM_ID],Sim_Output[[#This Row],[SIM_ID]],Sim_Output[WEEK],Sim_Output[[#This Row],[WEEK]],Sim_Output[OUTPUT],"PRICE_0")-1</f>
        <v>-0.53921568627450989</v>
      </c>
      <c r="K398" s="4">
        <f ca="1">IF(Sim_Output[[#This Row],[OUTPUT]]="PRICE_0",0,_xlfn.RANK.EQ(Sim_Output[[#This Row],[WTD_RET]],OFFSET(Sim_Output[[#This Row],[WTD_RET]],-Sim_Output[[#This Row],[OBS]]+1,0,12)))</f>
        <v>11</v>
      </c>
      <c r="L398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-1.1970035765649754</v>
      </c>
      <c r="M398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</v>
      </c>
      <c r="N398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-0.58035714285714279</v>
      </c>
    </row>
    <row r="399" spans="2:14" x14ac:dyDescent="0.25">
      <c r="B399">
        <v>4</v>
      </c>
      <c r="C399">
        <v>1</v>
      </c>
      <c r="D399">
        <f>VALUE(RIGHT(Sim_Output[[#This Row],[OUTPUT]],LEN(Sim_Output[[#This Row],[OUTPUT]])-6))</f>
        <v>5</v>
      </c>
      <c r="E399">
        <v>3</v>
      </c>
      <c r="F399" t="str">
        <f>Sim_Output[[#This Row],[SIM_ID]]&amp;" - "&amp;Sim_Output[[#This Row],[WEEK]]&amp;" - "&amp;Sim_Output[[#This Row],[REGIME]]</f>
        <v>4 - 1 - 3</v>
      </c>
      <c r="G399" t="s">
        <v>49</v>
      </c>
      <c r="H399">
        <v>158</v>
      </c>
      <c r="I399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399" s="7">
        <f>Sim_Output[[#This Row],[VALUE]]/SUMIFS(Sim_Output[VALUE],Sim_Output[SIM_ID],Sim_Output[[#This Row],[SIM_ID]],Sim_Output[WEEK],Sim_Output[[#This Row],[WEEK]],Sim_Output[OUTPUT],"PRICE_0")-1</f>
        <v>0.5490196078431373</v>
      </c>
      <c r="K399" s="4">
        <f ca="1">IF(Sim_Output[[#This Row],[OUTPUT]]="PRICE_0",0,_xlfn.RANK.EQ(Sim_Output[[#This Row],[WTD_RET]],OFFSET(Sim_Output[[#This Row],[WTD_RET]],-Sim_Output[[#This Row],[OBS]]+1,0,12)))</f>
        <v>1</v>
      </c>
      <c r="L399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2.1596464528761765</v>
      </c>
      <c r="M399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1</v>
      </c>
      <c r="N399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2.3617021276595747</v>
      </c>
    </row>
    <row r="400" spans="2:14" x14ac:dyDescent="0.25">
      <c r="B400">
        <v>4</v>
      </c>
      <c r="C400">
        <v>1</v>
      </c>
      <c r="D400">
        <f>VALUE(RIGHT(Sim_Output[[#This Row],[OUTPUT]],LEN(Sim_Output[[#This Row],[OUTPUT]])-6))</f>
        <v>6</v>
      </c>
      <c r="E400">
        <v>3</v>
      </c>
      <c r="F400" t="str">
        <f>Sim_Output[[#This Row],[SIM_ID]]&amp;" - "&amp;Sim_Output[[#This Row],[WEEK]]&amp;" - "&amp;Sim_Output[[#This Row],[REGIME]]</f>
        <v>4 - 1 - 3</v>
      </c>
      <c r="G400" t="s">
        <v>50</v>
      </c>
      <c r="H400">
        <v>47</v>
      </c>
      <c r="I400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400" s="7">
        <f>Sim_Output[[#This Row],[VALUE]]/SUMIFS(Sim_Output[VALUE],Sim_Output[SIM_ID],Sim_Output[[#This Row],[SIM_ID]],Sim_Output[WEEK],Sim_Output[[#This Row],[WEEK]],Sim_Output[OUTPUT],"PRICE_0")-1</f>
        <v>-0.53921568627450989</v>
      </c>
      <c r="K400" s="4">
        <f ca="1">IF(Sim_Output[[#This Row],[OUTPUT]]="PRICE_0",0,_xlfn.RANK.EQ(Sim_Output[[#This Row],[WTD_RET]],OFFSET(Sim_Output[[#This Row],[WTD_RET]],-Sim_Output[[#This Row],[OBS]]+1,0,12)))</f>
        <v>11</v>
      </c>
      <c r="L400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-1.1970035765649754</v>
      </c>
      <c r="M400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</v>
      </c>
      <c r="N400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-0.70253164556962022</v>
      </c>
    </row>
    <row r="401" spans="2:14" x14ac:dyDescent="0.25">
      <c r="B401">
        <v>4</v>
      </c>
      <c r="C401">
        <v>1</v>
      </c>
      <c r="D401">
        <f>VALUE(RIGHT(Sim_Output[[#This Row],[OUTPUT]],LEN(Sim_Output[[#This Row],[OUTPUT]])-6))</f>
        <v>7</v>
      </c>
      <c r="E401">
        <v>3</v>
      </c>
      <c r="F401" t="str">
        <f>Sim_Output[[#This Row],[SIM_ID]]&amp;" - "&amp;Sim_Output[[#This Row],[WEEK]]&amp;" - "&amp;Sim_Output[[#This Row],[REGIME]]</f>
        <v>4 - 1 - 3</v>
      </c>
      <c r="G401" t="s">
        <v>51</v>
      </c>
      <c r="H401">
        <v>88</v>
      </c>
      <c r="I401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401" s="7">
        <f>Sim_Output[[#This Row],[VALUE]]/SUMIFS(Sim_Output[VALUE],Sim_Output[SIM_ID],Sim_Output[[#This Row],[SIM_ID]],Sim_Output[WEEK],Sim_Output[[#This Row],[WEEK]],Sim_Output[OUTPUT],"PRICE_0")-1</f>
        <v>-0.13725490196078427</v>
      </c>
      <c r="K401" s="4">
        <f ca="1">IF(Sim_Output[[#This Row],[OUTPUT]]="PRICE_0",0,_xlfn.RANK.EQ(Sim_Output[[#This Row],[WTD_RET]],OFFSET(Sim_Output[[#This Row],[WTD_RET]],-Sim_Output[[#This Row],[OBS]]+1,0,12)))</f>
        <v>4</v>
      </c>
      <c r="L401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4.2840128003378247E-2</v>
      </c>
      <c r="M401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0.36936936936936943</v>
      </c>
      <c r="N401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0.87234042553191493</v>
      </c>
    </row>
    <row r="402" spans="2:14" x14ac:dyDescent="0.25">
      <c r="B402">
        <v>4</v>
      </c>
      <c r="C402">
        <v>1</v>
      </c>
      <c r="D402">
        <f>VALUE(RIGHT(Sim_Output[[#This Row],[OUTPUT]],LEN(Sim_Output[[#This Row],[OUTPUT]])-6))</f>
        <v>8</v>
      </c>
      <c r="E402">
        <v>3</v>
      </c>
      <c r="F402" t="str">
        <f>Sim_Output[[#This Row],[SIM_ID]]&amp;" - "&amp;Sim_Output[[#This Row],[WEEK]]&amp;" - "&amp;Sim_Output[[#This Row],[REGIME]]</f>
        <v>4 - 1 - 3</v>
      </c>
      <c r="G402" t="s">
        <v>52</v>
      </c>
      <c r="H402">
        <v>83</v>
      </c>
      <c r="I402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402" s="7">
        <f>Sim_Output[[#This Row],[VALUE]]/SUMIFS(Sim_Output[VALUE],Sim_Output[SIM_ID],Sim_Output[[#This Row],[SIM_ID]],Sim_Output[WEEK],Sim_Output[[#This Row],[WEEK]],Sim_Output[OUTPUT],"PRICE_0")-1</f>
        <v>-0.18627450980392157</v>
      </c>
      <c r="K402" s="4">
        <f ca="1">IF(Sim_Output[[#This Row],[OUTPUT]]="PRICE_0",0,_xlfn.RANK.EQ(Sim_Output[[#This Row],[WTD_RET]],OFFSET(Sim_Output[[#This Row],[WTD_RET]],-Sim_Output[[#This Row],[OBS]]+1,0,12)))</f>
        <v>6</v>
      </c>
      <c r="L402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-0.10836032377325033</v>
      </c>
      <c r="M402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0.32432432432432434</v>
      </c>
      <c r="N402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-5.6818181818181768E-2</v>
      </c>
    </row>
    <row r="403" spans="2:14" x14ac:dyDescent="0.25">
      <c r="B403">
        <v>4</v>
      </c>
      <c r="C403">
        <v>1</v>
      </c>
      <c r="D403">
        <f>VALUE(RIGHT(Sim_Output[[#This Row],[OUTPUT]],LEN(Sim_Output[[#This Row],[OUTPUT]])-6))</f>
        <v>9</v>
      </c>
      <c r="E403">
        <v>3</v>
      </c>
      <c r="F403" t="str">
        <f>Sim_Output[[#This Row],[SIM_ID]]&amp;" - "&amp;Sim_Output[[#This Row],[WEEK]]&amp;" - "&amp;Sim_Output[[#This Row],[REGIME]]</f>
        <v>4 - 1 - 3</v>
      </c>
      <c r="G403" t="s">
        <v>53</v>
      </c>
      <c r="H403">
        <v>78</v>
      </c>
      <c r="I403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403" s="7">
        <f>Sim_Output[[#This Row],[VALUE]]/SUMIFS(Sim_Output[VALUE],Sim_Output[SIM_ID],Sim_Output[[#This Row],[SIM_ID]],Sim_Output[WEEK],Sim_Output[[#This Row],[WEEK]],Sim_Output[OUTPUT],"PRICE_0")-1</f>
        <v>-0.23529411764705888</v>
      </c>
      <c r="K403" s="4">
        <f ca="1">IF(Sim_Output[[#This Row],[OUTPUT]]="PRICE_0",0,_xlfn.RANK.EQ(Sim_Output[[#This Row],[WTD_RET]],OFFSET(Sim_Output[[#This Row],[WTD_RET]],-Sim_Output[[#This Row],[OBS]]+1,0,12)))</f>
        <v>7</v>
      </c>
      <c r="L403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-0.25956077554987894</v>
      </c>
      <c r="M403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0.27927927927927926</v>
      </c>
      <c r="N403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-6.0240963855421659E-2</v>
      </c>
    </row>
    <row r="404" spans="2:14" x14ac:dyDescent="0.25">
      <c r="B404">
        <v>4</v>
      </c>
      <c r="C404">
        <v>1</v>
      </c>
      <c r="D404">
        <f>VALUE(RIGHT(Sim_Output[[#This Row],[OUTPUT]],LEN(Sim_Output[[#This Row],[OUTPUT]])-6))</f>
        <v>10</v>
      </c>
      <c r="E404">
        <v>3</v>
      </c>
      <c r="F404" t="str">
        <f>Sim_Output[[#This Row],[SIM_ID]]&amp;" - "&amp;Sim_Output[[#This Row],[WEEK]]&amp;" - "&amp;Sim_Output[[#This Row],[REGIME]]</f>
        <v>4 - 1 - 3</v>
      </c>
      <c r="G404" t="s">
        <v>54</v>
      </c>
      <c r="H404">
        <v>73</v>
      </c>
      <c r="I404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404" s="7">
        <f>Sim_Output[[#This Row],[VALUE]]/SUMIFS(Sim_Output[VALUE],Sim_Output[SIM_ID],Sim_Output[[#This Row],[SIM_ID]],Sim_Output[WEEK],Sim_Output[[#This Row],[WEEK]],Sim_Output[OUTPUT],"PRICE_0")-1</f>
        <v>-0.28431372549019607</v>
      </c>
      <c r="K404" s="4">
        <f ca="1">IF(Sim_Output[[#This Row],[OUTPUT]]="PRICE_0",0,_xlfn.RANK.EQ(Sim_Output[[#This Row],[WTD_RET]],OFFSET(Sim_Output[[#This Row],[WTD_RET]],-Sim_Output[[#This Row],[OBS]]+1,0,12)))</f>
        <v>8</v>
      </c>
      <c r="L404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-0.41076122732650716</v>
      </c>
      <c r="M404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0.23423423423423428</v>
      </c>
      <c r="N404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-6.4102564102564097E-2</v>
      </c>
    </row>
    <row r="405" spans="2:14" x14ac:dyDescent="0.25">
      <c r="B405">
        <v>4</v>
      </c>
      <c r="C405">
        <v>1</v>
      </c>
      <c r="D405">
        <f>VALUE(RIGHT(Sim_Output[[#This Row],[OUTPUT]],LEN(Sim_Output[[#This Row],[OUTPUT]])-6))</f>
        <v>11</v>
      </c>
      <c r="E405">
        <v>3</v>
      </c>
      <c r="F405" t="str">
        <f>Sim_Output[[#This Row],[SIM_ID]]&amp;" - "&amp;Sim_Output[[#This Row],[WEEK]]&amp;" - "&amp;Sim_Output[[#This Row],[REGIME]]</f>
        <v>4 - 1 - 3</v>
      </c>
      <c r="G405" t="s">
        <v>55</v>
      </c>
      <c r="H405">
        <v>68</v>
      </c>
      <c r="I405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405" s="7">
        <f>Sim_Output[[#This Row],[VALUE]]/SUMIFS(Sim_Output[VALUE],Sim_Output[SIM_ID],Sim_Output[[#This Row],[SIM_ID]],Sim_Output[WEEK],Sim_Output[[#This Row],[WEEK]],Sim_Output[OUTPUT],"PRICE_0")-1</f>
        <v>-0.33333333333333337</v>
      </c>
      <c r="K405" s="4">
        <f ca="1">IF(Sim_Output[[#This Row],[OUTPUT]]="PRICE_0",0,_xlfn.RANK.EQ(Sim_Output[[#This Row],[WTD_RET]],OFFSET(Sim_Output[[#This Row],[WTD_RET]],-Sim_Output[[#This Row],[OBS]]+1,0,12)))</f>
        <v>9</v>
      </c>
      <c r="L405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-0.56196167910313577</v>
      </c>
      <c r="M405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0.1891891891891892</v>
      </c>
      <c r="N405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-6.8493150684931559E-2</v>
      </c>
    </row>
    <row r="406" spans="2:14" x14ac:dyDescent="0.25">
      <c r="B406">
        <v>4</v>
      </c>
      <c r="C406">
        <v>1</v>
      </c>
      <c r="D406">
        <f>VALUE(RIGHT(Sim_Output[[#This Row],[OUTPUT]],LEN(Sim_Output[[#This Row],[OUTPUT]])-6))</f>
        <v>12</v>
      </c>
      <c r="E406">
        <v>3</v>
      </c>
      <c r="F406" t="str">
        <f>Sim_Output[[#This Row],[SIM_ID]]&amp;" - "&amp;Sim_Output[[#This Row],[WEEK]]&amp;" - "&amp;Sim_Output[[#This Row],[REGIME]]</f>
        <v>4 - 1 - 3</v>
      </c>
      <c r="G406" t="s">
        <v>56</v>
      </c>
      <c r="H406">
        <v>65</v>
      </c>
      <c r="I406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406" s="7">
        <f>Sim_Output[[#This Row],[VALUE]]/SUMIFS(Sim_Output[VALUE],Sim_Output[SIM_ID],Sim_Output[[#This Row],[SIM_ID]],Sim_Output[WEEK],Sim_Output[[#This Row],[WEEK]],Sim_Output[OUTPUT],"PRICE_0")-1</f>
        <v>-0.36274509803921573</v>
      </c>
      <c r="K406" s="4">
        <f ca="1">IF(Sim_Output[[#This Row],[OUTPUT]]="PRICE_0",0,_xlfn.RANK.EQ(Sim_Output[[#This Row],[WTD_RET]],OFFSET(Sim_Output[[#This Row],[WTD_RET]],-Sim_Output[[#This Row],[OBS]]+1,0,12)))</f>
        <v>10</v>
      </c>
      <c r="L406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-0.65268195016911279</v>
      </c>
      <c r="M406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0.16216216216216217</v>
      </c>
      <c r="N406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-4.4117647058823484E-2</v>
      </c>
    </row>
    <row r="407" spans="2:14" x14ac:dyDescent="0.25">
      <c r="B407">
        <v>4</v>
      </c>
      <c r="C407">
        <v>2</v>
      </c>
      <c r="D407">
        <f>VALUE(RIGHT(Sim_Output[[#This Row],[OUTPUT]],LEN(Sim_Output[[#This Row],[OUTPUT]])-6))</f>
        <v>0</v>
      </c>
      <c r="E407">
        <v>0</v>
      </c>
      <c r="F407" t="str">
        <f>Sim_Output[[#This Row],[SIM_ID]]&amp;" - "&amp;Sim_Output[[#This Row],[WEEK]]&amp;" - "&amp;Sim_Output[[#This Row],[REGIME]]</f>
        <v>4 - 2 - 0</v>
      </c>
      <c r="G407" t="s">
        <v>44</v>
      </c>
      <c r="H407">
        <v>102</v>
      </c>
      <c r="I407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407" s="7">
        <f>Sim_Output[[#This Row],[VALUE]]/SUMIFS(Sim_Output[VALUE],Sim_Output[SIM_ID],Sim_Output[[#This Row],[SIM_ID]],Sim_Output[WEEK],Sim_Output[[#This Row],[WEEK]],Sim_Output[OUTPUT],"PRICE_0")-1</f>
        <v>0</v>
      </c>
      <c r="K407" s="4">
        <f ca="1">IF(Sim_Output[[#This Row],[OUTPUT]]="PRICE_0",0,_xlfn.RANK.EQ(Sim_Output[[#This Row],[WTD_RET]],OFFSET(Sim_Output[[#This Row],[WTD_RET]],-Sim_Output[[#This Row],[OBS]]+1,0,12)))</f>
        <v>0</v>
      </c>
      <c r="L407" s="3" t="str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/>
      </c>
      <c r="M407" s="3" t="str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/>
      </c>
      <c r="N407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</v>
      </c>
    </row>
    <row r="408" spans="2:14" x14ac:dyDescent="0.25">
      <c r="B408">
        <v>4</v>
      </c>
      <c r="C408">
        <v>2</v>
      </c>
      <c r="D408">
        <f>VALUE(RIGHT(Sim_Output[[#This Row],[OUTPUT]],LEN(Sim_Output[[#This Row],[OUTPUT]])-6))</f>
        <v>1</v>
      </c>
      <c r="E408">
        <v>0</v>
      </c>
      <c r="F408" t="str">
        <f>Sim_Output[[#This Row],[SIM_ID]]&amp;" - "&amp;Sim_Output[[#This Row],[WEEK]]&amp;" - "&amp;Sim_Output[[#This Row],[REGIME]]</f>
        <v>4 - 2 - 0</v>
      </c>
      <c r="G408" t="s">
        <v>45</v>
      </c>
      <c r="H408">
        <v>65</v>
      </c>
      <c r="I408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408" s="7">
        <f>Sim_Output[[#This Row],[VALUE]]/SUMIFS(Sim_Output[VALUE],Sim_Output[SIM_ID],Sim_Output[[#This Row],[SIM_ID]],Sim_Output[WEEK],Sim_Output[[#This Row],[WEEK]],Sim_Output[OUTPUT],"PRICE_0")-1</f>
        <v>-0.36274509803921573</v>
      </c>
      <c r="K408" s="4">
        <f ca="1">IF(Sim_Output[[#This Row],[OUTPUT]]="PRICE_0",0,_xlfn.RANK.EQ(Sim_Output[[#This Row],[WTD_RET]],OFFSET(Sim_Output[[#This Row],[WTD_RET]],-Sim_Output[[#This Row],[OBS]]+1,0,12)))</f>
        <v>8</v>
      </c>
      <c r="L408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-0.89129292002381921</v>
      </c>
      <c r="M408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0.13749999999999993</v>
      </c>
      <c r="N408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-0.36274509803921573</v>
      </c>
    </row>
    <row r="409" spans="2:14" x14ac:dyDescent="0.25">
      <c r="B409">
        <v>4</v>
      </c>
      <c r="C409">
        <v>2</v>
      </c>
      <c r="D409">
        <f>VALUE(RIGHT(Sim_Output[[#This Row],[OUTPUT]],LEN(Sim_Output[[#This Row],[OUTPUT]])-6))</f>
        <v>2</v>
      </c>
      <c r="E409">
        <v>0</v>
      </c>
      <c r="F409" t="str">
        <f>Sim_Output[[#This Row],[SIM_ID]]&amp;" - "&amp;Sim_Output[[#This Row],[WEEK]]&amp;" - "&amp;Sim_Output[[#This Row],[REGIME]]</f>
        <v>4 - 2 - 0</v>
      </c>
      <c r="G409" t="s">
        <v>46</v>
      </c>
      <c r="H409">
        <v>57</v>
      </c>
      <c r="I409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409" s="7">
        <f>Sim_Output[[#This Row],[VALUE]]/SUMIFS(Sim_Output[VALUE],Sim_Output[SIM_ID],Sim_Output[[#This Row],[SIM_ID]],Sim_Output[WEEK],Sim_Output[[#This Row],[WEEK]],Sim_Output[OUTPUT],"PRICE_0")-1</f>
        <v>-0.44117647058823528</v>
      </c>
      <c r="K409" s="4">
        <f ca="1">IF(Sim_Output[[#This Row],[OUTPUT]]="PRICE_0",0,_xlfn.RANK.EQ(Sim_Output[[#This Row],[WTD_RET]],OFFSET(Sim_Output[[#This Row],[WTD_RET]],-Sim_Output[[#This Row],[OBS]]+1,0,12)))</f>
        <v>11</v>
      </c>
      <c r="L409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-1.1586807960309646</v>
      </c>
      <c r="M409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3.7500000000000006E-2</v>
      </c>
      <c r="N409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-0.12307692307692308</v>
      </c>
    </row>
    <row r="410" spans="2:14" x14ac:dyDescent="0.25">
      <c r="B410">
        <v>4</v>
      </c>
      <c r="C410">
        <v>2</v>
      </c>
      <c r="D410">
        <f>VALUE(RIGHT(Sim_Output[[#This Row],[OUTPUT]],LEN(Sim_Output[[#This Row],[OUTPUT]])-6))</f>
        <v>3</v>
      </c>
      <c r="E410">
        <v>0</v>
      </c>
      <c r="F410" t="str">
        <f>Sim_Output[[#This Row],[SIM_ID]]&amp;" - "&amp;Sim_Output[[#This Row],[WEEK]]&amp;" - "&amp;Sim_Output[[#This Row],[REGIME]]</f>
        <v>4 - 2 - 0</v>
      </c>
      <c r="G410" t="s">
        <v>47</v>
      </c>
      <c r="H410">
        <v>115</v>
      </c>
      <c r="I410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410" s="7">
        <f>Sim_Output[[#This Row],[VALUE]]/SUMIFS(Sim_Output[VALUE],Sim_Output[SIM_ID],Sim_Output[[#This Row],[SIM_ID]],Sim_Output[WEEK],Sim_Output[[#This Row],[WEEK]],Sim_Output[OUTPUT],"PRICE_0")-1</f>
        <v>0.12745098039215685</v>
      </c>
      <c r="K410" s="4">
        <f ca="1">IF(Sim_Output[[#This Row],[OUTPUT]]="PRICE_0",0,_xlfn.RANK.EQ(Sim_Output[[#This Row],[WTD_RET]],OFFSET(Sim_Output[[#This Row],[WTD_RET]],-Sim_Output[[#This Row],[OBS]]+1,0,12)))</f>
        <v>4</v>
      </c>
      <c r="L410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0.77988130502084174</v>
      </c>
      <c r="M410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0.76249999999999996</v>
      </c>
      <c r="N410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1.0175438596491229</v>
      </c>
    </row>
    <row r="411" spans="2:14" x14ac:dyDescent="0.25">
      <c r="B411">
        <v>4</v>
      </c>
      <c r="C411">
        <v>2</v>
      </c>
      <c r="D411">
        <f>VALUE(RIGHT(Sim_Output[[#This Row],[OUTPUT]],LEN(Sim_Output[[#This Row],[OUTPUT]])-6))</f>
        <v>4</v>
      </c>
      <c r="E411">
        <v>0</v>
      </c>
      <c r="F411" t="str">
        <f>Sim_Output[[#This Row],[SIM_ID]]&amp;" - "&amp;Sim_Output[[#This Row],[WEEK]]&amp;" - "&amp;Sim_Output[[#This Row],[REGIME]]</f>
        <v>4 - 2 - 0</v>
      </c>
      <c r="G411" t="s">
        <v>48</v>
      </c>
      <c r="H411">
        <v>111</v>
      </c>
      <c r="I411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411" s="7">
        <f>Sim_Output[[#This Row],[VALUE]]/SUMIFS(Sim_Output[VALUE],Sim_Output[SIM_ID],Sim_Output[[#This Row],[SIM_ID]],Sim_Output[WEEK],Sim_Output[[#This Row],[WEEK]],Sim_Output[OUTPUT],"PRICE_0")-1</f>
        <v>8.8235294117646967E-2</v>
      </c>
      <c r="K411" s="4">
        <f ca="1">IF(Sim_Output[[#This Row],[OUTPUT]]="PRICE_0",0,_xlfn.RANK.EQ(Sim_Output[[#This Row],[WTD_RET]],OFFSET(Sim_Output[[#This Row],[WTD_RET]],-Sim_Output[[#This Row],[OBS]]+1,0,12)))</f>
        <v>5</v>
      </c>
      <c r="L411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0.64618736701726864</v>
      </c>
      <c r="M411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0.71249999999999991</v>
      </c>
      <c r="N411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-3.4782608695652195E-2</v>
      </c>
    </row>
    <row r="412" spans="2:14" x14ac:dyDescent="0.25">
      <c r="B412">
        <v>4</v>
      </c>
      <c r="C412">
        <v>2</v>
      </c>
      <c r="D412">
        <f>VALUE(RIGHT(Sim_Output[[#This Row],[OUTPUT]],LEN(Sim_Output[[#This Row],[OUTPUT]])-6))</f>
        <v>5</v>
      </c>
      <c r="E412">
        <v>0</v>
      </c>
      <c r="F412" t="str">
        <f>Sim_Output[[#This Row],[SIM_ID]]&amp;" - "&amp;Sim_Output[[#This Row],[WEEK]]&amp;" - "&amp;Sim_Output[[#This Row],[REGIME]]</f>
        <v>4 - 2 - 0</v>
      </c>
      <c r="G412" t="s">
        <v>49</v>
      </c>
      <c r="H412">
        <v>128</v>
      </c>
      <c r="I412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412" s="7">
        <f>Sim_Output[[#This Row],[VALUE]]/SUMIFS(Sim_Output[VALUE],Sim_Output[SIM_ID],Sim_Output[[#This Row],[SIM_ID]],Sim_Output[WEEK],Sim_Output[[#This Row],[WEEK]],Sim_Output[OUTPUT],"PRICE_0")-1</f>
        <v>0.25490196078431371</v>
      </c>
      <c r="K412" s="4">
        <f ca="1">IF(Sim_Output[[#This Row],[OUTPUT]]="PRICE_0",0,_xlfn.RANK.EQ(Sim_Output[[#This Row],[WTD_RET]],OFFSET(Sim_Output[[#This Row],[WTD_RET]],-Sim_Output[[#This Row],[OBS]]+1,0,12)))</f>
        <v>2</v>
      </c>
      <c r="L412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1.2143866035324535</v>
      </c>
      <c r="M412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0.92499999999999993</v>
      </c>
      <c r="N412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0.15315315315315314</v>
      </c>
    </row>
    <row r="413" spans="2:14" x14ac:dyDescent="0.25">
      <c r="B413">
        <v>4</v>
      </c>
      <c r="C413">
        <v>2</v>
      </c>
      <c r="D413">
        <f>VALUE(RIGHT(Sim_Output[[#This Row],[OUTPUT]],LEN(Sim_Output[[#This Row],[OUTPUT]])-6))</f>
        <v>6</v>
      </c>
      <c r="E413">
        <v>0</v>
      </c>
      <c r="F413" t="str">
        <f>Sim_Output[[#This Row],[SIM_ID]]&amp;" - "&amp;Sim_Output[[#This Row],[WEEK]]&amp;" - "&amp;Sim_Output[[#This Row],[REGIME]]</f>
        <v>4 - 2 - 0</v>
      </c>
      <c r="G413" t="s">
        <v>50</v>
      </c>
      <c r="H413">
        <v>120</v>
      </c>
      <c r="I413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413" s="7">
        <f>Sim_Output[[#This Row],[VALUE]]/SUMIFS(Sim_Output[VALUE],Sim_Output[SIM_ID],Sim_Output[[#This Row],[SIM_ID]],Sim_Output[WEEK],Sim_Output[[#This Row],[WEEK]],Sim_Output[OUTPUT],"PRICE_0")-1</f>
        <v>0.17647058823529416</v>
      </c>
      <c r="K413" s="4">
        <f ca="1">IF(Sim_Output[[#This Row],[OUTPUT]]="PRICE_0",0,_xlfn.RANK.EQ(Sim_Output[[#This Row],[WTD_RET]],OFFSET(Sim_Output[[#This Row],[WTD_RET]],-Sim_Output[[#This Row],[OBS]]+1,0,12)))</f>
        <v>3</v>
      </c>
      <c r="L413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0.946998727525308</v>
      </c>
      <c r="M413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0.82500000000000007</v>
      </c>
      <c r="N413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-6.25E-2</v>
      </c>
    </row>
    <row r="414" spans="2:14" x14ac:dyDescent="0.25">
      <c r="B414">
        <v>4</v>
      </c>
      <c r="C414">
        <v>2</v>
      </c>
      <c r="D414">
        <f>VALUE(RIGHT(Sim_Output[[#This Row],[OUTPUT]],LEN(Sim_Output[[#This Row],[OUTPUT]])-6))</f>
        <v>7</v>
      </c>
      <c r="E414">
        <v>0</v>
      </c>
      <c r="F414" t="str">
        <f>Sim_Output[[#This Row],[SIM_ID]]&amp;" - "&amp;Sim_Output[[#This Row],[WEEK]]&amp;" - "&amp;Sim_Output[[#This Row],[REGIME]]</f>
        <v>4 - 2 - 0</v>
      </c>
      <c r="G414" t="s">
        <v>51</v>
      </c>
      <c r="H414">
        <v>93</v>
      </c>
      <c r="I414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414" s="7">
        <f>Sim_Output[[#This Row],[VALUE]]/SUMIFS(Sim_Output[VALUE],Sim_Output[SIM_ID],Sim_Output[[#This Row],[SIM_ID]],Sim_Output[WEEK],Sim_Output[[#This Row],[WEEK]],Sim_Output[OUTPUT],"PRICE_0")-1</f>
        <v>-8.8235294117647078E-2</v>
      </c>
      <c r="K414" s="4">
        <f ca="1">IF(Sim_Output[[#This Row],[OUTPUT]]="PRICE_0",0,_xlfn.RANK.EQ(Sim_Output[[#This Row],[WTD_RET]],OFFSET(Sim_Output[[#This Row],[WTD_RET]],-Sim_Output[[#This Row],[OBS]]+1,0,12)))</f>
        <v>7</v>
      </c>
      <c r="L414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4.4564646001190984E-2</v>
      </c>
      <c r="M414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0.48749999999999999</v>
      </c>
      <c r="N414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-0.22499999999999998</v>
      </c>
    </row>
    <row r="415" spans="2:14" x14ac:dyDescent="0.25">
      <c r="B415">
        <v>4</v>
      </c>
      <c r="C415">
        <v>2</v>
      </c>
      <c r="D415">
        <f>VALUE(RIGHT(Sim_Output[[#This Row],[OUTPUT]],LEN(Sim_Output[[#This Row],[OUTPUT]])-6))</f>
        <v>8</v>
      </c>
      <c r="E415">
        <v>0</v>
      </c>
      <c r="F415" t="str">
        <f>Sim_Output[[#This Row],[SIM_ID]]&amp;" - "&amp;Sim_Output[[#This Row],[WEEK]]&amp;" - "&amp;Sim_Output[[#This Row],[REGIME]]</f>
        <v>4 - 2 - 0</v>
      </c>
      <c r="G415" t="s">
        <v>52</v>
      </c>
      <c r="H415">
        <v>97</v>
      </c>
      <c r="I415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415" s="7">
        <f>Sim_Output[[#This Row],[VALUE]]/SUMIFS(Sim_Output[VALUE],Sim_Output[SIM_ID],Sim_Output[[#This Row],[SIM_ID]],Sim_Output[WEEK],Sim_Output[[#This Row],[WEEK]],Sim_Output[OUTPUT],"PRICE_0")-1</f>
        <v>-4.9019607843137303E-2</v>
      </c>
      <c r="K415" s="4">
        <f ca="1">IF(Sim_Output[[#This Row],[OUTPUT]]="PRICE_0",0,_xlfn.RANK.EQ(Sim_Output[[#This Row],[WTD_RET]],OFFSET(Sim_Output[[#This Row],[WTD_RET]],-Sim_Output[[#This Row],[OBS]]+1,0,12)))</f>
        <v>6</v>
      </c>
      <c r="L415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0.17825858400476377</v>
      </c>
      <c r="M415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0.53749999999999998</v>
      </c>
      <c r="N415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4.3010752688172005E-2</v>
      </c>
    </row>
    <row r="416" spans="2:14" x14ac:dyDescent="0.25">
      <c r="B416">
        <v>4</v>
      </c>
      <c r="C416">
        <v>2</v>
      </c>
      <c r="D416">
        <f>VALUE(RIGHT(Sim_Output[[#This Row],[OUTPUT]],LEN(Sim_Output[[#This Row],[OUTPUT]])-6))</f>
        <v>9</v>
      </c>
      <c r="E416">
        <v>0</v>
      </c>
      <c r="F416" t="str">
        <f>Sim_Output[[#This Row],[SIM_ID]]&amp;" - "&amp;Sim_Output[[#This Row],[WEEK]]&amp;" - "&amp;Sim_Output[[#This Row],[REGIME]]</f>
        <v>4 - 2 - 0</v>
      </c>
      <c r="G416" t="s">
        <v>53</v>
      </c>
      <c r="H416">
        <v>65</v>
      </c>
      <c r="I416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416" s="7">
        <f>Sim_Output[[#This Row],[VALUE]]/SUMIFS(Sim_Output[VALUE],Sim_Output[SIM_ID],Sim_Output[[#This Row],[SIM_ID]],Sim_Output[WEEK],Sim_Output[[#This Row],[WEEK]],Sim_Output[OUTPUT],"PRICE_0")-1</f>
        <v>-0.36274509803921573</v>
      </c>
      <c r="K416" s="4">
        <f ca="1">IF(Sim_Output[[#This Row],[OUTPUT]]="PRICE_0",0,_xlfn.RANK.EQ(Sim_Output[[#This Row],[WTD_RET]],OFFSET(Sim_Output[[#This Row],[WTD_RET]],-Sim_Output[[#This Row],[OBS]]+1,0,12)))</f>
        <v>8</v>
      </c>
      <c r="L416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-0.89129292002381921</v>
      </c>
      <c r="M416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0.13749999999999993</v>
      </c>
      <c r="N416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-0.32989690721649489</v>
      </c>
    </row>
    <row r="417" spans="2:14" x14ac:dyDescent="0.25">
      <c r="B417">
        <v>4</v>
      </c>
      <c r="C417">
        <v>2</v>
      </c>
      <c r="D417">
        <f>VALUE(RIGHT(Sim_Output[[#This Row],[OUTPUT]],LEN(Sim_Output[[#This Row],[OUTPUT]])-6))</f>
        <v>10</v>
      </c>
      <c r="E417">
        <v>0</v>
      </c>
      <c r="F417" t="str">
        <f>Sim_Output[[#This Row],[SIM_ID]]&amp;" - "&amp;Sim_Output[[#This Row],[WEEK]]&amp;" - "&amp;Sim_Output[[#This Row],[REGIME]]</f>
        <v>4 - 2 - 0</v>
      </c>
      <c r="G417" t="s">
        <v>54</v>
      </c>
      <c r="H417">
        <v>61</v>
      </c>
      <c r="I417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417" s="7">
        <f>Sim_Output[[#This Row],[VALUE]]/SUMIFS(Sim_Output[VALUE],Sim_Output[SIM_ID],Sim_Output[[#This Row],[SIM_ID]],Sim_Output[WEEK],Sim_Output[[#This Row],[WEEK]],Sim_Output[OUTPUT],"PRICE_0")-1</f>
        <v>-0.40196078431372551</v>
      </c>
      <c r="K417" s="4">
        <f ca="1">IF(Sim_Output[[#This Row],[OUTPUT]]="PRICE_0",0,_xlfn.RANK.EQ(Sim_Output[[#This Row],[WTD_RET]],OFFSET(Sim_Output[[#This Row],[WTD_RET]],-Sim_Output[[#This Row],[OBS]]+1,0,12)))</f>
        <v>10</v>
      </c>
      <c r="L417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-1.024986858027392</v>
      </c>
      <c r="M417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8.7499999999999967E-2</v>
      </c>
      <c r="N417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-6.1538461538461542E-2</v>
      </c>
    </row>
    <row r="418" spans="2:14" x14ac:dyDescent="0.25">
      <c r="B418">
        <v>4</v>
      </c>
      <c r="C418">
        <v>2</v>
      </c>
      <c r="D418">
        <f>VALUE(RIGHT(Sim_Output[[#This Row],[OUTPUT]],LEN(Sim_Output[[#This Row],[OUTPUT]])-6))</f>
        <v>11</v>
      </c>
      <c r="E418">
        <v>0</v>
      </c>
      <c r="F418" t="str">
        <f>Sim_Output[[#This Row],[SIM_ID]]&amp;" - "&amp;Sim_Output[[#This Row],[WEEK]]&amp;" - "&amp;Sim_Output[[#This Row],[REGIME]]</f>
        <v>4 - 2 - 0</v>
      </c>
      <c r="G418" t="s">
        <v>55</v>
      </c>
      <c r="H418">
        <v>54</v>
      </c>
      <c r="I418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418" s="7">
        <f>Sim_Output[[#This Row],[VALUE]]/SUMIFS(Sim_Output[VALUE],Sim_Output[SIM_ID],Sim_Output[[#This Row],[SIM_ID]],Sim_Output[WEEK],Sim_Output[[#This Row],[WEEK]],Sim_Output[OUTPUT],"PRICE_0")-1</f>
        <v>-0.47058823529411764</v>
      </c>
      <c r="K418" s="4">
        <f ca="1">IF(Sim_Output[[#This Row],[OUTPUT]]="PRICE_0",0,_xlfn.RANK.EQ(Sim_Output[[#This Row],[WTD_RET]],OFFSET(Sim_Output[[#This Row],[WTD_RET]],-Sim_Output[[#This Row],[OBS]]+1,0,12)))</f>
        <v>12</v>
      </c>
      <c r="L418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-1.2589512495336443</v>
      </c>
      <c r="M418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</v>
      </c>
      <c r="N418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-0.11475409836065575</v>
      </c>
    </row>
    <row r="419" spans="2:14" x14ac:dyDescent="0.25">
      <c r="B419">
        <v>4</v>
      </c>
      <c r="C419">
        <v>2</v>
      </c>
      <c r="D419">
        <f>VALUE(RIGHT(Sim_Output[[#This Row],[OUTPUT]],LEN(Sim_Output[[#This Row],[OUTPUT]])-6))</f>
        <v>12</v>
      </c>
      <c r="E419">
        <v>0</v>
      </c>
      <c r="F419" t="str">
        <f>Sim_Output[[#This Row],[SIM_ID]]&amp;" - "&amp;Sim_Output[[#This Row],[WEEK]]&amp;" - "&amp;Sim_Output[[#This Row],[REGIME]]</f>
        <v>4 - 2 - 0</v>
      </c>
      <c r="G419" t="s">
        <v>56</v>
      </c>
      <c r="H419">
        <v>134</v>
      </c>
      <c r="I419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419" s="7">
        <f>Sim_Output[[#This Row],[VALUE]]/SUMIFS(Sim_Output[VALUE],Sim_Output[SIM_ID],Sim_Output[[#This Row],[SIM_ID]],Sim_Output[WEEK],Sim_Output[[#This Row],[WEEK]],Sim_Output[OUTPUT],"PRICE_0")-1</f>
        <v>0.31372549019607843</v>
      </c>
      <c r="K419" s="4">
        <f ca="1">IF(Sim_Output[[#This Row],[OUTPUT]]="PRICE_0",0,_xlfn.RANK.EQ(Sim_Output[[#This Row],[WTD_RET]],OFFSET(Sim_Output[[#This Row],[WTD_RET]],-Sim_Output[[#This Row],[OBS]]+1,0,12)))</f>
        <v>1</v>
      </c>
      <c r="L419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1.414927510537813</v>
      </c>
      <c r="M419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1</v>
      </c>
      <c r="N419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1.4814814814814814</v>
      </c>
    </row>
    <row r="420" spans="2:14" x14ac:dyDescent="0.25">
      <c r="B420">
        <v>4</v>
      </c>
      <c r="C420">
        <v>3</v>
      </c>
      <c r="D420">
        <f>VALUE(RIGHT(Sim_Output[[#This Row],[OUTPUT]],LEN(Sim_Output[[#This Row],[OUTPUT]])-6))</f>
        <v>0</v>
      </c>
      <c r="E420">
        <v>2</v>
      </c>
      <c r="F420" t="str">
        <f>Sim_Output[[#This Row],[SIM_ID]]&amp;" - "&amp;Sim_Output[[#This Row],[WEEK]]&amp;" - "&amp;Sim_Output[[#This Row],[REGIME]]</f>
        <v>4 - 3 - 2</v>
      </c>
      <c r="G420" t="s">
        <v>44</v>
      </c>
      <c r="H420">
        <v>90</v>
      </c>
      <c r="I420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420" s="7">
        <f>Sim_Output[[#This Row],[VALUE]]/SUMIFS(Sim_Output[VALUE],Sim_Output[SIM_ID],Sim_Output[[#This Row],[SIM_ID]],Sim_Output[WEEK],Sim_Output[[#This Row],[WEEK]],Sim_Output[OUTPUT],"PRICE_0")-1</f>
        <v>0</v>
      </c>
      <c r="K420" s="4">
        <f ca="1">IF(Sim_Output[[#This Row],[OUTPUT]]="PRICE_0",0,_xlfn.RANK.EQ(Sim_Output[[#This Row],[WTD_RET]],OFFSET(Sim_Output[[#This Row],[WTD_RET]],-Sim_Output[[#This Row],[OBS]]+1,0,12)))</f>
        <v>0</v>
      </c>
      <c r="L420" s="3" t="str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/>
      </c>
      <c r="M420" s="3" t="str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/>
      </c>
      <c r="N420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</v>
      </c>
    </row>
    <row r="421" spans="2:14" x14ac:dyDescent="0.25">
      <c r="B421">
        <v>4</v>
      </c>
      <c r="C421">
        <v>3</v>
      </c>
      <c r="D421">
        <f>VALUE(RIGHT(Sim_Output[[#This Row],[OUTPUT]],LEN(Sim_Output[[#This Row],[OUTPUT]])-6))</f>
        <v>1</v>
      </c>
      <c r="E421">
        <v>2</v>
      </c>
      <c r="F421" t="str">
        <f>Sim_Output[[#This Row],[SIM_ID]]&amp;" - "&amp;Sim_Output[[#This Row],[WEEK]]&amp;" - "&amp;Sim_Output[[#This Row],[REGIME]]</f>
        <v>4 - 3 - 2</v>
      </c>
      <c r="G421" t="s">
        <v>45</v>
      </c>
      <c r="H421">
        <v>80</v>
      </c>
      <c r="I421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421" s="7">
        <f>Sim_Output[[#This Row],[VALUE]]/SUMIFS(Sim_Output[VALUE],Sim_Output[SIM_ID],Sim_Output[[#This Row],[SIM_ID]],Sim_Output[WEEK],Sim_Output[[#This Row],[WEEK]],Sim_Output[OUTPUT],"PRICE_0")-1</f>
        <v>-0.11111111111111116</v>
      </c>
      <c r="K421" s="4">
        <f ca="1">IF(Sim_Output[[#This Row],[OUTPUT]]="PRICE_0",0,_xlfn.RANK.EQ(Sim_Output[[#This Row],[WTD_RET]],OFFSET(Sim_Output[[#This Row],[WTD_RET]],-Sim_Output[[#This Row],[OBS]]+1,0,12)))</f>
        <v>1</v>
      </c>
      <c r="L421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1.5360294751113803</v>
      </c>
      <c r="M421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1</v>
      </c>
      <c r="N421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-0.11111111111111116</v>
      </c>
    </row>
    <row r="422" spans="2:14" x14ac:dyDescent="0.25">
      <c r="B422">
        <v>4</v>
      </c>
      <c r="C422">
        <v>3</v>
      </c>
      <c r="D422">
        <f>VALUE(RIGHT(Sim_Output[[#This Row],[OUTPUT]],LEN(Sim_Output[[#This Row],[OUTPUT]])-6))</f>
        <v>2</v>
      </c>
      <c r="E422">
        <v>2</v>
      </c>
      <c r="F422" t="str">
        <f>Sim_Output[[#This Row],[SIM_ID]]&amp;" - "&amp;Sim_Output[[#This Row],[WEEK]]&amp;" - "&amp;Sim_Output[[#This Row],[REGIME]]</f>
        <v>4 - 3 - 2</v>
      </c>
      <c r="G422" t="s">
        <v>46</v>
      </c>
      <c r="H422">
        <v>77</v>
      </c>
      <c r="I422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422" s="7">
        <f>Sim_Output[[#This Row],[VALUE]]/SUMIFS(Sim_Output[VALUE],Sim_Output[SIM_ID],Sim_Output[[#This Row],[SIM_ID]],Sim_Output[WEEK],Sim_Output[[#This Row],[WEEK]],Sim_Output[OUTPUT],"PRICE_0")-1</f>
        <v>-0.14444444444444449</v>
      </c>
      <c r="K422" s="4">
        <f ca="1">IF(Sim_Output[[#This Row],[OUTPUT]]="PRICE_0",0,_xlfn.RANK.EQ(Sim_Output[[#This Row],[WTD_RET]],OFFSET(Sim_Output[[#This Row],[WTD_RET]],-Sim_Output[[#This Row],[OBS]]+1,0,12)))</f>
        <v>2</v>
      </c>
      <c r="L422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1.2913522135892137</v>
      </c>
      <c r="M422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0.91891891891891886</v>
      </c>
      <c r="N422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-3.7499999999999978E-2</v>
      </c>
    </row>
    <row r="423" spans="2:14" x14ac:dyDescent="0.25">
      <c r="B423">
        <v>4</v>
      </c>
      <c r="C423">
        <v>3</v>
      </c>
      <c r="D423">
        <f>VALUE(RIGHT(Sim_Output[[#This Row],[OUTPUT]],LEN(Sim_Output[[#This Row],[OUTPUT]])-6))</f>
        <v>3</v>
      </c>
      <c r="E423">
        <v>2</v>
      </c>
      <c r="F423" t="str">
        <f>Sim_Output[[#This Row],[SIM_ID]]&amp;" - "&amp;Sim_Output[[#This Row],[WEEK]]&amp;" - "&amp;Sim_Output[[#This Row],[REGIME]]</f>
        <v>4 - 3 - 2</v>
      </c>
      <c r="G423" t="s">
        <v>47</v>
      </c>
      <c r="H423">
        <v>73</v>
      </c>
      <c r="I423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423" s="7">
        <f>Sim_Output[[#This Row],[VALUE]]/SUMIFS(Sim_Output[VALUE],Sim_Output[SIM_ID],Sim_Output[[#This Row],[SIM_ID]],Sim_Output[WEEK],Sim_Output[[#This Row],[WEEK]],Sim_Output[OUTPUT],"PRICE_0")-1</f>
        <v>-0.18888888888888888</v>
      </c>
      <c r="K423" s="4">
        <f ca="1">IF(Sim_Output[[#This Row],[OUTPUT]]="PRICE_0",0,_xlfn.RANK.EQ(Sim_Output[[#This Row],[WTD_RET]],OFFSET(Sim_Output[[#This Row],[WTD_RET]],-Sim_Output[[#This Row],[OBS]]+1,0,12)))</f>
        <v>3</v>
      </c>
      <c r="L423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0.96511586489299162</v>
      </c>
      <c r="M423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0.81081081081081086</v>
      </c>
      <c r="N423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-5.1948051948051965E-2</v>
      </c>
    </row>
    <row r="424" spans="2:14" x14ac:dyDescent="0.25">
      <c r="B424">
        <v>4</v>
      </c>
      <c r="C424">
        <v>3</v>
      </c>
      <c r="D424">
        <f>VALUE(RIGHT(Sim_Output[[#This Row],[OUTPUT]],LEN(Sim_Output[[#This Row],[OUTPUT]])-6))</f>
        <v>4</v>
      </c>
      <c r="E424">
        <v>2</v>
      </c>
      <c r="F424" t="str">
        <f>Sim_Output[[#This Row],[SIM_ID]]&amp;" - "&amp;Sim_Output[[#This Row],[WEEK]]&amp;" - "&amp;Sim_Output[[#This Row],[REGIME]]</f>
        <v>4 - 3 - 2</v>
      </c>
      <c r="G424" t="s">
        <v>48</v>
      </c>
      <c r="H424">
        <v>69</v>
      </c>
      <c r="I424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424" s="7">
        <f>Sim_Output[[#This Row],[VALUE]]/SUMIFS(Sim_Output[VALUE],Sim_Output[SIM_ID],Sim_Output[[#This Row],[SIM_ID]],Sim_Output[WEEK],Sim_Output[[#This Row],[WEEK]],Sim_Output[OUTPUT],"PRICE_0")-1</f>
        <v>-0.23333333333333328</v>
      </c>
      <c r="K424" s="4">
        <f ca="1">IF(Sim_Output[[#This Row],[OUTPUT]]="PRICE_0",0,_xlfn.RANK.EQ(Sim_Output[[#This Row],[WTD_RET]],OFFSET(Sim_Output[[#This Row],[WTD_RET]],-Sim_Output[[#This Row],[OBS]]+1,0,12)))</f>
        <v>4</v>
      </c>
      <c r="L424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0.63887951619676953</v>
      </c>
      <c r="M424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0.70270270270270285</v>
      </c>
      <c r="N424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-5.4794520547945202E-2</v>
      </c>
    </row>
    <row r="425" spans="2:14" x14ac:dyDescent="0.25">
      <c r="B425">
        <v>4</v>
      </c>
      <c r="C425">
        <v>3</v>
      </c>
      <c r="D425">
        <f>VALUE(RIGHT(Sim_Output[[#This Row],[OUTPUT]],LEN(Sim_Output[[#This Row],[OUTPUT]])-6))</f>
        <v>5</v>
      </c>
      <c r="E425">
        <v>2</v>
      </c>
      <c r="F425" t="str">
        <f>Sim_Output[[#This Row],[SIM_ID]]&amp;" - "&amp;Sim_Output[[#This Row],[WEEK]]&amp;" - "&amp;Sim_Output[[#This Row],[REGIME]]</f>
        <v>4 - 3 - 2</v>
      </c>
      <c r="G425" t="s">
        <v>49</v>
      </c>
      <c r="H425">
        <v>66</v>
      </c>
      <c r="I425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425" s="7">
        <f>Sim_Output[[#This Row],[VALUE]]/SUMIFS(Sim_Output[VALUE],Sim_Output[SIM_ID],Sim_Output[[#This Row],[SIM_ID]],Sim_Output[WEEK],Sim_Output[[#This Row],[WEEK]],Sim_Output[OUTPUT],"PRICE_0")-1</f>
        <v>-0.26666666666666672</v>
      </c>
      <c r="K425" s="4">
        <f ca="1">IF(Sim_Output[[#This Row],[OUTPUT]]="PRICE_0",0,_xlfn.RANK.EQ(Sim_Output[[#This Row],[WTD_RET]],OFFSET(Sim_Output[[#This Row],[WTD_RET]],-Sim_Output[[#This Row],[OBS]]+1,0,12)))</f>
        <v>5</v>
      </c>
      <c r="L425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0.39420225467460202</v>
      </c>
      <c r="M425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0.62162162162162149</v>
      </c>
      <c r="N425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-4.3478260869565188E-2</v>
      </c>
    </row>
    <row r="426" spans="2:14" x14ac:dyDescent="0.25">
      <c r="B426">
        <v>4</v>
      </c>
      <c r="C426">
        <v>3</v>
      </c>
      <c r="D426">
        <f>VALUE(RIGHT(Sim_Output[[#This Row],[OUTPUT]],LEN(Sim_Output[[#This Row],[OUTPUT]])-6))</f>
        <v>6</v>
      </c>
      <c r="E426">
        <v>2</v>
      </c>
      <c r="F426" t="str">
        <f>Sim_Output[[#This Row],[SIM_ID]]&amp;" - "&amp;Sim_Output[[#This Row],[WEEK]]&amp;" - "&amp;Sim_Output[[#This Row],[REGIME]]</f>
        <v>4 - 3 - 2</v>
      </c>
      <c r="G426" t="s">
        <v>50</v>
      </c>
      <c r="H426">
        <v>63</v>
      </c>
      <c r="I426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426" s="7">
        <f>Sim_Output[[#This Row],[VALUE]]/SUMIFS(Sim_Output[VALUE],Sim_Output[SIM_ID],Sim_Output[[#This Row],[SIM_ID]],Sim_Output[WEEK],Sim_Output[[#This Row],[WEEK]],Sim_Output[OUTPUT],"PRICE_0")-1</f>
        <v>-0.30000000000000004</v>
      </c>
      <c r="K426" s="4">
        <f ca="1">IF(Sim_Output[[#This Row],[OUTPUT]]="PRICE_0",0,_xlfn.RANK.EQ(Sim_Output[[#This Row],[WTD_RET]],OFFSET(Sim_Output[[#This Row],[WTD_RET]],-Sim_Output[[#This Row],[OBS]]+1,0,12)))</f>
        <v>6</v>
      </c>
      <c r="L426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0.14952499315243528</v>
      </c>
      <c r="M426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0.54054054054054046</v>
      </c>
      <c r="N426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-4.5454545454545414E-2</v>
      </c>
    </row>
    <row r="427" spans="2:14" x14ac:dyDescent="0.25">
      <c r="B427">
        <v>4</v>
      </c>
      <c r="C427">
        <v>3</v>
      </c>
      <c r="D427">
        <f>VALUE(RIGHT(Sim_Output[[#This Row],[OUTPUT]],LEN(Sim_Output[[#This Row],[OUTPUT]])-6))</f>
        <v>7</v>
      </c>
      <c r="E427">
        <v>2</v>
      </c>
      <c r="F427" t="str">
        <f>Sim_Output[[#This Row],[SIM_ID]]&amp;" - "&amp;Sim_Output[[#This Row],[WEEK]]&amp;" - "&amp;Sim_Output[[#This Row],[REGIME]]</f>
        <v>4 - 3 - 2</v>
      </c>
      <c r="G427" t="s">
        <v>51</v>
      </c>
      <c r="H427">
        <v>60</v>
      </c>
      <c r="I427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427" s="7">
        <f>Sim_Output[[#This Row],[VALUE]]/SUMIFS(Sim_Output[VALUE],Sim_Output[SIM_ID],Sim_Output[[#This Row],[SIM_ID]],Sim_Output[WEEK],Sim_Output[[#This Row],[WEEK]],Sim_Output[OUTPUT],"PRICE_0")-1</f>
        <v>-0.33333333333333337</v>
      </c>
      <c r="K427" s="4">
        <f ca="1">IF(Sim_Output[[#This Row],[OUTPUT]]="PRICE_0",0,_xlfn.RANK.EQ(Sim_Output[[#This Row],[WTD_RET]],OFFSET(Sim_Output[[#This Row],[WTD_RET]],-Sim_Output[[#This Row],[OBS]]+1,0,12)))</f>
        <v>7</v>
      </c>
      <c r="L427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-9.5152268369731466E-2</v>
      </c>
      <c r="M427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0.45945945945945932</v>
      </c>
      <c r="N427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-4.7619047619047672E-2</v>
      </c>
    </row>
    <row r="428" spans="2:14" x14ac:dyDescent="0.25">
      <c r="B428">
        <v>4</v>
      </c>
      <c r="C428">
        <v>3</v>
      </c>
      <c r="D428">
        <f>VALUE(RIGHT(Sim_Output[[#This Row],[OUTPUT]],LEN(Sim_Output[[#This Row],[OUTPUT]])-6))</f>
        <v>8</v>
      </c>
      <c r="E428">
        <v>2</v>
      </c>
      <c r="F428" t="str">
        <f>Sim_Output[[#This Row],[SIM_ID]]&amp;" - "&amp;Sim_Output[[#This Row],[WEEK]]&amp;" - "&amp;Sim_Output[[#This Row],[REGIME]]</f>
        <v>4 - 3 - 2</v>
      </c>
      <c r="G428" t="s">
        <v>52</v>
      </c>
      <c r="H428">
        <v>56</v>
      </c>
      <c r="I428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428" s="7">
        <f>Sim_Output[[#This Row],[VALUE]]/SUMIFS(Sim_Output[VALUE],Sim_Output[SIM_ID],Sim_Output[[#This Row],[SIM_ID]],Sim_Output[WEEK],Sim_Output[[#This Row],[WEEK]],Sim_Output[OUTPUT],"PRICE_0")-1</f>
        <v>-0.37777777777777777</v>
      </c>
      <c r="K428" s="4">
        <f ca="1">IF(Sim_Output[[#This Row],[OUTPUT]]="PRICE_0",0,_xlfn.RANK.EQ(Sim_Output[[#This Row],[WTD_RET]],OFFSET(Sim_Output[[#This Row],[WTD_RET]],-Sim_Output[[#This Row],[OBS]]+1,0,12)))</f>
        <v>8</v>
      </c>
      <c r="L428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-0.42138861706595349</v>
      </c>
      <c r="M428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0.35135135135135132</v>
      </c>
      <c r="N428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-6.6666666666666652E-2</v>
      </c>
    </row>
    <row r="429" spans="2:14" x14ac:dyDescent="0.25">
      <c r="B429">
        <v>4</v>
      </c>
      <c r="C429">
        <v>3</v>
      </c>
      <c r="D429">
        <f>VALUE(RIGHT(Sim_Output[[#This Row],[OUTPUT]],LEN(Sim_Output[[#This Row],[OUTPUT]])-6))</f>
        <v>9</v>
      </c>
      <c r="E429">
        <v>2</v>
      </c>
      <c r="F429" t="str">
        <f>Sim_Output[[#This Row],[SIM_ID]]&amp;" - "&amp;Sim_Output[[#This Row],[WEEK]]&amp;" - "&amp;Sim_Output[[#This Row],[REGIME]]</f>
        <v>4 - 3 - 2</v>
      </c>
      <c r="G429" t="s">
        <v>53</v>
      </c>
      <c r="H429">
        <v>52</v>
      </c>
      <c r="I429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429" s="7">
        <f>Sim_Output[[#This Row],[VALUE]]/SUMIFS(Sim_Output[VALUE],Sim_Output[SIM_ID],Sim_Output[[#This Row],[SIM_ID]],Sim_Output[WEEK],Sim_Output[[#This Row],[WEEK]],Sim_Output[OUTPUT],"PRICE_0")-1</f>
        <v>-0.42222222222222228</v>
      </c>
      <c r="K429" s="4">
        <f ca="1">IF(Sim_Output[[#This Row],[OUTPUT]]="PRICE_0",0,_xlfn.RANK.EQ(Sim_Output[[#This Row],[WTD_RET]],OFFSET(Sim_Output[[#This Row],[WTD_RET]],-Sim_Output[[#This Row],[OBS]]+1,0,12)))</f>
        <v>9</v>
      </c>
      <c r="L429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-0.7476249657621763</v>
      </c>
      <c r="M429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0.24324324324324301</v>
      </c>
      <c r="N429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-7.1428571428571397E-2</v>
      </c>
    </row>
    <row r="430" spans="2:14" x14ac:dyDescent="0.25">
      <c r="B430">
        <v>4</v>
      </c>
      <c r="C430">
        <v>3</v>
      </c>
      <c r="D430">
        <f>VALUE(RIGHT(Sim_Output[[#This Row],[OUTPUT]],LEN(Sim_Output[[#This Row],[OUTPUT]])-6))</f>
        <v>10</v>
      </c>
      <c r="E430">
        <v>2</v>
      </c>
      <c r="F430" t="str">
        <f>Sim_Output[[#This Row],[SIM_ID]]&amp;" - "&amp;Sim_Output[[#This Row],[WEEK]]&amp;" - "&amp;Sim_Output[[#This Row],[REGIME]]</f>
        <v>4 - 3 - 2</v>
      </c>
      <c r="G430" t="s">
        <v>54</v>
      </c>
      <c r="H430">
        <v>49</v>
      </c>
      <c r="I430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430" s="7">
        <f>Sim_Output[[#This Row],[VALUE]]/SUMIFS(Sim_Output[VALUE],Sim_Output[SIM_ID],Sim_Output[[#This Row],[SIM_ID]],Sim_Output[WEEK],Sim_Output[[#This Row],[WEEK]],Sim_Output[OUTPUT],"PRICE_0")-1</f>
        <v>-0.4555555555555556</v>
      </c>
      <c r="K430" s="4">
        <f ca="1">IF(Sim_Output[[#This Row],[OUTPUT]]="PRICE_0",0,_xlfn.RANK.EQ(Sim_Output[[#This Row],[WTD_RET]],OFFSET(Sim_Output[[#This Row],[WTD_RET]],-Sim_Output[[#This Row],[OBS]]+1,0,12)))</f>
        <v>10</v>
      </c>
      <c r="L430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-0.99230222728434303</v>
      </c>
      <c r="M430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0.16216216216216189</v>
      </c>
      <c r="N430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-5.7692307692307709E-2</v>
      </c>
    </row>
    <row r="431" spans="2:14" x14ac:dyDescent="0.25">
      <c r="B431">
        <v>4</v>
      </c>
      <c r="C431">
        <v>3</v>
      </c>
      <c r="D431">
        <f>VALUE(RIGHT(Sim_Output[[#This Row],[OUTPUT]],LEN(Sim_Output[[#This Row],[OUTPUT]])-6))</f>
        <v>11</v>
      </c>
      <c r="E431">
        <v>2</v>
      </c>
      <c r="F431" t="str">
        <f>Sim_Output[[#This Row],[SIM_ID]]&amp;" - "&amp;Sim_Output[[#This Row],[WEEK]]&amp;" - "&amp;Sim_Output[[#This Row],[REGIME]]</f>
        <v>4 - 3 - 2</v>
      </c>
      <c r="G431" t="s">
        <v>55</v>
      </c>
      <c r="H431">
        <v>46</v>
      </c>
      <c r="I431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431" s="7">
        <f>Sim_Output[[#This Row],[VALUE]]/SUMIFS(Sim_Output[VALUE],Sim_Output[SIM_ID],Sim_Output[[#This Row],[SIM_ID]],Sim_Output[WEEK],Sim_Output[[#This Row],[WEEK]],Sim_Output[OUTPUT],"PRICE_0")-1</f>
        <v>-0.48888888888888893</v>
      </c>
      <c r="K431" s="4">
        <f ca="1">IF(Sim_Output[[#This Row],[OUTPUT]]="PRICE_0",0,_xlfn.RANK.EQ(Sim_Output[[#This Row],[WTD_RET]],OFFSET(Sim_Output[[#This Row],[WTD_RET]],-Sim_Output[[#This Row],[OBS]]+1,0,12)))</f>
        <v>11</v>
      </c>
      <c r="L431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-1.2369794888065098</v>
      </c>
      <c r="M431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8.1081081081080822E-2</v>
      </c>
      <c r="N431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-6.1224489795918324E-2</v>
      </c>
    </row>
    <row r="432" spans="2:14" x14ac:dyDescent="0.25">
      <c r="B432">
        <v>4</v>
      </c>
      <c r="C432">
        <v>3</v>
      </c>
      <c r="D432">
        <f>VALUE(RIGHT(Sim_Output[[#This Row],[OUTPUT]],LEN(Sim_Output[[#This Row],[OUTPUT]])-6))</f>
        <v>12</v>
      </c>
      <c r="E432">
        <v>2</v>
      </c>
      <c r="F432" t="str">
        <f>Sim_Output[[#This Row],[SIM_ID]]&amp;" - "&amp;Sim_Output[[#This Row],[WEEK]]&amp;" - "&amp;Sim_Output[[#This Row],[REGIME]]</f>
        <v>4 - 3 - 2</v>
      </c>
      <c r="G432" t="s">
        <v>56</v>
      </c>
      <c r="H432">
        <v>43</v>
      </c>
      <c r="I432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432" s="7">
        <f>Sim_Output[[#This Row],[VALUE]]/SUMIFS(Sim_Output[VALUE],Sim_Output[SIM_ID],Sim_Output[[#This Row],[SIM_ID]],Sim_Output[WEEK],Sim_Output[[#This Row],[WEEK]],Sim_Output[OUTPUT],"PRICE_0")-1</f>
        <v>-0.52222222222222214</v>
      </c>
      <c r="K432" s="4">
        <f ca="1">IF(Sim_Output[[#This Row],[OUTPUT]]="PRICE_0",0,_xlfn.RANK.EQ(Sim_Output[[#This Row],[WTD_RET]],OFFSET(Sim_Output[[#This Row],[WTD_RET]],-Sim_Output[[#This Row],[OBS]]+1,0,12)))</f>
        <v>12</v>
      </c>
      <c r="L432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-1.4816567503286757</v>
      </c>
      <c r="M432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</v>
      </c>
      <c r="N432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-6.5217391304347783E-2</v>
      </c>
    </row>
    <row r="433" spans="2:14" x14ac:dyDescent="0.25">
      <c r="B433">
        <v>4</v>
      </c>
      <c r="C433">
        <v>4</v>
      </c>
      <c r="D433">
        <f>VALUE(RIGHT(Sim_Output[[#This Row],[OUTPUT]],LEN(Sim_Output[[#This Row],[OUTPUT]])-6))</f>
        <v>0</v>
      </c>
      <c r="E433">
        <v>1</v>
      </c>
      <c r="F433" t="str">
        <f>Sim_Output[[#This Row],[SIM_ID]]&amp;" - "&amp;Sim_Output[[#This Row],[WEEK]]&amp;" - "&amp;Sim_Output[[#This Row],[REGIME]]</f>
        <v>4 - 4 - 1</v>
      </c>
      <c r="G433" t="s">
        <v>44</v>
      </c>
      <c r="H433">
        <v>106</v>
      </c>
      <c r="I433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433" s="7">
        <f>Sim_Output[[#This Row],[VALUE]]/SUMIFS(Sim_Output[VALUE],Sim_Output[SIM_ID],Sim_Output[[#This Row],[SIM_ID]],Sim_Output[WEEK],Sim_Output[[#This Row],[WEEK]],Sim_Output[OUTPUT],"PRICE_0")-1</f>
        <v>0</v>
      </c>
      <c r="K433" s="4">
        <f ca="1">IF(Sim_Output[[#This Row],[OUTPUT]]="PRICE_0",0,_xlfn.RANK.EQ(Sim_Output[[#This Row],[WTD_RET]],OFFSET(Sim_Output[[#This Row],[WTD_RET]],-Sim_Output[[#This Row],[OBS]]+1,0,12)))</f>
        <v>0</v>
      </c>
      <c r="L433" s="3" t="str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/>
      </c>
      <c r="M433" s="3" t="str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/>
      </c>
      <c r="N433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</v>
      </c>
    </row>
    <row r="434" spans="2:14" x14ac:dyDescent="0.25">
      <c r="B434">
        <v>4</v>
      </c>
      <c r="C434">
        <v>4</v>
      </c>
      <c r="D434">
        <f>VALUE(RIGHT(Sim_Output[[#This Row],[OUTPUT]],LEN(Sim_Output[[#This Row],[OUTPUT]])-6))</f>
        <v>1</v>
      </c>
      <c r="E434">
        <v>1</v>
      </c>
      <c r="F434" t="str">
        <f>Sim_Output[[#This Row],[SIM_ID]]&amp;" - "&amp;Sim_Output[[#This Row],[WEEK]]&amp;" - "&amp;Sim_Output[[#This Row],[REGIME]]</f>
        <v>4 - 4 - 1</v>
      </c>
      <c r="G434" t="s">
        <v>45</v>
      </c>
      <c r="H434">
        <v>94</v>
      </c>
      <c r="I434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434" s="7">
        <f>Sim_Output[[#This Row],[VALUE]]/SUMIFS(Sim_Output[VALUE],Sim_Output[SIM_ID],Sim_Output[[#This Row],[SIM_ID]],Sim_Output[WEEK],Sim_Output[[#This Row],[WEEK]],Sim_Output[OUTPUT],"PRICE_0")-1</f>
        <v>-0.1132075471698113</v>
      </c>
      <c r="K434" s="4">
        <f ca="1">IF(Sim_Output[[#This Row],[OUTPUT]]="PRICE_0",0,_xlfn.RANK.EQ(Sim_Output[[#This Row],[WTD_RET]],OFFSET(Sim_Output[[#This Row],[WTD_RET]],-Sim_Output[[#This Row],[OBS]]+1,0,12)))</f>
        <v>6</v>
      </c>
      <c r="L434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-0.36219671220668659</v>
      </c>
      <c r="M434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0.12228260869565218</v>
      </c>
      <c r="N434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-0.1132075471698113</v>
      </c>
    </row>
    <row r="435" spans="2:14" x14ac:dyDescent="0.25">
      <c r="B435">
        <v>4</v>
      </c>
      <c r="C435">
        <v>4</v>
      </c>
      <c r="D435">
        <f>VALUE(RIGHT(Sim_Output[[#This Row],[OUTPUT]],LEN(Sim_Output[[#This Row],[OUTPUT]])-6))</f>
        <v>2</v>
      </c>
      <c r="E435">
        <v>1</v>
      </c>
      <c r="F435" t="str">
        <f>Sim_Output[[#This Row],[SIM_ID]]&amp;" - "&amp;Sim_Output[[#This Row],[WEEK]]&amp;" - "&amp;Sim_Output[[#This Row],[REGIME]]</f>
        <v>4 - 4 - 1</v>
      </c>
      <c r="G435" t="s">
        <v>46</v>
      </c>
      <c r="H435">
        <v>90</v>
      </c>
      <c r="I435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435" s="7">
        <f>Sim_Output[[#This Row],[VALUE]]/SUMIFS(Sim_Output[VALUE],Sim_Output[SIM_ID],Sim_Output[[#This Row],[SIM_ID]],Sim_Output[WEEK],Sim_Output[[#This Row],[WEEK]],Sim_Output[OUTPUT],"PRICE_0")-1</f>
        <v>-0.15094339622641506</v>
      </c>
      <c r="K435" s="4">
        <f ca="1">IF(Sim_Output[[#This Row],[OUTPUT]]="PRICE_0",0,_xlfn.RANK.EQ(Sim_Output[[#This Row],[WTD_RET]],OFFSET(Sim_Output[[#This Row],[WTD_RET]],-Sim_Output[[#This Row],[OBS]]+1,0,12)))</f>
        <v>7</v>
      </c>
      <c r="L435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-0.40281690422986638</v>
      </c>
      <c r="M435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0.11141304347826088</v>
      </c>
      <c r="N435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-4.2553191489361653E-2</v>
      </c>
    </row>
    <row r="436" spans="2:14" x14ac:dyDescent="0.25">
      <c r="B436">
        <v>4</v>
      </c>
      <c r="C436">
        <v>4</v>
      </c>
      <c r="D436">
        <f>VALUE(RIGHT(Sim_Output[[#This Row],[OUTPUT]],LEN(Sim_Output[[#This Row],[OUTPUT]])-6))</f>
        <v>3</v>
      </c>
      <c r="E436">
        <v>1</v>
      </c>
      <c r="F436" t="str">
        <f>Sim_Output[[#This Row],[SIM_ID]]&amp;" - "&amp;Sim_Output[[#This Row],[WEEK]]&amp;" - "&amp;Sim_Output[[#This Row],[REGIME]]</f>
        <v>4 - 4 - 1</v>
      </c>
      <c r="G436" t="s">
        <v>47</v>
      </c>
      <c r="H436">
        <v>85</v>
      </c>
      <c r="I436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436" s="7">
        <f>Sim_Output[[#This Row],[VALUE]]/SUMIFS(Sim_Output[VALUE],Sim_Output[SIM_ID],Sim_Output[[#This Row],[SIM_ID]],Sim_Output[WEEK],Sim_Output[[#This Row],[WEEK]],Sim_Output[OUTPUT],"PRICE_0")-1</f>
        <v>-0.19811320754716977</v>
      </c>
      <c r="K436" s="4">
        <f ca="1">IF(Sim_Output[[#This Row],[OUTPUT]]="PRICE_0",0,_xlfn.RANK.EQ(Sim_Output[[#This Row],[WTD_RET]],OFFSET(Sim_Output[[#This Row],[WTD_RET]],-Sim_Output[[#This Row],[OBS]]+1,0,12)))</f>
        <v>8</v>
      </c>
      <c r="L436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-0.45359214425884115</v>
      </c>
      <c r="M436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9.7826086956521743E-2</v>
      </c>
      <c r="N436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-5.555555555555558E-2</v>
      </c>
    </row>
    <row r="437" spans="2:14" x14ac:dyDescent="0.25">
      <c r="B437">
        <v>4</v>
      </c>
      <c r="C437">
        <v>4</v>
      </c>
      <c r="D437">
        <f>VALUE(RIGHT(Sim_Output[[#This Row],[OUTPUT]],LEN(Sim_Output[[#This Row],[OUTPUT]])-6))</f>
        <v>4</v>
      </c>
      <c r="E437">
        <v>1</v>
      </c>
      <c r="F437" t="str">
        <f>Sim_Output[[#This Row],[SIM_ID]]&amp;" - "&amp;Sim_Output[[#This Row],[WEEK]]&amp;" - "&amp;Sim_Output[[#This Row],[REGIME]]</f>
        <v>4 - 4 - 1</v>
      </c>
      <c r="G437" t="s">
        <v>48</v>
      </c>
      <c r="H437">
        <v>81</v>
      </c>
      <c r="I437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437" s="7">
        <f>Sim_Output[[#This Row],[VALUE]]/SUMIFS(Sim_Output[VALUE],Sim_Output[SIM_ID],Sim_Output[[#This Row],[SIM_ID]],Sim_Output[WEEK],Sim_Output[[#This Row],[WEEK]],Sim_Output[OUTPUT],"PRICE_0")-1</f>
        <v>-0.23584905660377353</v>
      </c>
      <c r="K437" s="4">
        <f ca="1">IF(Sim_Output[[#This Row],[OUTPUT]]="PRICE_0",0,_xlfn.RANK.EQ(Sim_Output[[#This Row],[WTD_RET]],OFFSET(Sim_Output[[#This Row],[WTD_RET]],-Sim_Output[[#This Row],[OBS]]+1,0,12)))</f>
        <v>10</v>
      </c>
      <c r="L437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-0.49421233628202094</v>
      </c>
      <c r="M437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8.6956521739130446E-2</v>
      </c>
      <c r="N437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-4.705882352941182E-2</v>
      </c>
    </row>
    <row r="438" spans="2:14" x14ac:dyDescent="0.25">
      <c r="B438">
        <v>4</v>
      </c>
      <c r="C438">
        <v>4</v>
      </c>
      <c r="D438">
        <f>VALUE(RIGHT(Sim_Output[[#This Row],[OUTPUT]],LEN(Sim_Output[[#This Row],[OUTPUT]])-6))</f>
        <v>5</v>
      </c>
      <c r="E438">
        <v>1</v>
      </c>
      <c r="F438" t="str">
        <f>Sim_Output[[#This Row],[SIM_ID]]&amp;" - "&amp;Sim_Output[[#This Row],[WEEK]]&amp;" - "&amp;Sim_Output[[#This Row],[REGIME]]</f>
        <v>4 - 4 - 1</v>
      </c>
      <c r="G438" t="s">
        <v>49</v>
      </c>
      <c r="H438">
        <v>76</v>
      </c>
      <c r="I438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438" s="7">
        <f>Sim_Output[[#This Row],[VALUE]]/SUMIFS(Sim_Output[VALUE],Sim_Output[SIM_ID],Sim_Output[[#This Row],[SIM_ID]],Sim_Output[WEEK],Sim_Output[[#This Row],[WEEK]],Sim_Output[OUTPUT],"PRICE_0")-1</f>
        <v>-0.28301886792452835</v>
      </c>
      <c r="K438" s="4">
        <f ca="1">IF(Sim_Output[[#This Row],[OUTPUT]]="PRICE_0",0,_xlfn.RANK.EQ(Sim_Output[[#This Row],[WTD_RET]],OFFSET(Sim_Output[[#This Row],[WTD_RET]],-Sim_Output[[#This Row],[OBS]]+1,0,12)))</f>
        <v>11</v>
      </c>
      <c r="L438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-0.54498757631099581</v>
      </c>
      <c r="M438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7.3369565217391283E-2</v>
      </c>
      <c r="N438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-6.1728395061728447E-2</v>
      </c>
    </row>
    <row r="439" spans="2:14" x14ac:dyDescent="0.25">
      <c r="B439">
        <v>4</v>
      </c>
      <c r="C439">
        <v>4</v>
      </c>
      <c r="D439">
        <f>VALUE(RIGHT(Sim_Output[[#This Row],[OUTPUT]],LEN(Sim_Output[[#This Row],[OUTPUT]])-6))</f>
        <v>6</v>
      </c>
      <c r="E439">
        <v>1</v>
      </c>
      <c r="F439" t="str">
        <f>Sim_Output[[#This Row],[SIM_ID]]&amp;" - "&amp;Sim_Output[[#This Row],[WEEK]]&amp;" - "&amp;Sim_Output[[#This Row],[REGIME]]</f>
        <v>4 - 4 - 1</v>
      </c>
      <c r="G439" t="s">
        <v>50</v>
      </c>
      <c r="H439">
        <v>105</v>
      </c>
      <c r="I439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439" s="7">
        <f>Sim_Output[[#This Row],[VALUE]]/SUMIFS(Sim_Output[VALUE],Sim_Output[SIM_ID],Sim_Output[[#This Row],[SIM_ID]],Sim_Output[WEEK],Sim_Output[[#This Row],[WEEK]],Sim_Output[OUTPUT],"PRICE_0")-1</f>
        <v>-9.4339622641509413E-3</v>
      </c>
      <c r="K439" s="4">
        <f ca="1">IF(Sim_Output[[#This Row],[OUTPUT]]="PRICE_0",0,_xlfn.RANK.EQ(Sim_Output[[#This Row],[WTD_RET]],OFFSET(Sim_Output[[#This Row],[WTD_RET]],-Sim_Output[[#This Row],[OBS]]+1,0,12)))</f>
        <v>5</v>
      </c>
      <c r="L439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-0.25049118414294214</v>
      </c>
      <c r="M439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0.15217391304347824</v>
      </c>
      <c r="N439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0.38157894736842102</v>
      </c>
    </row>
    <row r="440" spans="2:14" x14ac:dyDescent="0.25">
      <c r="B440">
        <v>4</v>
      </c>
      <c r="C440">
        <v>4</v>
      </c>
      <c r="D440">
        <f>VALUE(RIGHT(Sim_Output[[#This Row],[OUTPUT]],LEN(Sim_Output[[#This Row],[OUTPUT]])-6))</f>
        <v>7</v>
      </c>
      <c r="E440">
        <v>1</v>
      </c>
      <c r="F440" t="str">
        <f>Sim_Output[[#This Row],[SIM_ID]]&amp;" - "&amp;Sim_Output[[#This Row],[WEEK]]&amp;" - "&amp;Sim_Output[[#This Row],[REGIME]]</f>
        <v>4 - 4 - 1</v>
      </c>
      <c r="G440" t="s">
        <v>51</v>
      </c>
      <c r="H440">
        <v>151</v>
      </c>
      <c r="I440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440" s="7">
        <f>Sim_Output[[#This Row],[VALUE]]/SUMIFS(Sim_Output[VALUE],Sim_Output[SIM_ID],Sim_Output[[#This Row],[SIM_ID]],Sim_Output[WEEK],Sim_Output[[#This Row],[WEEK]],Sim_Output[OUTPUT],"PRICE_0")-1</f>
        <v>0.42452830188679247</v>
      </c>
      <c r="K440" s="4">
        <f ca="1">IF(Sim_Output[[#This Row],[OUTPUT]]="PRICE_0",0,_xlfn.RANK.EQ(Sim_Output[[#This Row],[WTD_RET]],OFFSET(Sim_Output[[#This Row],[WTD_RET]],-Sim_Output[[#This Row],[OBS]]+1,0,12)))</f>
        <v>3</v>
      </c>
      <c r="L440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0.21664102412362557</v>
      </c>
      <c r="M440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0.27717391304347827</v>
      </c>
      <c r="N440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0.43809523809523809</v>
      </c>
    </row>
    <row r="441" spans="2:14" x14ac:dyDescent="0.25">
      <c r="B441">
        <v>4</v>
      </c>
      <c r="C441">
        <v>4</v>
      </c>
      <c r="D441">
        <f>VALUE(RIGHT(Sim_Output[[#This Row],[OUTPUT]],LEN(Sim_Output[[#This Row],[OUTPUT]])-6))</f>
        <v>8</v>
      </c>
      <c r="E441">
        <v>1</v>
      </c>
      <c r="F441" t="str">
        <f>Sim_Output[[#This Row],[SIM_ID]]&amp;" - "&amp;Sim_Output[[#This Row],[WEEK]]&amp;" - "&amp;Sim_Output[[#This Row],[REGIME]]</f>
        <v>4 - 4 - 1</v>
      </c>
      <c r="G441" t="s">
        <v>52</v>
      </c>
      <c r="H441">
        <v>417</v>
      </c>
      <c r="I441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441" s="7">
        <f>Sim_Output[[#This Row],[VALUE]]/SUMIFS(Sim_Output[VALUE],Sim_Output[SIM_ID],Sim_Output[[#This Row],[SIM_ID]],Sim_Output[WEEK],Sim_Output[[#This Row],[WEEK]],Sim_Output[OUTPUT],"PRICE_0")-1</f>
        <v>2.9339622641509435</v>
      </c>
      <c r="K441" s="4">
        <f ca="1">IF(Sim_Output[[#This Row],[OUTPUT]]="PRICE_0",0,_xlfn.RANK.EQ(Sim_Output[[#This Row],[WTD_RET]],OFFSET(Sim_Output[[#This Row],[WTD_RET]],-Sim_Output[[#This Row],[OBS]]+1,0,12)))</f>
        <v>1</v>
      </c>
      <c r="L441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2.9178837936650823</v>
      </c>
      <c r="M441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1</v>
      </c>
      <c r="N441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1.76158940397351</v>
      </c>
    </row>
    <row r="442" spans="2:14" x14ac:dyDescent="0.25">
      <c r="B442">
        <v>4</v>
      </c>
      <c r="C442">
        <v>4</v>
      </c>
      <c r="D442">
        <f>VALUE(RIGHT(Sim_Output[[#This Row],[OUTPUT]],LEN(Sim_Output[[#This Row],[OUTPUT]])-6))</f>
        <v>9</v>
      </c>
      <c r="E442">
        <v>1</v>
      </c>
      <c r="F442" t="str">
        <f>Sim_Output[[#This Row],[SIM_ID]]&amp;" - "&amp;Sim_Output[[#This Row],[WEEK]]&amp;" - "&amp;Sim_Output[[#This Row],[REGIME]]</f>
        <v>4 - 4 - 1</v>
      </c>
      <c r="G442" t="s">
        <v>53</v>
      </c>
      <c r="H442">
        <v>195</v>
      </c>
      <c r="I442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442" s="7">
        <f>Sim_Output[[#This Row],[VALUE]]/SUMIFS(Sim_Output[VALUE],Sim_Output[SIM_ID],Sim_Output[[#This Row],[SIM_ID]],Sim_Output[WEEK],Sim_Output[[#This Row],[WEEK]],Sim_Output[OUTPUT],"PRICE_0")-1</f>
        <v>0.83962264150943389</v>
      </c>
      <c r="K442" s="4">
        <f ca="1">IF(Sim_Output[[#This Row],[OUTPUT]]="PRICE_0",0,_xlfn.RANK.EQ(Sim_Output[[#This Row],[WTD_RET]],OFFSET(Sim_Output[[#This Row],[WTD_RET]],-Sim_Output[[#This Row],[OBS]]+1,0,12)))</f>
        <v>2</v>
      </c>
      <c r="L442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0.66346313637860321</v>
      </c>
      <c r="M442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0.39673913043478259</v>
      </c>
      <c r="N442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-0.53237410071942448</v>
      </c>
    </row>
    <row r="443" spans="2:14" x14ac:dyDescent="0.25">
      <c r="B443">
        <v>4</v>
      </c>
      <c r="C443">
        <v>4</v>
      </c>
      <c r="D443">
        <f>VALUE(RIGHT(Sim_Output[[#This Row],[OUTPUT]],LEN(Sim_Output[[#This Row],[OUTPUT]])-6))</f>
        <v>10</v>
      </c>
      <c r="E443">
        <v>1</v>
      </c>
      <c r="F443" t="str">
        <f>Sim_Output[[#This Row],[SIM_ID]]&amp;" - "&amp;Sim_Output[[#This Row],[WEEK]]&amp;" - "&amp;Sim_Output[[#This Row],[REGIME]]</f>
        <v>4 - 4 - 1</v>
      </c>
      <c r="G443" t="s">
        <v>54</v>
      </c>
      <c r="H443">
        <v>130</v>
      </c>
      <c r="I443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443" s="7">
        <f>Sim_Output[[#This Row],[VALUE]]/SUMIFS(Sim_Output[VALUE],Sim_Output[SIM_ID],Sim_Output[[#This Row],[SIM_ID]],Sim_Output[WEEK],Sim_Output[[#This Row],[WEEK]],Sim_Output[OUTPUT],"PRICE_0")-1</f>
        <v>0.22641509433962259</v>
      </c>
      <c r="K443" s="4">
        <f ca="1">IF(Sim_Output[[#This Row],[OUTPUT]]="PRICE_0",0,_xlfn.RANK.EQ(Sim_Output[[#This Row],[WTD_RET]],OFFSET(Sim_Output[[#This Row],[WTD_RET]],-Sim_Output[[#This Row],[OBS]]+1,0,12)))</f>
        <v>4</v>
      </c>
      <c r="L443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3.3850160019315598E-3</v>
      </c>
      <c r="M443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0.22010869565217389</v>
      </c>
      <c r="N443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-0.33333333333333337</v>
      </c>
    </row>
    <row r="444" spans="2:14" x14ac:dyDescent="0.25">
      <c r="B444">
        <v>4</v>
      </c>
      <c r="C444">
        <v>4</v>
      </c>
      <c r="D444">
        <f>VALUE(RIGHT(Sim_Output[[#This Row],[OUTPUT]],LEN(Sim_Output[[#This Row],[OUTPUT]])-6))</f>
        <v>11</v>
      </c>
      <c r="E444">
        <v>1</v>
      </c>
      <c r="F444" t="str">
        <f>Sim_Output[[#This Row],[SIM_ID]]&amp;" - "&amp;Sim_Output[[#This Row],[WEEK]]&amp;" - "&amp;Sim_Output[[#This Row],[REGIME]]</f>
        <v>4 - 4 - 1</v>
      </c>
      <c r="G444" t="s">
        <v>55</v>
      </c>
      <c r="H444">
        <v>83</v>
      </c>
      <c r="I444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444" s="7">
        <f>Sim_Output[[#This Row],[VALUE]]/SUMIFS(Sim_Output[VALUE],Sim_Output[SIM_ID],Sim_Output[[#This Row],[SIM_ID]],Sim_Output[WEEK],Sim_Output[[#This Row],[WEEK]],Sim_Output[OUTPUT],"PRICE_0")-1</f>
        <v>-0.21698113207547165</v>
      </c>
      <c r="K444" s="4">
        <f ca="1">IF(Sim_Output[[#This Row],[OUTPUT]]="PRICE_0",0,_xlfn.RANK.EQ(Sim_Output[[#This Row],[WTD_RET]],OFFSET(Sim_Output[[#This Row],[WTD_RET]],-Sim_Output[[#This Row],[OBS]]+1,0,12)))</f>
        <v>9</v>
      </c>
      <c r="L444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-0.47390224027043104</v>
      </c>
      <c r="M444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9.2391304347826095E-2</v>
      </c>
      <c r="N444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-0.36153846153846159</v>
      </c>
    </row>
    <row r="445" spans="2:14" x14ac:dyDescent="0.25">
      <c r="B445">
        <v>4</v>
      </c>
      <c r="C445">
        <v>4</v>
      </c>
      <c r="D445">
        <f>VALUE(RIGHT(Sim_Output[[#This Row],[OUTPUT]],LEN(Sim_Output[[#This Row],[OUTPUT]])-6))</f>
        <v>12</v>
      </c>
      <c r="E445">
        <v>1</v>
      </c>
      <c r="F445" t="str">
        <f>Sim_Output[[#This Row],[SIM_ID]]&amp;" - "&amp;Sim_Output[[#This Row],[WEEK]]&amp;" - "&amp;Sim_Output[[#This Row],[REGIME]]</f>
        <v>4 - 4 - 1</v>
      </c>
      <c r="G445" t="s">
        <v>56</v>
      </c>
      <c r="H445">
        <v>49</v>
      </c>
      <c r="I445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445" s="7">
        <f>Sim_Output[[#This Row],[VALUE]]/SUMIFS(Sim_Output[VALUE],Sim_Output[SIM_ID],Sim_Output[[#This Row],[SIM_ID]],Sim_Output[WEEK],Sim_Output[[#This Row],[WEEK]],Sim_Output[OUTPUT],"PRICE_0")-1</f>
        <v>-0.53773584905660377</v>
      </c>
      <c r="K445" s="4">
        <f ca="1">IF(Sim_Output[[#This Row],[OUTPUT]]="PRICE_0",0,_xlfn.RANK.EQ(Sim_Output[[#This Row],[WTD_RET]],OFFSET(Sim_Output[[#This Row],[WTD_RET]],-Sim_Output[[#This Row],[OBS]]+1,0,12)))</f>
        <v>12</v>
      </c>
      <c r="L445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-0.81917387246745932</v>
      </c>
      <c r="M445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</v>
      </c>
      <c r="N445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-0.40963855421686746</v>
      </c>
    </row>
    <row r="446" spans="2:14" x14ac:dyDescent="0.25">
      <c r="B446">
        <v>4</v>
      </c>
      <c r="C446">
        <v>5</v>
      </c>
      <c r="D446">
        <f>VALUE(RIGHT(Sim_Output[[#This Row],[OUTPUT]],LEN(Sim_Output[[#This Row],[OUTPUT]])-6))</f>
        <v>0</v>
      </c>
      <c r="E446">
        <v>2</v>
      </c>
      <c r="F446" t="str">
        <f>Sim_Output[[#This Row],[SIM_ID]]&amp;" - "&amp;Sim_Output[[#This Row],[WEEK]]&amp;" - "&amp;Sim_Output[[#This Row],[REGIME]]</f>
        <v>4 - 5 - 2</v>
      </c>
      <c r="G446" t="s">
        <v>44</v>
      </c>
      <c r="H446">
        <v>100</v>
      </c>
      <c r="I446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446" s="7">
        <f>Sim_Output[[#This Row],[VALUE]]/SUMIFS(Sim_Output[VALUE],Sim_Output[SIM_ID],Sim_Output[[#This Row],[SIM_ID]],Sim_Output[WEEK],Sim_Output[[#This Row],[WEEK]],Sim_Output[OUTPUT],"PRICE_0")-1</f>
        <v>0</v>
      </c>
      <c r="K446" s="4">
        <f ca="1">IF(Sim_Output[[#This Row],[OUTPUT]]="PRICE_0",0,_xlfn.RANK.EQ(Sim_Output[[#This Row],[WTD_RET]],OFFSET(Sim_Output[[#This Row],[WTD_RET]],-Sim_Output[[#This Row],[OBS]]+1,0,12)))</f>
        <v>0</v>
      </c>
      <c r="L446" s="3" t="str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/>
      </c>
      <c r="M446" s="3" t="str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/>
      </c>
      <c r="N446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</v>
      </c>
    </row>
    <row r="447" spans="2:14" x14ac:dyDescent="0.25">
      <c r="B447">
        <v>4</v>
      </c>
      <c r="C447">
        <v>5</v>
      </c>
      <c r="D447">
        <f>VALUE(RIGHT(Sim_Output[[#This Row],[OUTPUT]],LEN(Sim_Output[[#This Row],[OUTPUT]])-6))</f>
        <v>1</v>
      </c>
      <c r="E447">
        <v>2</v>
      </c>
      <c r="F447" t="str">
        <f>Sim_Output[[#This Row],[SIM_ID]]&amp;" - "&amp;Sim_Output[[#This Row],[WEEK]]&amp;" - "&amp;Sim_Output[[#This Row],[REGIME]]</f>
        <v>4 - 5 - 2</v>
      </c>
      <c r="G447" t="s">
        <v>45</v>
      </c>
      <c r="H447">
        <v>89</v>
      </c>
      <c r="I447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447" s="7">
        <f>Sim_Output[[#This Row],[VALUE]]/SUMIFS(Sim_Output[VALUE],Sim_Output[SIM_ID],Sim_Output[[#This Row],[SIM_ID]],Sim_Output[WEEK],Sim_Output[[#This Row],[WEEK]],Sim_Output[OUTPUT],"PRICE_0")-1</f>
        <v>-0.10999999999999999</v>
      </c>
      <c r="K447" s="4">
        <f ca="1">IF(Sim_Output[[#This Row],[OUTPUT]]="PRICE_0",0,_xlfn.RANK.EQ(Sim_Output[[#This Row],[WTD_RET]],OFFSET(Sim_Output[[#This Row],[WTD_RET]],-Sim_Output[[#This Row],[OBS]]+1,0,12)))</f>
        <v>1</v>
      </c>
      <c r="L447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1.5689659870464601</v>
      </c>
      <c r="M447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1</v>
      </c>
      <c r="N447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-0.10999999999999999</v>
      </c>
    </row>
    <row r="448" spans="2:14" x14ac:dyDescent="0.25">
      <c r="B448">
        <v>4</v>
      </c>
      <c r="C448">
        <v>5</v>
      </c>
      <c r="D448">
        <f>VALUE(RIGHT(Sim_Output[[#This Row],[OUTPUT]],LEN(Sim_Output[[#This Row],[OUTPUT]])-6))</f>
        <v>2</v>
      </c>
      <c r="E448">
        <v>2</v>
      </c>
      <c r="F448" t="str">
        <f>Sim_Output[[#This Row],[SIM_ID]]&amp;" - "&amp;Sim_Output[[#This Row],[WEEK]]&amp;" - "&amp;Sim_Output[[#This Row],[REGIME]]</f>
        <v>4 - 5 - 2</v>
      </c>
      <c r="G448" t="s">
        <v>46</v>
      </c>
      <c r="H448">
        <v>84</v>
      </c>
      <c r="I448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448" s="7">
        <f>Sim_Output[[#This Row],[VALUE]]/SUMIFS(Sim_Output[VALUE],Sim_Output[SIM_ID],Sim_Output[[#This Row],[SIM_ID]],Sim_Output[WEEK],Sim_Output[[#This Row],[WEEK]],Sim_Output[OUTPUT],"PRICE_0")-1</f>
        <v>-0.16000000000000003</v>
      </c>
      <c r="K448" s="4">
        <f ca="1">IF(Sim_Output[[#This Row],[OUTPUT]]="PRICE_0",0,_xlfn.RANK.EQ(Sim_Output[[#This Row],[WTD_RET]],OFFSET(Sim_Output[[#This Row],[WTD_RET]],-Sim_Output[[#This Row],[OBS]]+1,0,12)))</f>
        <v>2</v>
      </c>
      <c r="L448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1.2150638847051529</v>
      </c>
      <c r="M448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0.88372093023255804</v>
      </c>
      <c r="N448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-5.6179775280898903E-2</v>
      </c>
    </row>
    <row r="449" spans="2:14" x14ac:dyDescent="0.25">
      <c r="B449">
        <v>4</v>
      </c>
      <c r="C449">
        <v>5</v>
      </c>
      <c r="D449">
        <f>VALUE(RIGHT(Sim_Output[[#This Row],[OUTPUT]],LEN(Sim_Output[[#This Row],[OUTPUT]])-6))</f>
        <v>3</v>
      </c>
      <c r="E449">
        <v>2</v>
      </c>
      <c r="F449" t="str">
        <f>Sim_Output[[#This Row],[SIM_ID]]&amp;" - "&amp;Sim_Output[[#This Row],[WEEK]]&amp;" - "&amp;Sim_Output[[#This Row],[REGIME]]</f>
        <v>4 - 5 - 2</v>
      </c>
      <c r="G449" t="s">
        <v>47</v>
      </c>
      <c r="H449">
        <v>80</v>
      </c>
      <c r="I449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449" s="7">
        <f>Sim_Output[[#This Row],[VALUE]]/SUMIFS(Sim_Output[VALUE],Sim_Output[SIM_ID],Sim_Output[[#This Row],[SIM_ID]],Sim_Output[WEEK],Sim_Output[[#This Row],[WEEK]],Sim_Output[OUTPUT],"PRICE_0")-1</f>
        <v>-0.19999999999999996</v>
      </c>
      <c r="K449" s="4">
        <f ca="1">IF(Sim_Output[[#This Row],[OUTPUT]]="PRICE_0",0,_xlfn.RANK.EQ(Sim_Output[[#This Row],[WTD_RET]],OFFSET(Sim_Output[[#This Row],[WTD_RET]],-Sim_Output[[#This Row],[OBS]]+1,0,12)))</f>
        <v>3</v>
      </c>
      <c r="L449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0.93194220283210794</v>
      </c>
      <c r="M449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0.79069767441860472</v>
      </c>
      <c r="N449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-4.7619047619047672E-2</v>
      </c>
    </row>
    <row r="450" spans="2:14" x14ac:dyDescent="0.25">
      <c r="B450">
        <v>4</v>
      </c>
      <c r="C450">
        <v>5</v>
      </c>
      <c r="D450">
        <f>VALUE(RIGHT(Sim_Output[[#This Row],[OUTPUT]],LEN(Sim_Output[[#This Row],[OUTPUT]])-6))</f>
        <v>4</v>
      </c>
      <c r="E450">
        <v>2</v>
      </c>
      <c r="F450" t="str">
        <f>Sim_Output[[#This Row],[SIM_ID]]&amp;" - "&amp;Sim_Output[[#This Row],[WEEK]]&amp;" - "&amp;Sim_Output[[#This Row],[REGIME]]</f>
        <v>4 - 5 - 2</v>
      </c>
      <c r="G450" t="s">
        <v>48</v>
      </c>
      <c r="H450">
        <v>77</v>
      </c>
      <c r="I450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450" s="7">
        <f>Sim_Output[[#This Row],[VALUE]]/SUMIFS(Sim_Output[VALUE],Sim_Output[SIM_ID],Sim_Output[[#This Row],[SIM_ID]],Sim_Output[WEEK],Sim_Output[[#This Row],[WEEK]],Sim_Output[OUTPUT],"PRICE_0")-1</f>
        <v>-0.22999999999999998</v>
      </c>
      <c r="K450" s="4">
        <f ca="1">IF(Sim_Output[[#This Row],[OUTPUT]]="PRICE_0",0,_xlfn.RANK.EQ(Sim_Output[[#This Row],[WTD_RET]],OFFSET(Sim_Output[[#This Row],[WTD_RET]],-Sim_Output[[#This Row],[OBS]]+1,0,12)))</f>
        <v>4</v>
      </c>
      <c r="L450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0.71960094142732367</v>
      </c>
      <c r="M450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0.72093023255813959</v>
      </c>
      <c r="N450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-3.7499999999999978E-2</v>
      </c>
    </row>
    <row r="451" spans="2:14" x14ac:dyDescent="0.25">
      <c r="B451">
        <v>4</v>
      </c>
      <c r="C451">
        <v>5</v>
      </c>
      <c r="D451">
        <f>VALUE(RIGHT(Sim_Output[[#This Row],[OUTPUT]],LEN(Sim_Output[[#This Row],[OUTPUT]])-6))</f>
        <v>5</v>
      </c>
      <c r="E451">
        <v>2</v>
      </c>
      <c r="F451" t="str">
        <f>Sim_Output[[#This Row],[SIM_ID]]&amp;" - "&amp;Sim_Output[[#This Row],[WEEK]]&amp;" - "&amp;Sim_Output[[#This Row],[REGIME]]</f>
        <v>4 - 5 - 2</v>
      </c>
      <c r="G451" t="s">
        <v>49</v>
      </c>
      <c r="H451">
        <v>73</v>
      </c>
      <c r="I451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451" s="7">
        <f>Sim_Output[[#This Row],[VALUE]]/SUMIFS(Sim_Output[VALUE],Sim_Output[SIM_ID],Sim_Output[[#This Row],[SIM_ID]],Sim_Output[WEEK],Sim_Output[[#This Row],[WEEK]],Sim_Output[OUTPUT],"PRICE_0")-1</f>
        <v>-0.27</v>
      </c>
      <c r="K451" s="4">
        <f ca="1">IF(Sim_Output[[#This Row],[OUTPUT]]="PRICE_0",0,_xlfn.RANK.EQ(Sim_Output[[#This Row],[WTD_RET]],OFFSET(Sim_Output[[#This Row],[WTD_RET]],-Sim_Output[[#This Row],[OBS]]+1,0,12)))</f>
        <v>5</v>
      </c>
      <c r="L451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0.43647925955427791</v>
      </c>
      <c r="M451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0.62790697674418605</v>
      </c>
      <c r="N451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-5.1948051948051965E-2</v>
      </c>
    </row>
    <row r="452" spans="2:14" x14ac:dyDescent="0.25">
      <c r="B452">
        <v>4</v>
      </c>
      <c r="C452">
        <v>5</v>
      </c>
      <c r="D452">
        <f>VALUE(RIGHT(Sim_Output[[#This Row],[OUTPUT]],LEN(Sim_Output[[#This Row],[OUTPUT]])-6))</f>
        <v>6</v>
      </c>
      <c r="E452">
        <v>2</v>
      </c>
      <c r="F452" t="str">
        <f>Sim_Output[[#This Row],[SIM_ID]]&amp;" - "&amp;Sim_Output[[#This Row],[WEEK]]&amp;" - "&amp;Sim_Output[[#This Row],[REGIME]]</f>
        <v>4 - 5 - 2</v>
      </c>
      <c r="G452" t="s">
        <v>50</v>
      </c>
      <c r="H452">
        <v>69</v>
      </c>
      <c r="I452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452" s="7">
        <f>Sim_Output[[#This Row],[VALUE]]/SUMIFS(Sim_Output[VALUE],Sim_Output[SIM_ID],Sim_Output[[#This Row],[SIM_ID]],Sim_Output[WEEK],Sim_Output[[#This Row],[WEEK]],Sim_Output[OUTPUT],"PRICE_0")-1</f>
        <v>-0.31000000000000005</v>
      </c>
      <c r="K452" s="4">
        <f ca="1">IF(Sim_Output[[#This Row],[OUTPUT]]="PRICE_0",0,_xlfn.RANK.EQ(Sim_Output[[#This Row],[WTD_RET]],OFFSET(Sim_Output[[#This Row],[WTD_RET]],-Sim_Output[[#This Row],[OBS]]+1,0,12)))</f>
        <v>6</v>
      </c>
      <c r="L452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0.15335757768123218</v>
      </c>
      <c r="M452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0.53488372093023251</v>
      </c>
      <c r="N452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-5.4794520547945202E-2</v>
      </c>
    </row>
    <row r="453" spans="2:14" x14ac:dyDescent="0.25">
      <c r="B453">
        <v>4</v>
      </c>
      <c r="C453">
        <v>5</v>
      </c>
      <c r="D453">
        <f>VALUE(RIGHT(Sim_Output[[#This Row],[OUTPUT]],LEN(Sim_Output[[#This Row],[OUTPUT]])-6))</f>
        <v>7</v>
      </c>
      <c r="E453">
        <v>2</v>
      </c>
      <c r="F453" t="str">
        <f>Sim_Output[[#This Row],[SIM_ID]]&amp;" - "&amp;Sim_Output[[#This Row],[WEEK]]&amp;" - "&amp;Sim_Output[[#This Row],[REGIME]]</f>
        <v>4 - 5 - 2</v>
      </c>
      <c r="G453" t="s">
        <v>51</v>
      </c>
      <c r="H453">
        <v>65</v>
      </c>
      <c r="I453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453" s="7">
        <f>Sim_Output[[#This Row],[VALUE]]/SUMIFS(Sim_Output[VALUE],Sim_Output[SIM_ID],Sim_Output[[#This Row],[SIM_ID]],Sim_Output[WEEK],Sim_Output[[#This Row],[WEEK]],Sim_Output[OUTPUT],"PRICE_0")-1</f>
        <v>-0.35</v>
      </c>
      <c r="K453" s="4">
        <f ca="1">IF(Sim_Output[[#This Row],[OUTPUT]]="PRICE_0",0,_xlfn.RANK.EQ(Sim_Output[[#This Row],[WTD_RET]],OFFSET(Sim_Output[[#This Row],[WTD_RET]],-Sim_Output[[#This Row],[OBS]]+1,0,12)))</f>
        <v>7</v>
      </c>
      <c r="L453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-0.12976410419181275</v>
      </c>
      <c r="M453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0.44186046511627913</v>
      </c>
      <c r="N453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-5.7971014492753659E-2</v>
      </c>
    </row>
    <row r="454" spans="2:14" x14ac:dyDescent="0.25">
      <c r="B454">
        <v>4</v>
      </c>
      <c r="C454">
        <v>5</v>
      </c>
      <c r="D454">
        <f>VALUE(RIGHT(Sim_Output[[#This Row],[OUTPUT]],LEN(Sim_Output[[#This Row],[OUTPUT]])-6))</f>
        <v>8</v>
      </c>
      <c r="E454">
        <v>2</v>
      </c>
      <c r="F454" t="str">
        <f>Sim_Output[[#This Row],[SIM_ID]]&amp;" - "&amp;Sim_Output[[#This Row],[WEEK]]&amp;" - "&amp;Sim_Output[[#This Row],[REGIME]]</f>
        <v>4 - 5 - 2</v>
      </c>
      <c r="G454" t="s">
        <v>52</v>
      </c>
      <c r="H454">
        <v>60</v>
      </c>
      <c r="I454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454" s="7">
        <f>Sim_Output[[#This Row],[VALUE]]/SUMIFS(Sim_Output[VALUE],Sim_Output[SIM_ID],Sim_Output[[#This Row],[SIM_ID]],Sim_Output[WEEK],Sim_Output[[#This Row],[WEEK]],Sim_Output[OUTPUT],"PRICE_0")-1</f>
        <v>-0.4</v>
      </c>
      <c r="K454" s="4">
        <f ca="1">IF(Sim_Output[[#This Row],[OUTPUT]]="PRICE_0",0,_xlfn.RANK.EQ(Sim_Output[[#This Row],[WTD_RET]],OFFSET(Sim_Output[[#This Row],[WTD_RET]],-Sim_Output[[#This Row],[OBS]]+1,0,12)))</f>
        <v>8</v>
      </c>
      <c r="L454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-0.48366620653311992</v>
      </c>
      <c r="M454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0.32558139534883718</v>
      </c>
      <c r="N454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-7.6923076923076872E-2</v>
      </c>
    </row>
    <row r="455" spans="2:14" x14ac:dyDescent="0.25">
      <c r="B455">
        <v>4</v>
      </c>
      <c r="C455">
        <v>5</v>
      </c>
      <c r="D455">
        <f>VALUE(RIGHT(Sim_Output[[#This Row],[OUTPUT]],LEN(Sim_Output[[#This Row],[OUTPUT]])-6))</f>
        <v>9</v>
      </c>
      <c r="E455">
        <v>2</v>
      </c>
      <c r="F455" t="str">
        <f>Sim_Output[[#This Row],[SIM_ID]]&amp;" - "&amp;Sim_Output[[#This Row],[WEEK]]&amp;" - "&amp;Sim_Output[[#This Row],[REGIME]]</f>
        <v>4 - 5 - 2</v>
      </c>
      <c r="G455" t="s">
        <v>53</v>
      </c>
      <c r="H455">
        <v>57</v>
      </c>
      <c r="I455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455" s="7">
        <f>Sim_Output[[#This Row],[VALUE]]/SUMIFS(Sim_Output[VALUE],Sim_Output[SIM_ID],Sim_Output[[#This Row],[SIM_ID]],Sim_Output[WEEK],Sim_Output[[#This Row],[WEEK]],Sim_Output[OUTPUT],"PRICE_0")-1</f>
        <v>-0.43000000000000005</v>
      </c>
      <c r="K455" s="4">
        <f ca="1">IF(Sim_Output[[#This Row],[OUTPUT]]="PRICE_0",0,_xlfn.RANK.EQ(Sim_Output[[#This Row],[WTD_RET]],OFFSET(Sim_Output[[#This Row],[WTD_RET]],-Sim_Output[[#This Row],[OBS]]+1,0,12)))</f>
        <v>9</v>
      </c>
      <c r="L455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-0.69600746793790425</v>
      </c>
      <c r="M455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0.25581395348837205</v>
      </c>
      <c r="N455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-5.0000000000000044E-2</v>
      </c>
    </row>
    <row r="456" spans="2:14" x14ac:dyDescent="0.25">
      <c r="B456">
        <v>4</v>
      </c>
      <c r="C456">
        <v>5</v>
      </c>
      <c r="D456">
        <f>VALUE(RIGHT(Sim_Output[[#This Row],[OUTPUT]],LEN(Sim_Output[[#This Row],[OUTPUT]])-6))</f>
        <v>10</v>
      </c>
      <c r="E456">
        <v>2</v>
      </c>
      <c r="F456" t="str">
        <f>Sim_Output[[#This Row],[SIM_ID]]&amp;" - "&amp;Sim_Output[[#This Row],[WEEK]]&amp;" - "&amp;Sim_Output[[#This Row],[REGIME]]</f>
        <v>4 - 5 - 2</v>
      </c>
      <c r="G456" t="s">
        <v>54</v>
      </c>
      <c r="H456">
        <v>53</v>
      </c>
      <c r="I456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456" s="7">
        <f>Sim_Output[[#This Row],[VALUE]]/SUMIFS(Sim_Output[VALUE],Sim_Output[SIM_ID],Sim_Output[[#This Row],[SIM_ID]],Sim_Output[WEEK],Sim_Output[[#This Row],[WEEK]],Sim_Output[OUTPUT],"PRICE_0")-1</f>
        <v>-0.47</v>
      </c>
      <c r="K456" s="4">
        <f ca="1">IF(Sim_Output[[#This Row],[OUTPUT]]="PRICE_0",0,_xlfn.RANK.EQ(Sim_Output[[#This Row],[WTD_RET]],OFFSET(Sim_Output[[#This Row],[WTD_RET]],-Sim_Output[[#This Row],[OBS]]+1,0,12)))</f>
        <v>10</v>
      </c>
      <c r="L456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-0.97912914981094912</v>
      </c>
      <c r="M456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0.16279069767441873</v>
      </c>
      <c r="N456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-7.0175438596491224E-2</v>
      </c>
    </row>
    <row r="457" spans="2:14" x14ac:dyDescent="0.25">
      <c r="B457">
        <v>4</v>
      </c>
      <c r="C457">
        <v>5</v>
      </c>
      <c r="D457">
        <f>VALUE(RIGHT(Sim_Output[[#This Row],[OUTPUT]],LEN(Sim_Output[[#This Row],[OUTPUT]])-6))</f>
        <v>11</v>
      </c>
      <c r="E457">
        <v>2</v>
      </c>
      <c r="F457" t="str">
        <f>Sim_Output[[#This Row],[SIM_ID]]&amp;" - "&amp;Sim_Output[[#This Row],[WEEK]]&amp;" - "&amp;Sim_Output[[#This Row],[REGIME]]</f>
        <v>4 - 5 - 2</v>
      </c>
      <c r="G457" t="s">
        <v>55</v>
      </c>
      <c r="H457">
        <v>49</v>
      </c>
      <c r="I457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457" s="7">
        <f>Sim_Output[[#This Row],[VALUE]]/SUMIFS(Sim_Output[VALUE],Sim_Output[SIM_ID],Sim_Output[[#This Row],[SIM_ID]],Sim_Output[WEEK],Sim_Output[[#This Row],[WEEK]],Sim_Output[OUTPUT],"PRICE_0")-1</f>
        <v>-0.51</v>
      </c>
      <c r="K457" s="4">
        <f ca="1">IF(Sim_Output[[#This Row],[OUTPUT]]="PRICE_0",0,_xlfn.RANK.EQ(Sim_Output[[#This Row],[WTD_RET]],OFFSET(Sim_Output[[#This Row],[WTD_RET]],-Sim_Output[[#This Row],[OBS]]+1,0,12)))</f>
        <v>11</v>
      </c>
      <c r="L457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-1.2622508316839949</v>
      </c>
      <c r="M457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6.9767441860465171E-2</v>
      </c>
      <c r="N457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-7.547169811320753E-2</v>
      </c>
    </row>
    <row r="458" spans="2:14" x14ac:dyDescent="0.25">
      <c r="B458">
        <v>4</v>
      </c>
      <c r="C458">
        <v>5</v>
      </c>
      <c r="D458">
        <f>VALUE(RIGHT(Sim_Output[[#This Row],[OUTPUT]],LEN(Sim_Output[[#This Row],[OUTPUT]])-6))</f>
        <v>12</v>
      </c>
      <c r="E458">
        <v>2</v>
      </c>
      <c r="F458" t="str">
        <f>Sim_Output[[#This Row],[SIM_ID]]&amp;" - "&amp;Sim_Output[[#This Row],[WEEK]]&amp;" - "&amp;Sim_Output[[#This Row],[REGIME]]</f>
        <v>4 - 5 - 2</v>
      </c>
      <c r="G458" t="s">
        <v>56</v>
      </c>
      <c r="H458">
        <v>46</v>
      </c>
      <c r="I458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458" s="7">
        <f>Sim_Output[[#This Row],[VALUE]]/SUMIFS(Sim_Output[VALUE],Sim_Output[SIM_ID],Sim_Output[[#This Row],[SIM_ID]],Sim_Output[WEEK],Sim_Output[[#This Row],[WEEK]],Sim_Output[OUTPUT],"PRICE_0")-1</f>
        <v>-0.54</v>
      </c>
      <c r="K458" s="4">
        <f ca="1">IF(Sim_Output[[#This Row],[OUTPUT]]="PRICE_0",0,_xlfn.RANK.EQ(Sim_Output[[#This Row],[WTD_RET]],OFFSET(Sim_Output[[#This Row],[WTD_RET]],-Sim_Output[[#This Row],[OBS]]+1,0,12)))</f>
        <v>12</v>
      </c>
      <c r="L458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-1.4745920930887793</v>
      </c>
      <c r="M458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</v>
      </c>
      <c r="N458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-6.1224489795918324E-2</v>
      </c>
    </row>
    <row r="459" spans="2:14" x14ac:dyDescent="0.25">
      <c r="B459">
        <v>4</v>
      </c>
      <c r="C459">
        <v>6</v>
      </c>
      <c r="D459">
        <f>VALUE(RIGHT(Sim_Output[[#This Row],[OUTPUT]],LEN(Sim_Output[[#This Row],[OUTPUT]])-6))</f>
        <v>0</v>
      </c>
      <c r="E459">
        <v>1</v>
      </c>
      <c r="F459" t="str">
        <f>Sim_Output[[#This Row],[SIM_ID]]&amp;" - "&amp;Sim_Output[[#This Row],[WEEK]]&amp;" - "&amp;Sim_Output[[#This Row],[REGIME]]</f>
        <v>4 - 6 - 1</v>
      </c>
      <c r="G459" t="s">
        <v>44</v>
      </c>
      <c r="H459">
        <v>109</v>
      </c>
      <c r="I459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459" s="7">
        <f>Sim_Output[[#This Row],[VALUE]]/SUMIFS(Sim_Output[VALUE],Sim_Output[SIM_ID],Sim_Output[[#This Row],[SIM_ID]],Sim_Output[WEEK],Sim_Output[[#This Row],[WEEK]],Sim_Output[OUTPUT],"PRICE_0")-1</f>
        <v>0</v>
      </c>
      <c r="K459" s="4">
        <f ca="1">IF(Sim_Output[[#This Row],[OUTPUT]]="PRICE_0",0,_xlfn.RANK.EQ(Sim_Output[[#This Row],[WTD_RET]],OFFSET(Sim_Output[[#This Row],[WTD_RET]],-Sim_Output[[#This Row],[OBS]]+1,0,12)))</f>
        <v>0</v>
      </c>
      <c r="L459" s="3" t="str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/>
      </c>
      <c r="M459" s="3" t="str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/>
      </c>
      <c r="N459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</v>
      </c>
    </row>
    <row r="460" spans="2:14" x14ac:dyDescent="0.25">
      <c r="B460">
        <v>4</v>
      </c>
      <c r="C460">
        <v>6</v>
      </c>
      <c r="D460">
        <f>VALUE(RIGHT(Sim_Output[[#This Row],[OUTPUT]],LEN(Sim_Output[[#This Row],[OUTPUT]])-6))</f>
        <v>1</v>
      </c>
      <c r="E460">
        <v>1</v>
      </c>
      <c r="F460" t="str">
        <f>Sim_Output[[#This Row],[SIM_ID]]&amp;" - "&amp;Sim_Output[[#This Row],[WEEK]]&amp;" - "&amp;Sim_Output[[#This Row],[REGIME]]</f>
        <v>4 - 6 - 1</v>
      </c>
      <c r="G460" t="s">
        <v>45</v>
      </c>
      <c r="H460">
        <v>94</v>
      </c>
      <c r="I460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460" s="7">
        <f>Sim_Output[[#This Row],[VALUE]]/SUMIFS(Sim_Output[VALUE],Sim_Output[SIM_ID],Sim_Output[[#This Row],[SIM_ID]],Sim_Output[WEEK],Sim_Output[[#This Row],[WEEK]],Sim_Output[OUTPUT],"PRICE_0")-1</f>
        <v>-0.13761467889908252</v>
      </c>
      <c r="K460" s="4">
        <f ca="1">IF(Sim_Output[[#This Row],[OUTPUT]]="PRICE_0",0,_xlfn.RANK.EQ(Sim_Output[[#This Row],[WTD_RET]],OFFSET(Sim_Output[[#This Row],[WTD_RET]],-Sim_Output[[#This Row],[OBS]]+1,0,12)))</f>
        <v>7</v>
      </c>
      <c r="L460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-0.41477394169307902</v>
      </c>
      <c r="M460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4.4345898004434586E-2</v>
      </c>
      <c r="N460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-0.13761467889908252</v>
      </c>
    </row>
    <row r="461" spans="2:14" x14ac:dyDescent="0.25">
      <c r="B461">
        <v>4</v>
      </c>
      <c r="C461">
        <v>6</v>
      </c>
      <c r="D461">
        <f>VALUE(RIGHT(Sim_Output[[#This Row],[OUTPUT]],LEN(Sim_Output[[#This Row],[OUTPUT]])-6))</f>
        <v>2</v>
      </c>
      <c r="E461">
        <v>1</v>
      </c>
      <c r="F461" t="str">
        <f>Sim_Output[[#This Row],[SIM_ID]]&amp;" - "&amp;Sim_Output[[#This Row],[WEEK]]&amp;" - "&amp;Sim_Output[[#This Row],[REGIME]]</f>
        <v>4 - 6 - 1</v>
      </c>
      <c r="G461" t="s">
        <v>46</v>
      </c>
      <c r="H461">
        <v>89</v>
      </c>
      <c r="I461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461" s="7">
        <f>Sim_Output[[#This Row],[VALUE]]/SUMIFS(Sim_Output[VALUE],Sim_Output[SIM_ID],Sim_Output[[#This Row],[SIM_ID]],Sim_Output[WEEK],Sim_Output[[#This Row],[WEEK]],Sim_Output[OUTPUT],"PRICE_0")-1</f>
        <v>-0.1834862385321101</v>
      </c>
      <c r="K461" s="4">
        <f ca="1">IF(Sim_Output[[#This Row],[OUTPUT]]="PRICE_0",0,_xlfn.RANK.EQ(Sim_Output[[#This Row],[WTD_RET]],OFFSET(Sim_Output[[#This Row],[WTD_RET]],-Sim_Output[[#This Row],[OBS]]+1,0,12)))</f>
        <v>9</v>
      </c>
      <c r="L461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-0.454720067698833</v>
      </c>
      <c r="M461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3.3259423503325926E-2</v>
      </c>
      <c r="N461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-5.3191489361702149E-2</v>
      </c>
    </row>
    <row r="462" spans="2:14" x14ac:dyDescent="0.25">
      <c r="B462">
        <v>4</v>
      </c>
      <c r="C462">
        <v>6</v>
      </c>
      <c r="D462">
        <f>VALUE(RIGHT(Sim_Output[[#This Row],[OUTPUT]],LEN(Sim_Output[[#This Row],[OUTPUT]])-6))</f>
        <v>3</v>
      </c>
      <c r="E462">
        <v>1</v>
      </c>
      <c r="F462" t="str">
        <f>Sim_Output[[#This Row],[SIM_ID]]&amp;" - "&amp;Sim_Output[[#This Row],[WEEK]]&amp;" - "&amp;Sim_Output[[#This Row],[REGIME]]</f>
        <v>4 - 6 - 1</v>
      </c>
      <c r="G462" t="s">
        <v>47</v>
      </c>
      <c r="H462">
        <v>85</v>
      </c>
      <c r="I462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462" s="7">
        <f>Sim_Output[[#This Row],[VALUE]]/SUMIFS(Sim_Output[VALUE],Sim_Output[SIM_ID],Sim_Output[[#This Row],[SIM_ID]],Sim_Output[WEEK],Sim_Output[[#This Row],[WEEK]],Sim_Output[OUTPUT],"PRICE_0")-1</f>
        <v>-0.22018348623853212</v>
      </c>
      <c r="K462" s="4">
        <f ca="1">IF(Sim_Output[[#This Row],[OUTPUT]]="PRICE_0",0,_xlfn.RANK.EQ(Sim_Output[[#This Row],[WTD_RET]],OFFSET(Sim_Output[[#This Row],[WTD_RET]],-Sim_Output[[#This Row],[OBS]]+1,0,12)))</f>
        <v>10</v>
      </c>
      <c r="L462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-0.48667696850343622</v>
      </c>
      <c r="M462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2.4390243902439011E-2</v>
      </c>
      <c r="N462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-4.49438202247191E-2</v>
      </c>
    </row>
    <row r="463" spans="2:14" x14ac:dyDescent="0.25">
      <c r="B463">
        <v>4</v>
      </c>
      <c r="C463">
        <v>6</v>
      </c>
      <c r="D463">
        <f>VALUE(RIGHT(Sim_Output[[#This Row],[OUTPUT]],LEN(Sim_Output[[#This Row],[OUTPUT]])-6))</f>
        <v>4</v>
      </c>
      <c r="E463">
        <v>1</v>
      </c>
      <c r="F463" t="str">
        <f>Sim_Output[[#This Row],[SIM_ID]]&amp;" - "&amp;Sim_Output[[#This Row],[WEEK]]&amp;" - "&amp;Sim_Output[[#This Row],[REGIME]]</f>
        <v>4 - 6 - 1</v>
      </c>
      <c r="G463" t="s">
        <v>48</v>
      </c>
      <c r="H463">
        <v>111</v>
      </c>
      <c r="I463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463" s="7">
        <f>Sim_Output[[#This Row],[VALUE]]/SUMIFS(Sim_Output[VALUE],Sim_Output[SIM_ID],Sim_Output[[#This Row],[SIM_ID]],Sim_Output[WEEK],Sim_Output[[#This Row],[WEEK]],Sim_Output[OUTPUT],"PRICE_0")-1</f>
        <v>1.8348623853210899E-2</v>
      </c>
      <c r="K463" s="4">
        <f ca="1">IF(Sim_Output[[#This Row],[OUTPUT]]="PRICE_0",0,_xlfn.RANK.EQ(Sim_Output[[#This Row],[WTD_RET]],OFFSET(Sim_Output[[#This Row],[WTD_RET]],-Sim_Output[[#This Row],[OBS]]+1,0,12)))</f>
        <v>5</v>
      </c>
      <c r="L463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-0.27895711327351558</v>
      </c>
      <c r="M463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8.2039911308203955E-2</v>
      </c>
      <c r="N463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0.30588235294117649</v>
      </c>
    </row>
    <row r="464" spans="2:14" x14ac:dyDescent="0.25">
      <c r="B464">
        <v>4</v>
      </c>
      <c r="C464">
        <v>6</v>
      </c>
      <c r="D464">
        <f>VALUE(RIGHT(Sim_Output[[#This Row],[OUTPUT]],LEN(Sim_Output[[#This Row],[OUTPUT]])-6))</f>
        <v>5</v>
      </c>
      <c r="E464">
        <v>1</v>
      </c>
      <c r="F464" t="str">
        <f>Sim_Output[[#This Row],[SIM_ID]]&amp;" - "&amp;Sim_Output[[#This Row],[WEEK]]&amp;" - "&amp;Sim_Output[[#This Row],[REGIME]]</f>
        <v>4 - 6 - 1</v>
      </c>
      <c r="G464" t="s">
        <v>49</v>
      </c>
      <c r="H464">
        <v>194</v>
      </c>
      <c r="I464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464" s="7">
        <f>Sim_Output[[#This Row],[VALUE]]/SUMIFS(Sim_Output[VALUE],Sim_Output[SIM_ID],Sim_Output[[#This Row],[SIM_ID]],Sim_Output[WEEK],Sim_Output[[#This Row],[WEEK]],Sim_Output[OUTPUT],"PRICE_0")-1</f>
        <v>0.77981651376146788</v>
      </c>
      <c r="K464" s="4">
        <f ca="1">IF(Sim_Output[[#This Row],[OUTPUT]]="PRICE_0",0,_xlfn.RANK.EQ(Sim_Output[[#This Row],[WTD_RET]],OFFSET(Sim_Output[[#This Row],[WTD_RET]],-Sim_Output[[#This Row],[OBS]]+1,0,12)))</f>
        <v>2</v>
      </c>
      <c r="L464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0.3841485784220009</v>
      </c>
      <c r="M464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0.26607538802660752</v>
      </c>
      <c r="N464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0.74774774774774766</v>
      </c>
    </row>
    <row r="465" spans="2:14" x14ac:dyDescent="0.25">
      <c r="B465">
        <v>4</v>
      </c>
      <c r="C465">
        <v>6</v>
      </c>
      <c r="D465">
        <f>VALUE(RIGHT(Sim_Output[[#This Row],[OUTPUT]],LEN(Sim_Output[[#This Row],[OUTPUT]])-6))</f>
        <v>6</v>
      </c>
      <c r="E465">
        <v>1</v>
      </c>
      <c r="F465" t="str">
        <f>Sim_Output[[#This Row],[SIM_ID]]&amp;" - "&amp;Sim_Output[[#This Row],[WEEK]]&amp;" - "&amp;Sim_Output[[#This Row],[REGIME]]</f>
        <v>4 - 6 - 1</v>
      </c>
      <c r="G465" t="s">
        <v>50</v>
      </c>
      <c r="H465">
        <v>525</v>
      </c>
      <c r="I465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465" s="7">
        <f>Sim_Output[[#This Row],[VALUE]]/SUMIFS(Sim_Output[VALUE],Sim_Output[SIM_ID],Sim_Output[[#This Row],[SIM_ID]],Sim_Output[WEEK],Sim_Output[[#This Row],[WEEK]],Sim_Output[OUTPUT],"PRICE_0")-1</f>
        <v>3.8165137614678901</v>
      </c>
      <c r="K465" s="4">
        <f ca="1">IF(Sim_Output[[#This Row],[OUTPUT]]="PRICE_0",0,_xlfn.RANK.EQ(Sim_Output[[#This Row],[WTD_RET]],OFFSET(Sim_Output[[#This Row],[WTD_RET]],-Sim_Output[[#This Row],[OBS]]+1,0,12)))</f>
        <v>1</v>
      </c>
      <c r="L465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3.0285821200029157</v>
      </c>
      <c r="M465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1</v>
      </c>
      <c r="N465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1.7061855670103094</v>
      </c>
    </row>
    <row r="466" spans="2:14" x14ac:dyDescent="0.25">
      <c r="B466">
        <v>4</v>
      </c>
      <c r="C466">
        <v>6</v>
      </c>
      <c r="D466">
        <f>VALUE(RIGHT(Sim_Output[[#This Row],[OUTPUT]],LEN(Sim_Output[[#This Row],[OUTPUT]])-6))</f>
        <v>7</v>
      </c>
      <c r="E466">
        <v>1</v>
      </c>
      <c r="F466" t="str">
        <f>Sim_Output[[#This Row],[SIM_ID]]&amp;" - "&amp;Sim_Output[[#This Row],[WEEK]]&amp;" - "&amp;Sim_Output[[#This Row],[REGIME]]</f>
        <v>4 - 6 - 1</v>
      </c>
      <c r="G466" t="s">
        <v>51</v>
      </c>
      <c r="H466">
        <v>169</v>
      </c>
      <c r="I466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466" s="7">
        <f>Sim_Output[[#This Row],[VALUE]]/SUMIFS(Sim_Output[VALUE],Sim_Output[SIM_ID],Sim_Output[[#This Row],[SIM_ID]],Sim_Output[WEEK],Sim_Output[[#This Row],[WEEK]],Sim_Output[OUTPUT],"PRICE_0")-1</f>
        <v>0.55045871559633031</v>
      </c>
      <c r="K466" s="4">
        <f ca="1">IF(Sim_Output[[#This Row],[OUTPUT]]="PRICE_0",0,_xlfn.RANK.EQ(Sim_Output[[#This Row],[WTD_RET]],OFFSET(Sim_Output[[#This Row],[WTD_RET]],-Sim_Output[[#This Row],[OBS]]+1,0,12)))</f>
        <v>3</v>
      </c>
      <c r="L466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0.18441794839323095</v>
      </c>
      <c r="M466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0.21064301552106429</v>
      </c>
      <c r="N466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-0.67809523809523808</v>
      </c>
    </row>
    <row r="467" spans="2:14" x14ac:dyDescent="0.25">
      <c r="B467">
        <v>4</v>
      </c>
      <c r="C467">
        <v>6</v>
      </c>
      <c r="D467">
        <f>VALUE(RIGHT(Sim_Output[[#This Row],[OUTPUT]],LEN(Sim_Output[[#This Row],[OUTPUT]])-6))</f>
        <v>8</v>
      </c>
      <c r="E467">
        <v>1</v>
      </c>
      <c r="F467" t="str">
        <f>Sim_Output[[#This Row],[SIM_ID]]&amp;" - "&amp;Sim_Output[[#This Row],[WEEK]]&amp;" - "&amp;Sim_Output[[#This Row],[REGIME]]</f>
        <v>4 - 6 - 1</v>
      </c>
      <c r="G467" t="s">
        <v>52</v>
      </c>
      <c r="H467">
        <v>142</v>
      </c>
      <c r="I467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467" s="7">
        <f>Sim_Output[[#This Row],[VALUE]]/SUMIFS(Sim_Output[VALUE],Sim_Output[SIM_ID],Sim_Output[[#This Row],[SIM_ID]],Sim_Output[WEEK],Sim_Output[[#This Row],[WEEK]],Sim_Output[OUTPUT],"PRICE_0")-1</f>
        <v>0.30275229357798161</v>
      </c>
      <c r="K467" s="4">
        <f ca="1">IF(Sim_Output[[#This Row],[OUTPUT]]="PRICE_0",0,_xlfn.RANK.EQ(Sim_Output[[#This Row],[WTD_RET]],OFFSET(Sim_Output[[#This Row],[WTD_RET]],-Sim_Output[[#This Row],[OBS]]+1,0,12)))</f>
        <v>4</v>
      </c>
      <c r="L467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-3.1291132037840702E-2</v>
      </c>
      <c r="M467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0.15077605321507759</v>
      </c>
      <c r="N467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-0.15976331360946749</v>
      </c>
    </row>
    <row r="468" spans="2:14" x14ac:dyDescent="0.25">
      <c r="B468">
        <v>4</v>
      </c>
      <c r="C468">
        <v>6</v>
      </c>
      <c r="D468">
        <f>VALUE(RIGHT(Sim_Output[[#This Row],[OUTPUT]],LEN(Sim_Output[[#This Row],[OUTPUT]])-6))</f>
        <v>9</v>
      </c>
      <c r="E468">
        <v>1</v>
      </c>
      <c r="F468" t="str">
        <f>Sim_Output[[#This Row],[SIM_ID]]&amp;" - "&amp;Sim_Output[[#This Row],[WEEK]]&amp;" - "&amp;Sim_Output[[#This Row],[REGIME]]</f>
        <v>4 - 6 - 1</v>
      </c>
      <c r="G468" t="s">
        <v>53</v>
      </c>
      <c r="H468">
        <v>80</v>
      </c>
      <c r="I468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468" s="7">
        <f>Sim_Output[[#This Row],[VALUE]]/SUMIFS(Sim_Output[VALUE],Sim_Output[SIM_ID],Sim_Output[[#This Row],[SIM_ID]],Sim_Output[WEEK],Sim_Output[[#This Row],[WEEK]],Sim_Output[OUTPUT],"PRICE_0")-1</f>
        <v>-0.26605504587155959</v>
      </c>
      <c r="K468" s="4">
        <f ca="1">IF(Sim_Output[[#This Row],[OUTPUT]]="PRICE_0",0,_xlfn.RANK.EQ(Sim_Output[[#This Row],[WTD_RET]],OFFSET(Sim_Output[[#This Row],[WTD_RET]],-Sim_Output[[#This Row],[OBS]]+1,0,12)))</f>
        <v>11</v>
      </c>
      <c r="L468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-0.5266230945091902</v>
      </c>
      <c r="M468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1.3303769401330377E-2</v>
      </c>
      <c r="N468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-0.43661971830985913</v>
      </c>
    </row>
    <row r="469" spans="2:14" x14ac:dyDescent="0.25">
      <c r="B469">
        <v>4</v>
      </c>
      <c r="C469">
        <v>6</v>
      </c>
      <c r="D469">
        <f>VALUE(RIGHT(Sim_Output[[#This Row],[OUTPUT]],LEN(Sim_Output[[#This Row],[OUTPUT]])-6))</f>
        <v>10</v>
      </c>
      <c r="E469">
        <v>1</v>
      </c>
      <c r="F469" t="str">
        <f>Sim_Output[[#This Row],[SIM_ID]]&amp;" - "&amp;Sim_Output[[#This Row],[WEEK]]&amp;" - "&amp;Sim_Output[[#This Row],[REGIME]]</f>
        <v>4 - 6 - 1</v>
      </c>
      <c r="G469" t="s">
        <v>54</v>
      </c>
      <c r="H469">
        <v>74</v>
      </c>
      <c r="I469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469" s="7">
        <f>Sim_Output[[#This Row],[VALUE]]/SUMIFS(Sim_Output[VALUE],Sim_Output[SIM_ID],Sim_Output[[#This Row],[SIM_ID]],Sim_Output[WEEK],Sim_Output[[#This Row],[WEEK]],Sim_Output[OUTPUT],"PRICE_0")-1</f>
        <v>-0.32110091743119262</v>
      </c>
      <c r="K469" s="4">
        <f ca="1">IF(Sim_Output[[#This Row],[OUTPUT]]="PRICE_0",0,_xlfn.RANK.EQ(Sim_Output[[#This Row],[WTD_RET]],OFFSET(Sim_Output[[#This Row],[WTD_RET]],-Sim_Output[[#This Row],[OBS]]+1,0,12)))</f>
        <v>12</v>
      </c>
      <c r="L469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-0.57455844571609505</v>
      </c>
      <c r="M469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</v>
      </c>
      <c r="N469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-7.4999999999999956E-2</v>
      </c>
    </row>
    <row r="470" spans="2:14" x14ac:dyDescent="0.25">
      <c r="B470">
        <v>4</v>
      </c>
      <c r="C470">
        <v>6</v>
      </c>
      <c r="D470">
        <f>VALUE(RIGHT(Sim_Output[[#This Row],[OUTPUT]],LEN(Sim_Output[[#This Row],[OUTPUT]])-6))</f>
        <v>11</v>
      </c>
      <c r="E470">
        <v>1</v>
      </c>
      <c r="F470" t="str">
        <f>Sim_Output[[#This Row],[SIM_ID]]&amp;" - "&amp;Sim_Output[[#This Row],[WEEK]]&amp;" - "&amp;Sim_Output[[#This Row],[REGIME]]</f>
        <v>4 - 6 - 1</v>
      </c>
      <c r="G470" t="s">
        <v>55</v>
      </c>
      <c r="H470">
        <v>95</v>
      </c>
      <c r="I470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470" s="7">
        <f>Sim_Output[[#This Row],[VALUE]]/SUMIFS(Sim_Output[VALUE],Sim_Output[SIM_ID],Sim_Output[[#This Row],[SIM_ID]],Sim_Output[WEEK],Sim_Output[[#This Row],[WEEK]],Sim_Output[OUTPUT],"PRICE_0")-1</f>
        <v>-0.12844036697247707</v>
      </c>
      <c r="K470" s="4">
        <f ca="1">IF(Sim_Output[[#This Row],[OUTPUT]]="PRICE_0",0,_xlfn.RANK.EQ(Sim_Output[[#This Row],[WTD_RET]],OFFSET(Sim_Output[[#This Row],[WTD_RET]],-Sim_Output[[#This Row],[OBS]]+1,0,12)))</f>
        <v>6</v>
      </c>
      <c r="L470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-0.40678471649192827</v>
      </c>
      <c r="M470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4.6563192904656305E-2</v>
      </c>
      <c r="N470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0.28378378378378377</v>
      </c>
    </row>
    <row r="471" spans="2:14" x14ac:dyDescent="0.25">
      <c r="B471">
        <v>4</v>
      </c>
      <c r="C471">
        <v>6</v>
      </c>
      <c r="D471">
        <f>VALUE(RIGHT(Sim_Output[[#This Row],[OUTPUT]],LEN(Sim_Output[[#This Row],[OUTPUT]])-6))</f>
        <v>12</v>
      </c>
      <c r="E471">
        <v>1</v>
      </c>
      <c r="F471" t="str">
        <f>Sim_Output[[#This Row],[SIM_ID]]&amp;" - "&amp;Sim_Output[[#This Row],[WEEK]]&amp;" - "&amp;Sim_Output[[#This Row],[REGIME]]</f>
        <v>4 - 6 - 1</v>
      </c>
      <c r="G471" t="s">
        <v>56</v>
      </c>
      <c r="H471">
        <v>93</v>
      </c>
      <c r="I471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471" s="7">
        <f>Sim_Output[[#This Row],[VALUE]]/SUMIFS(Sim_Output[VALUE],Sim_Output[SIM_ID],Sim_Output[[#This Row],[SIM_ID]],Sim_Output[WEEK],Sim_Output[[#This Row],[WEEK]],Sim_Output[OUTPUT],"PRICE_0")-1</f>
        <v>-0.14678899082568808</v>
      </c>
      <c r="K471" s="4">
        <f ca="1">IF(Sim_Output[[#This Row],[OUTPUT]]="PRICE_0",0,_xlfn.RANK.EQ(Sim_Output[[#This Row],[WTD_RET]],OFFSET(Sim_Output[[#This Row],[WTD_RET]],-Sim_Output[[#This Row],[OBS]]+1,0,12)))</f>
        <v>8</v>
      </c>
      <c r="L471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-0.42276316689422988</v>
      </c>
      <c r="M471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4.2128603104212847E-2</v>
      </c>
      <c r="N471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-2.1052631578947323E-2</v>
      </c>
    </row>
    <row r="472" spans="2:14" x14ac:dyDescent="0.25">
      <c r="B472">
        <v>4</v>
      </c>
      <c r="C472">
        <v>7</v>
      </c>
      <c r="D472">
        <f>VALUE(RIGHT(Sim_Output[[#This Row],[OUTPUT]],LEN(Sim_Output[[#This Row],[OUTPUT]])-6))</f>
        <v>0</v>
      </c>
      <c r="E472">
        <v>1</v>
      </c>
      <c r="F472" t="str">
        <f>Sim_Output[[#This Row],[SIM_ID]]&amp;" - "&amp;Sim_Output[[#This Row],[WEEK]]&amp;" - "&amp;Sim_Output[[#This Row],[REGIME]]</f>
        <v>4 - 7 - 1</v>
      </c>
      <c r="G472" t="s">
        <v>44</v>
      </c>
      <c r="H472">
        <v>98</v>
      </c>
      <c r="I472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472" s="7">
        <f>Sim_Output[[#This Row],[VALUE]]/SUMIFS(Sim_Output[VALUE],Sim_Output[SIM_ID],Sim_Output[[#This Row],[SIM_ID]],Sim_Output[WEEK],Sim_Output[[#This Row],[WEEK]],Sim_Output[OUTPUT],"PRICE_0")-1</f>
        <v>0</v>
      </c>
      <c r="K472" s="4">
        <f ca="1">IF(Sim_Output[[#This Row],[OUTPUT]]="PRICE_0",0,_xlfn.RANK.EQ(Sim_Output[[#This Row],[WTD_RET]],OFFSET(Sim_Output[[#This Row],[WTD_RET]],-Sim_Output[[#This Row],[OBS]]+1,0,12)))</f>
        <v>0</v>
      </c>
      <c r="L472" s="3" t="str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/>
      </c>
      <c r="M472" s="3" t="str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/>
      </c>
      <c r="N472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</v>
      </c>
    </row>
    <row r="473" spans="2:14" x14ac:dyDescent="0.25">
      <c r="B473">
        <v>4</v>
      </c>
      <c r="C473">
        <v>7</v>
      </c>
      <c r="D473">
        <f>VALUE(RIGHT(Sim_Output[[#This Row],[OUTPUT]],LEN(Sim_Output[[#This Row],[OUTPUT]])-6))</f>
        <v>1</v>
      </c>
      <c r="E473">
        <v>1</v>
      </c>
      <c r="F473" t="str">
        <f>Sim_Output[[#This Row],[SIM_ID]]&amp;" - "&amp;Sim_Output[[#This Row],[WEEK]]&amp;" - "&amp;Sim_Output[[#This Row],[REGIME]]</f>
        <v>4 - 7 - 1</v>
      </c>
      <c r="G473" t="s">
        <v>45</v>
      </c>
      <c r="H473">
        <v>86</v>
      </c>
      <c r="I473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473" s="7">
        <f>Sim_Output[[#This Row],[VALUE]]/SUMIFS(Sim_Output[VALUE],Sim_Output[SIM_ID],Sim_Output[[#This Row],[SIM_ID]],Sim_Output[WEEK],Sim_Output[[#This Row],[WEEK]],Sim_Output[OUTPUT],"PRICE_0")-1</f>
        <v>-0.12244897959183676</v>
      </c>
      <c r="K473" s="4">
        <f ca="1">IF(Sim_Output[[#This Row],[OUTPUT]]="PRICE_0",0,_xlfn.RANK.EQ(Sim_Output[[#This Row],[WTD_RET]],OFFSET(Sim_Output[[#This Row],[WTD_RET]],-Sim_Output[[#This Row],[OBS]]+1,0,12)))</f>
        <v>6</v>
      </c>
      <c r="L473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-0.34813658532601188</v>
      </c>
      <c r="M473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0.16</v>
      </c>
      <c r="N473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-0.12244897959183676</v>
      </c>
    </row>
    <row r="474" spans="2:14" x14ac:dyDescent="0.25">
      <c r="B474">
        <v>4</v>
      </c>
      <c r="C474">
        <v>7</v>
      </c>
      <c r="D474">
        <f>VALUE(RIGHT(Sim_Output[[#This Row],[OUTPUT]],LEN(Sim_Output[[#This Row],[OUTPUT]])-6))</f>
        <v>2</v>
      </c>
      <c r="E474">
        <v>1</v>
      </c>
      <c r="F474" t="str">
        <f>Sim_Output[[#This Row],[SIM_ID]]&amp;" - "&amp;Sim_Output[[#This Row],[WEEK]]&amp;" - "&amp;Sim_Output[[#This Row],[REGIME]]</f>
        <v>4 - 7 - 1</v>
      </c>
      <c r="G474" t="s">
        <v>46</v>
      </c>
      <c r="H474">
        <v>83</v>
      </c>
      <c r="I474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474" s="7">
        <f>Sim_Output[[#This Row],[VALUE]]/SUMIFS(Sim_Output[VALUE],Sim_Output[SIM_ID],Sim_Output[[#This Row],[SIM_ID]],Sim_Output[WEEK],Sim_Output[[#This Row],[WEEK]],Sim_Output[OUTPUT],"PRICE_0")-1</f>
        <v>-0.15306122448979587</v>
      </c>
      <c r="K474" s="4">
        <f ca="1">IF(Sim_Output[[#This Row],[OUTPUT]]="PRICE_0",0,_xlfn.RANK.EQ(Sim_Output[[#This Row],[WTD_RET]],OFFSET(Sim_Output[[#This Row],[WTD_RET]],-Sim_Output[[#This Row],[OBS]]+1,0,12)))</f>
        <v>7</v>
      </c>
      <c r="L474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-0.38669940708520079</v>
      </c>
      <c r="M474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0.14909090909090911</v>
      </c>
      <c r="N474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-3.4883720930232509E-2</v>
      </c>
    </row>
    <row r="475" spans="2:14" x14ac:dyDescent="0.25">
      <c r="B475">
        <v>4</v>
      </c>
      <c r="C475">
        <v>7</v>
      </c>
      <c r="D475">
        <f>VALUE(RIGHT(Sim_Output[[#This Row],[OUTPUT]],LEN(Sim_Output[[#This Row],[OUTPUT]])-6))</f>
        <v>3</v>
      </c>
      <c r="E475">
        <v>1</v>
      </c>
      <c r="F475" t="str">
        <f>Sim_Output[[#This Row],[SIM_ID]]&amp;" - "&amp;Sim_Output[[#This Row],[WEEK]]&amp;" - "&amp;Sim_Output[[#This Row],[REGIME]]</f>
        <v>4 - 7 - 1</v>
      </c>
      <c r="G475" t="s">
        <v>47</v>
      </c>
      <c r="H475">
        <v>110</v>
      </c>
      <c r="I475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475" s="7">
        <f>Sim_Output[[#This Row],[VALUE]]/SUMIFS(Sim_Output[VALUE],Sim_Output[SIM_ID],Sim_Output[[#This Row],[SIM_ID]],Sim_Output[WEEK],Sim_Output[[#This Row],[WEEK]],Sim_Output[OUTPUT],"PRICE_0")-1</f>
        <v>0.12244897959183665</v>
      </c>
      <c r="K475" s="4">
        <f ca="1">IF(Sim_Output[[#This Row],[OUTPUT]]="PRICE_0",0,_xlfn.RANK.EQ(Sim_Output[[#This Row],[WTD_RET]],OFFSET(Sim_Output[[#This Row],[WTD_RET]],-Sim_Output[[#This Row],[OBS]]+1,0,12)))</f>
        <v>4</v>
      </c>
      <c r="L475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-3.9634011252499893E-2</v>
      </c>
      <c r="M475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0.24727272727272726</v>
      </c>
      <c r="N475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0.32530120481927716</v>
      </c>
    </row>
    <row r="476" spans="2:14" x14ac:dyDescent="0.25">
      <c r="B476">
        <v>4</v>
      </c>
      <c r="C476">
        <v>7</v>
      </c>
      <c r="D476">
        <f>VALUE(RIGHT(Sim_Output[[#This Row],[OUTPUT]],LEN(Sim_Output[[#This Row],[OUTPUT]])-6))</f>
        <v>4</v>
      </c>
      <c r="E476">
        <v>1</v>
      </c>
      <c r="F476" t="str">
        <f>Sim_Output[[#This Row],[SIM_ID]]&amp;" - "&amp;Sim_Output[[#This Row],[WEEK]]&amp;" - "&amp;Sim_Output[[#This Row],[REGIME]]</f>
        <v>4 - 7 - 1</v>
      </c>
      <c r="G476" t="s">
        <v>48</v>
      </c>
      <c r="H476">
        <v>192</v>
      </c>
      <c r="I476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476" s="7">
        <f>Sim_Output[[#This Row],[VALUE]]/SUMIFS(Sim_Output[VALUE],Sim_Output[SIM_ID],Sim_Output[[#This Row],[SIM_ID]],Sim_Output[WEEK],Sim_Output[[#This Row],[WEEK]],Sim_Output[OUTPUT],"PRICE_0")-1</f>
        <v>0.95918367346938771</v>
      </c>
      <c r="K476" s="4">
        <f ca="1">IF(Sim_Output[[#This Row],[OUTPUT]]="PRICE_0",0,_xlfn.RANK.EQ(Sim_Output[[#This Row],[WTD_RET]],OFFSET(Sim_Output[[#This Row],[WTD_RET]],-Sim_Output[[#This Row],[OBS]]+1,0,12)))</f>
        <v>2</v>
      </c>
      <c r="L476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1.014416450165333</v>
      </c>
      <c r="M476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0.54545454545454553</v>
      </c>
      <c r="N476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0.74545454545454537</v>
      </c>
    </row>
    <row r="477" spans="2:14" x14ac:dyDescent="0.25">
      <c r="B477">
        <v>4</v>
      </c>
      <c r="C477">
        <v>7</v>
      </c>
      <c r="D477">
        <f>VALUE(RIGHT(Sim_Output[[#This Row],[OUTPUT]],LEN(Sim_Output[[#This Row],[OUTPUT]])-6))</f>
        <v>5</v>
      </c>
      <c r="E477">
        <v>1</v>
      </c>
      <c r="F477" t="str">
        <f>Sim_Output[[#This Row],[SIM_ID]]&amp;" - "&amp;Sim_Output[[#This Row],[WEEK]]&amp;" - "&amp;Sim_Output[[#This Row],[REGIME]]</f>
        <v>4 - 7 - 1</v>
      </c>
      <c r="G477" t="s">
        <v>49</v>
      </c>
      <c r="H477">
        <v>317</v>
      </c>
      <c r="I477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477" s="7">
        <f>Sim_Output[[#This Row],[VALUE]]/SUMIFS(Sim_Output[VALUE],Sim_Output[SIM_ID],Sim_Output[[#This Row],[SIM_ID]],Sim_Output[WEEK],Sim_Output[[#This Row],[WEEK]],Sim_Output[OUTPUT],"PRICE_0")-1</f>
        <v>2.2346938775510203</v>
      </c>
      <c r="K477" s="4">
        <f ca="1">IF(Sim_Output[[#This Row],[OUTPUT]]="PRICE_0",0,_xlfn.RANK.EQ(Sim_Output[[#This Row],[WTD_RET]],OFFSET(Sim_Output[[#This Row],[WTD_RET]],-Sim_Output[[#This Row],[OBS]]+1,0,12)))</f>
        <v>1</v>
      </c>
      <c r="L477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2.6212006901315412</v>
      </c>
      <c r="M477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1</v>
      </c>
      <c r="N477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0.65104166666666674</v>
      </c>
    </row>
    <row r="478" spans="2:14" x14ac:dyDescent="0.25">
      <c r="B478">
        <v>4</v>
      </c>
      <c r="C478">
        <v>7</v>
      </c>
      <c r="D478">
        <f>VALUE(RIGHT(Sim_Output[[#This Row],[OUTPUT]],LEN(Sim_Output[[#This Row],[OUTPUT]])-6))</f>
        <v>6</v>
      </c>
      <c r="E478">
        <v>1</v>
      </c>
      <c r="F478" t="str">
        <f>Sim_Output[[#This Row],[SIM_ID]]&amp;" - "&amp;Sim_Output[[#This Row],[WEEK]]&amp;" - "&amp;Sim_Output[[#This Row],[REGIME]]</f>
        <v>4 - 7 - 1</v>
      </c>
      <c r="G478" t="s">
        <v>50</v>
      </c>
      <c r="H478">
        <v>161</v>
      </c>
      <c r="I478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478" s="7">
        <f>Sim_Output[[#This Row],[VALUE]]/SUMIFS(Sim_Output[VALUE],Sim_Output[SIM_ID],Sim_Output[[#This Row],[SIM_ID]],Sim_Output[WEEK],Sim_Output[[#This Row],[WEEK]],Sim_Output[OUTPUT],"PRICE_0")-1</f>
        <v>0.64285714285714279</v>
      </c>
      <c r="K478" s="4">
        <f ca="1">IF(Sim_Output[[#This Row],[OUTPUT]]="PRICE_0",0,_xlfn.RANK.EQ(Sim_Output[[#This Row],[WTD_RET]],OFFSET(Sim_Output[[#This Row],[WTD_RET]],-Sim_Output[[#This Row],[OBS]]+1,0,12)))</f>
        <v>3</v>
      </c>
      <c r="L478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0.61593395865371325</v>
      </c>
      <c r="M478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0.43272727272727274</v>
      </c>
      <c r="N478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-0.49211356466876977</v>
      </c>
    </row>
    <row r="479" spans="2:14" x14ac:dyDescent="0.25">
      <c r="B479">
        <v>4</v>
      </c>
      <c r="C479">
        <v>7</v>
      </c>
      <c r="D479">
        <f>VALUE(RIGHT(Sim_Output[[#This Row],[OUTPUT]],LEN(Sim_Output[[#This Row],[OUTPUT]])-6))</f>
        <v>7</v>
      </c>
      <c r="E479">
        <v>1</v>
      </c>
      <c r="F479" t="str">
        <f>Sim_Output[[#This Row],[SIM_ID]]&amp;" - "&amp;Sim_Output[[#This Row],[WEEK]]&amp;" - "&amp;Sim_Output[[#This Row],[REGIME]]</f>
        <v>4 - 7 - 1</v>
      </c>
      <c r="G479" t="s">
        <v>51</v>
      </c>
      <c r="H479">
        <v>110</v>
      </c>
      <c r="I479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479" s="7">
        <f>Sim_Output[[#This Row],[VALUE]]/SUMIFS(Sim_Output[VALUE],Sim_Output[SIM_ID],Sim_Output[[#This Row],[SIM_ID]],Sim_Output[WEEK],Sim_Output[[#This Row],[WEEK]],Sim_Output[OUTPUT],"PRICE_0")-1</f>
        <v>0.12244897959183665</v>
      </c>
      <c r="K479" s="4">
        <f ca="1">IF(Sim_Output[[#This Row],[OUTPUT]]="PRICE_0",0,_xlfn.RANK.EQ(Sim_Output[[#This Row],[WTD_RET]],OFFSET(Sim_Output[[#This Row],[WTD_RET]],-Sim_Output[[#This Row],[OBS]]+1,0,12)))</f>
        <v>4</v>
      </c>
      <c r="L479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-3.9634011252499893E-2</v>
      </c>
      <c r="M479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0.24727272727272726</v>
      </c>
      <c r="N479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-0.31677018633540377</v>
      </c>
    </row>
    <row r="480" spans="2:14" x14ac:dyDescent="0.25">
      <c r="B480">
        <v>4</v>
      </c>
      <c r="C480">
        <v>7</v>
      </c>
      <c r="D480">
        <f>VALUE(RIGHT(Sim_Output[[#This Row],[OUTPUT]],LEN(Sim_Output[[#This Row],[OUTPUT]])-6))</f>
        <v>8</v>
      </c>
      <c r="E480">
        <v>1</v>
      </c>
      <c r="F480" t="str">
        <f>Sim_Output[[#This Row],[SIM_ID]]&amp;" - "&amp;Sim_Output[[#This Row],[WEEK]]&amp;" - "&amp;Sim_Output[[#This Row],[REGIME]]</f>
        <v>4 - 7 - 1</v>
      </c>
      <c r="G480" t="s">
        <v>52</v>
      </c>
      <c r="H480">
        <v>56</v>
      </c>
      <c r="I480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480" s="7">
        <f>Sim_Output[[#This Row],[VALUE]]/SUMIFS(Sim_Output[VALUE],Sim_Output[SIM_ID],Sim_Output[[#This Row],[SIM_ID]],Sim_Output[WEEK],Sim_Output[[#This Row],[WEEK]],Sim_Output[OUTPUT],"PRICE_0")-1</f>
        <v>-0.4285714285714286</v>
      </c>
      <c r="K480" s="4">
        <f ca="1">IF(Sim_Output[[#This Row],[OUTPUT]]="PRICE_0",0,_xlfn.RANK.EQ(Sim_Output[[#This Row],[WTD_RET]],OFFSET(Sim_Output[[#This Row],[WTD_RET]],-Sim_Output[[#This Row],[OBS]]+1,0,12)))</f>
        <v>11</v>
      </c>
      <c r="L480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-0.73376480291790191</v>
      </c>
      <c r="M480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5.090909090909089E-2</v>
      </c>
      <c r="N480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-0.49090909090909096</v>
      </c>
    </row>
    <row r="481" spans="2:14" x14ac:dyDescent="0.25">
      <c r="B481">
        <v>4</v>
      </c>
      <c r="C481">
        <v>7</v>
      </c>
      <c r="D481">
        <f>VALUE(RIGHT(Sim_Output[[#This Row],[OUTPUT]],LEN(Sim_Output[[#This Row],[OUTPUT]])-6))</f>
        <v>9</v>
      </c>
      <c r="E481">
        <v>1</v>
      </c>
      <c r="F481" t="str">
        <f>Sim_Output[[#This Row],[SIM_ID]]&amp;" - "&amp;Sim_Output[[#This Row],[WEEK]]&amp;" - "&amp;Sim_Output[[#This Row],[REGIME]]</f>
        <v>4 - 7 - 1</v>
      </c>
      <c r="G481" t="s">
        <v>53</v>
      </c>
      <c r="H481">
        <v>42</v>
      </c>
      <c r="I481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481" s="7">
        <f>Sim_Output[[#This Row],[VALUE]]/SUMIFS(Sim_Output[VALUE],Sim_Output[SIM_ID],Sim_Output[[#This Row],[SIM_ID]],Sim_Output[WEEK],Sim_Output[[#This Row],[WEEK]],Sim_Output[OUTPUT],"PRICE_0")-1</f>
        <v>-0.5714285714285714</v>
      </c>
      <c r="K481" s="4">
        <f ca="1">IF(Sim_Output[[#This Row],[OUTPUT]]="PRICE_0",0,_xlfn.RANK.EQ(Sim_Output[[#This Row],[WTD_RET]],OFFSET(Sim_Output[[#This Row],[WTD_RET]],-Sim_Output[[#This Row],[OBS]]+1,0,12)))</f>
        <v>12</v>
      </c>
      <c r="L481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-0.91372463779411717</v>
      </c>
      <c r="M481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</v>
      </c>
      <c r="N481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-0.25</v>
      </c>
    </row>
    <row r="482" spans="2:14" x14ac:dyDescent="0.25">
      <c r="B482">
        <v>4</v>
      </c>
      <c r="C482">
        <v>7</v>
      </c>
      <c r="D482">
        <f>VALUE(RIGHT(Sim_Output[[#This Row],[OUTPUT]],LEN(Sim_Output[[#This Row],[OUTPUT]])-6))</f>
        <v>10</v>
      </c>
      <c r="E482">
        <v>1</v>
      </c>
      <c r="F482" t="str">
        <f>Sim_Output[[#This Row],[SIM_ID]]&amp;" - "&amp;Sim_Output[[#This Row],[WEEK]]&amp;" - "&amp;Sim_Output[[#This Row],[REGIME]]</f>
        <v>4 - 7 - 1</v>
      </c>
      <c r="G482" t="s">
        <v>54</v>
      </c>
      <c r="H482">
        <v>68</v>
      </c>
      <c r="I482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482" s="7">
        <f>Sim_Output[[#This Row],[VALUE]]/SUMIFS(Sim_Output[VALUE],Sim_Output[SIM_ID],Sim_Output[[#This Row],[SIM_ID]],Sim_Output[WEEK],Sim_Output[[#This Row],[WEEK]],Sim_Output[OUTPUT],"PRICE_0")-1</f>
        <v>-0.30612244897959184</v>
      </c>
      <c r="K482" s="4">
        <f ca="1">IF(Sim_Output[[#This Row],[OUTPUT]]="PRICE_0",0,_xlfn.RANK.EQ(Sim_Output[[#This Row],[WTD_RET]],OFFSET(Sim_Output[[#This Row],[WTD_RET]],-Sim_Output[[#This Row],[OBS]]+1,0,12)))</f>
        <v>9</v>
      </c>
      <c r="L482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-0.57951351588114586</v>
      </c>
      <c r="M482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9.4545454545454544E-2</v>
      </c>
      <c r="N482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0.61904761904761907</v>
      </c>
    </row>
    <row r="483" spans="2:14" x14ac:dyDescent="0.25">
      <c r="B483">
        <v>4</v>
      </c>
      <c r="C483">
        <v>7</v>
      </c>
      <c r="D483">
        <f>VALUE(RIGHT(Sim_Output[[#This Row],[OUTPUT]],LEN(Sim_Output[[#This Row],[OUTPUT]])-6))</f>
        <v>11</v>
      </c>
      <c r="E483">
        <v>1</v>
      </c>
      <c r="F483" t="str">
        <f>Sim_Output[[#This Row],[SIM_ID]]&amp;" - "&amp;Sim_Output[[#This Row],[WEEK]]&amp;" - "&amp;Sim_Output[[#This Row],[REGIME]]</f>
        <v>4 - 7 - 1</v>
      </c>
      <c r="G483" t="s">
        <v>55</v>
      </c>
      <c r="H483">
        <v>62</v>
      </c>
      <c r="I483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483" s="7">
        <f>Sim_Output[[#This Row],[VALUE]]/SUMIFS(Sim_Output[VALUE],Sim_Output[SIM_ID],Sim_Output[[#This Row],[SIM_ID]],Sim_Output[WEEK],Sim_Output[[#This Row],[WEEK]],Sim_Output[OUTPUT],"PRICE_0")-1</f>
        <v>-0.36734693877551017</v>
      </c>
      <c r="K483" s="4">
        <f ca="1">IF(Sim_Output[[#This Row],[OUTPUT]]="PRICE_0",0,_xlfn.RANK.EQ(Sim_Output[[#This Row],[WTD_RET]],OFFSET(Sim_Output[[#This Row],[WTD_RET]],-Sim_Output[[#This Row],[OBS]]+1,0,12)))</f>
        <v>10</v>
      </c>
      <c r="L483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-0.65663915939952389</v>
      </c>
      <c r="M483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7.2727272727272738E-2</v>
      </c>
      <c r="N483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-8.8235294117647078E-2</v>
      </c>
    </row>
    <row r="484" spans="2:14" x14ac:dyDescent="0.25">
      <c r="B484">
        <v>4</v>
      </c>
      <c r="C484">
        <v>7</v>
      </c>
      <c r="D484">
        <f>VALUE(RIGHT(Sim_Output[[#This Row],[OUTPUT]],LEN(Sim_Output[[#This Row],[OUTPUT]])-6))</f>
        <v>12</v>
      </c>
      <c r="E484">
        <v>1</v>
      </c>
      <c r="F484" t="str">
        <f>Sim_Output[[#This Row],[SIM_ID]]&amp;" - "&amp;Sim_Output[[#This Row],[WEEK]]&amp;" - "&amp;Sim_Output[[#This Row],[REGIME]]</f>
        <v>4 - 7 - 1</v>
      </c>
      <c r="G484" t="s">
        <v>56</v>
      </c>
      <c r="H484">
        <v>70</v>
      </c>
      <c r="I484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484" s="7">
        <f>Sim_Output[[#This Row],[VALUE]]/SUMIFS(Sim_Output[VALUE],Sim_Output[SIM_ID],Sim_Output[[#This Row],[SIM_ID]],Sim_Output[WEEK],Sim_Output[[#This Row],[WEEK]],Sim_Output[OUTPUT],"PRICE_0")-1</f>
        <v>-0.2857142857142857</v>
      </c>
      <c r="K484" s="4">
        <f ca="1">IF(Sim_Output[[#This Row],[OUTPUT]]="PRICE_0",0,_xlfn.RANK.EQ(Sim_Output[[#This Row],[WTD_RET]],OFFSET(Sim_Output[[#This Row],[WTD_RET]],-Sim_Output[[#This Row],[OBS]]+1,0,12)))</f>
        <v>8</v>
      </c>
      <c r="L484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-0.55380496804168655</v>
      </c>
      <c r="M484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0.10181818181818182</v>
      </c>
      <c r="N484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0.12903225806451624</v>
      </c>
    </row>
    <row r="485" spans="2:14" x14ac:dyDescent="0.25">
      <c r="B485">
        <v>4</v>
      </c>
      <c r="C485">
        <v>8</v>
      </c>
      <c r="D485">
        <f>VALUE(RIGHT(Sim_Output[[#This Row],[OUTPUT]],LEN(Sim_Output[[#This Row],[OUTPUT]])-6))</f>
        <v>0</v>
      </c>
      <c r="E485">
        <v>2</v>
      </c>
      <c r="F485" t="str">
        <f>Sim_Output[[#This Row],[SIM_ID]]&amp;" - "&amp;Sim_Output[[#This Row],[WEEK]]&amp;" - "&amp;Sim_Output[[#This Row],[REGIME]]</f>
        <v>4 - 8 - 2</v>
      </c>
      <c r="G485" t="s">
        <v>44</v>
      </c>
      <c r="H485">
        <v>91</v>
      </c>
      <c r="I485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485" s="7">
        <f>Sim_Output[[#This Row],[VALUE]]/SUMIFS(Sim_Output[VALUE],Sim_Output[SIM_ID],Sim_Output[[#This Row],[SIM_ID]],Sim_Output[WEEK],Sim_Output[[#This Row],[WEEK]],Sim_Output[OUTPUT],"PRICE_0")-1</f>
        <v>0</v>
      </c>
      <c r="K485" s="4">
        <f ca="1">IF(Sim_Output[[#This Row],[OUTPUT]]="PRICE_0",0,_xlfn.RANK.EQ(Sim_Output[[#This Row],[WTD_RET]],OFFSET(Sim_Output[[#This Row],[WTD_RET]],-Sim_Output[[#This Row],[OBS]]+1,0,12)))</f>
        <v>0</v>
      </c>
      <c r="L485" s="3" t="str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/>
      </c>
      <c r="M485" s="3" t="str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/>
      </c>
      <c r="N485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</v>
      </c>
    </row>
    <row r="486" spans="2:14" x14ac:dyDescent="0.25">
      <c r="B486">
        <v>4</v>
      </c>
      <c r="C486">
        <v>8</v>
      </c>
      <c r="D486">
        <f>VALUE(RIGHT(Sim_Output[[#This Row],[OUTPUT]],LEN(Sim_Output[[#This Row],[OUTPUT]])-6))</f>
        <v>1</v>
      </c>
      <c r="E486">
        <v>2</v>
      </c>
      <c r="F486" t="str">
        <f>Sim_Output[[#This Row],[SIM_ID]]&amp;" - "&amp;Sim_Output[[#This Row],[WEEK]]&amp;" - "&amp;Sim_Output[[#This Row],[REGIME]]</f>
        <v>4 - 8 - 2</v>
      </c>
      <c r="G486" t="s">
        <v>45</v>
      </c>
      <c r="H486">
        <v>80</v>
      </c>
      <c r="I486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486" s="7">
        <f>Sim_Output[[#This Row],[VALUE]]/SUMIFS(Sim_Output[VALUE],Sim_Output[SIM_ID],Sim_Output[[#This Row],[SIM_ID]],Sim_Output[WEEK],Sim_Output[[#This Row],[WEEK]],Sim_Output[OUTPUT],"PRICE_0")-1</f>
        <v>-0.12087912087912089</v>
      </c>
      <c r="K486" s="4">
        <f ca="1">IF(Sim_Output[[#This Row],[OUTPUT]]="PRICE_0",0,_xlfn.RANK.EQ(Sim_Output[[#This Row],[WTD_RET]],OFFSET(Sim_Output[[#This Row],[WTD_RET]],-Sim_Output[[#This Row],[OBS]]+1,0,12)))</f>
        <v>1</v>
      </c>
      <c r="L486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1.4455188593154327</v>
      </c>
      <c r="M486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1</v>
      </c>
      <c r="N486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-0.12087912087912089</v>
      </c>
    </row>
    <row r="487" spans="2:14" x14ac:dyDescent="0.25">
      <c r="B487">
        <v>4</v>
      </c>
      <c r="C487">
        <v>8</v>
      </c>
      <c r="D487">
        <f>VALUE(RIGHT(Sim_Output[[#This Row],[OUTPUT]],LEN(Sim_Output[[#This Row],[OUTPUT]])-6))</f>
        <v>2</v>
      </c>
      <c r="E487">
        <v>2</v>
      </c>
      <c r="F487" t="str">
        <f>Sim_Output[[#This Row],[SIM_ID]]&amp;" - "&amp;Sim_Output[[#This Row],[WEEK]]&amp;" - "&amp;Sim_Output[[#This Row],[REGIME]]</f>
        <v>4 - 8 - 2</v>
      </c>
      <c r="G487" t="s">
        <v>46</v>
      </c>
      <c r="H487">
        <v>77</v>
      </c>
      <c r="I487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487" s="7">
        <f>Sim_Output[[#This Row],[VALUE]]/SUMIFS(Sim_Output[VALUE],Sim_Output[SIM_ID],Sim_Output[[#This Row],[SIM_ID]],Sim_Output[WEEK],Sim_Output[[#This Row],[WEEK]],Sim_Output[OUTPUT],"PRICE_0")-1</f>
        <v>-0.15384615384615385</v>
      </c>
      <c r="K487" s="4">
        <f ca="1">IF(Sim_Output[[#This Row],[OUTPUT]]="PRICE_0",0,_xlfn.RANK.EQ(Sim_Output[[#This Row],[WTD_RET]],OFFSET(Sim_Output[[#This Row],[WTD_RET]],-Sim_Output[[#This Row],[OBS]]+1,0,12)))</f>
        <v>2</v>
      </c>
      <c r="L487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1.2240776723564728</v>
      </c>
      <c r="M487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0.92500000000000004</v>
      </c>
      <c r="N487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-3.7499999999999978E-2</v>
      </c>
    </row>
    <row r="488" spans="2:14" x14ac:dyDescent="0.25">
      <c r="B488">
        <v>4</v>
      </c>
      <c r="C488">
        <v>8</v>
      </c>
      <c r="D488">
        <f>VALUE(RIGHT(Sim_Output[[#This Row],[OUTPUT]],LEN(Sim_Output[[#This Row],[OUTPUT]])-6))</f>
        <v>3</v>
      </c>
      <c r="E488">
        <v>2</v>
      </c>
      <c r="F488" t="str">
        <f>Sim_Output[[#This Row],[SIM_ID]]&amp;" - "&amp;Sim_Output[[#This Row],[WEEK]]&amp;" - "&amp;Sim_Output[[#This Row],[REGIME]]</f>
        <v>4 - 8 - 2</v>
      </c>
      <c r="G488" t="s">
        <v>47</v>
      </c>
      <c r="H488">
        <v>74</v>
      </c>
      <c r="I488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488" s="7">
        <f>Sim_Output[[#This Row],[VALUE]]/SUMIFS(Sim_Output[VALUE],Sim_Output[SIM_ID],Sim_Output[[#This Row],[SIM_ID]],Sim_Output[WEEK],Sim_Output[[#This Row],[WEEK]],Sim_Output[OUTPUT],"PRICE_0")-1</f>
        <v>-0.18681318681318682</v>
      </c>
      <c r="K488" s="4">
        <f ca="1">IF(Sim_Output[[#This Row],[OUTPUT]]="PRICE_0",0,_xlfn.RANK.EQ(Sim_Output[[#This Row],[WTD_RET]],OFFSET(Sim_Output[[#This Row],[WTD_RET]],-Sim_Output[[#This Row],[OBS]]+1,0,12)))</f>
        <v>3</v>
      </c>
      <c r="L488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1.0026364853975129</v>
      </c>
      <c r="M488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0.85</v>
      </c>
      <c r="N488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-3.8961038961038974E-2</v>
      </c>
    </row>
    <row r="489" spans="2:14" x14ac:dyDescent="0.25">
      <c r="B489">
        <v>4</v>
      </c>
      <c r="C489">
        <v>8</v>
      </c>
      <c r="D489">
        <f>VALUE(RIGHT(Sim_Output[[#This Row],[OUTPUT]],LEN(Sim_Output[[#This Row],[OUTPUT]])-6))</f>
        <v>4</v>
      </c>
      <c r="E489">
        <v>2</v>
      </c>
      <c r="F489" t="str">
        <f>Sim_Output[[#This Row],[SIM_ID]]&amp;" - "&amp;Sim_Output[[#This Row],[WEEK]]&amp;" - "&amp;Sim_Output[[#This Row],[REGIME]]</f>
        <v>4 - 8 - 2</v>
      </c>
      <c r="G489" t="s">
        <v>48</v>
      </c>
      <c r="H489">
        <v>70</v>
      </c>
      <c r="I489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489" s="7">
        <f>Sim_Output[[#This Row],[VALUE]]/SUMIFS(Sim_Output[VALUE],Sim_Output[SIM_ID],Sim_Output[[#This Row],[SIM_ID]],Sim_Output[WEEK],Sim_Output[[#This Row],[WEEK]],Sim_Output[OUTPUT],"PRICE_0")-1</f>
        <v>-0.23076923076923073</v>
      </c>
      <c r="K489" s="4">
        <f ca="1">IF(Sim_Output[[#This Row],[OUTPUT]]="PRICE_0",0,_xlfn.RANK.EQ(Sim_Output[[#This Row],[WTD_RET]],OFFSET(Sim_Output[[#This Row],[WTD_RET]],-Sim_Output[[#This Row],[OBS]]+1,0,12)))</f>
        <v>4</v>
      </c>
      <c r="L489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0.70738156945223318</v>
      </c>
      <c r="M489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0.75000000000000011</v>
      </c>
      <c r="N489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-5.4054054054054057E-2</v>
      </c>
    </row>
    <row r="490" spans="2:14" x14ac:dyDescent="0.25">
      <c r="B490">
        <v>4</v>
      </c>
      <c r="C490">
        <v>8</v>
      </c>
      <c r="D490">
        <f>VALUE(RIGHT(Sim_Output[[#This Row],[OUTPUT]],LEN(Sim_Output[[#This Row],[OUTPUT]])-6))</f>
        <v>5</v>
      </c>
      <c r="E490">
        <v>2</v>
      </c>
      <c r="F490" t="str">
        <f>Sim_Output[[#This Row],[SIM_ID]]&amp;" - "&amp;Sim_Output[[#This Row],[WEEK]]&amp;" - "&amp;Sim_Output[[#This Row],[REGIME]]</f>
        <v>4 - 8 - 2</v>
      </c>
      <c r="G490" t="s">
        <v>49</v>
      </c>
      <c r="H490">
        <v>66</v>
      </c>
      <c r="I490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490" s="7">
        <f>Sim_Output[[#This Row],[VALUE]]/SUMIFS(Sim_Output[VALUE],Sim_Output[SIM_ID],Sim_Output[[#This Row],[SIM_ID]],Sim_Output[WEEK],Sim_Output[[#This Row],[WEEK]],Sim_Output[OUTPUT],"PRICE_0")-1</f>
        <v>-0.27472527472527475</v>
      </c>
      <c r="K490" s="4">
        <f ca="1">IF(Sim_Output[[#This Row],[OUTPUT]]="PRICE_0",0,_xlfn.RANK.EQ(Sim_Output[[#This Row],[WTD_RET]],OFFSET(Sim_Output[[#This Row],[WTD_RET]],-Sim_Output[[#This Row],[OBS]]+1,0,12)))</f>
        <v>5</v>
      </c>
      <c r="L490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0.41212665350695288</v>
      </c>
      <c r="M490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0.65</v>
      </c>
      <c r="N490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-5.7142857142857162E-2</v>
      </c>
    </row>
    <row r="491" spans="2:14" x14ac:dyDescent="0.25">
      <c r="B491">
        <v>4</v>
      </c>
      <c r="C491">
        <v>8</v>
      </c>
      <c r="D491">
        <f>VALUE(RIGHT(Sim_Output[[#This Row],[OUTPUT]],LEN(Sim_Output[[#This Row],[OUTPUT]])-6))</f>
        <v>6</v>
      </c>
      <c r="E491">
        <v>2</v>
      </c>
      <c r="F491" t="str">
        <f>Sim_Output[[#This Row],[SIM_ID]]&amp;" - "&amp;Sim_Output[[#This Row],[WEEK]]&amp;" - "&amp;Sim_Output[[#This Row],[REGIME]]</f>
        <v>4 - 8 - 2</v>
      </c>
      <c r="G491" t="s">
        <v>50</v>
      </c>
      <c r="H491">
        <v>63</v>
      </c>
      <c r="I491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491" s="7">
        <f>Sim_Output[[#This Row],[VALUE]]/SUMIFS(Sim_Output[VALUE],Sim_Output[SIM_ID],Sim_Output[[#This Row],[SIM_ID]],Sim_Output[WEEK],Sim_Output[[#This Row],[WEEK]],Sim_Output[OUTPUT],"PRICE_0")-1</f>
        <v>-0.30769230769230771</v>
      </c>
      <c r="K491" s="4">
        <f ca="1">IF(Sim_Output[[#This Row],[OUTPUT]]="PRICE_0",0,_xlfn.RANK.EQ(Sim_Output[[#This Row],[WTD_RET]],OFFSET(Sim_Output[[#This Row],[WTD_RET]],-Sim_Output[[#This Row],[OBS]]+1,0,12)))</f>
        <v>6</v>
      </c>
      <c r="L491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0.19068546654799298</v>
      </c>
      <c r="M491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0.57499999999999996</v>
      </c>
      <c r="N491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-4.5454545454545414E-2</v>
      </c>
    </row>
    <row r="492" spans="2:14" x14ac:dyDescent="0.25">
      <c r="B492">
        <v>4</v>
      </c>
      <c r="C492">
        <v>8</v>
      </c>
      <c r="D492">
        <f>VALUE(RIGHT(Sim_Output[[#This Row],[OUTPUT]],LEN(Sim_Output[[#This Row],[OUTPUT]])-6))</f>
        <v>7</v>
      </c>
      <c r="E492">
        <v>2</v>
      </c>
      <c r="F492" t="str">
        <f>Sim_Output[[#This Row],[SIM_ID]]&amp;" - "&amp;Sim_Output[[#This Row],[WEEK]]&amp;" - "&amp;Sim_Output[[#This Row],[REGIME]]</f>
        <v>4 - 8 - 2</v>
      </c>
      <c r="G492" t="s">
        <v>51</v>
      </c>
      <c r="H492">
        <v>60</v>
      </c>
      <c r="I492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492" s="7">
        <f>Sim_Output[[#This Row],[VALUE]]/SUMIFS(Sim_Output[VALUE],Sim_Output[SIM_ID],Sim_Output[[#This Row],[SIM_ID]],Sim_Output[WEEK],Sim_Output[[#This Row],[WEEK]],Sim_Output[OUTPUT],"PRICE_0")-1</f>
        <v>-0.34065934065934067</v>
      </c>
      <c r="K492" s="4">
        <f ca="1">IF(Sim_Output[[#This Row],[OUTPUT]]="PRICE_0",0,_xlfn.RANK.EQ(Sim_Output[[#This Row],[WTD_RET]],OFFSET(Sim_Output[[#This Row],[WTD_RET]],-Sim_Output[[#This Row],[OBS]]+1,0,12)))</f>
        <v>7</v>
      </c>
      <c r="L492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-3.075572041096692E-2</v>
      </c>
      <c r="M492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0.5</v>
      </c>
      <c r="N492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-4.7619047619047672E-2</v>
      </c>
    </row>
    <row r="493" spans="2:14" x14ac:dyDescent="0.25">
      <c r="B493">
        <v>4</v>
      </c>
      <c r="C493">
        <v>8</v>
      </c>
      <c r="D493">
        <f>VALUE(RIGHT(Sim_Output[[#This Row],[OUTPUT]],LEN(Sim_Output[[#This Row],[OUTPUT]])-6))</f>
        <v>8</v>
      </c>
      <c r="E493">
        <v>2</v>
      </c>
      <c r="F493" t="str">
        <f>Sim_Output[[#This Row],[SIM_ID]]&amp;" - "&amp;Sim_Output[[#This Row],[WEEK]]&amp;" - "&amp;Sim_Output[[#This Row],[REGIME]]</f>
        <v>4 - 8 - 2</v>
      </c>
      <c r="G493" t="s">
        <v>52</v>
      </c>
      <c r="H493">
        <v>55</v>
      </c>
      <c r="I493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493" s="7">
        <f>Sim_Output[[#This Row],[VALUE]]/SUMIFS(Sim_Output[VALUE],Sim_Output[SIM_ID],Sim_Output[[#This Row],[SIM_ID]],Sim_Output[WEEK],Sim_Output[[#This Row],[WEEK]],Sim_Output[OUTPUT],"PRICE_0")-1</f>
        <v>-0.39560439560439564</v>
      </c>
      <c r="K493" s="4">
        <f ca="1">IF(Sim_Output[[#This Row],[OUTPUT]]="PRICE_0",0,_xlfn.RANK.EQ(Sim_Output[[#This Row],[WTD_RET]],OFFSET(Sim_Output[[#This Row],[WTD_RET]],-Sim_Output[[#This Row],[OBS]]+1,0,12)))</f>
        <v>8</v>
      </c>
      <c r="L493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-0.39982436534256699</v>
      </c>
      <c r="M493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0.37499999999999994</v>
      </c>
      <c r="N493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-8.333333333333337E-2</v>
      </c>
    </row>
    <row r="494" spans="2:14" x14ac:dyDescent="0.25">
      <c r="B494">
        <v>4</v>
      </c>
      <c r="C494">
        <v>8</v>
      </c>
      <c r="D494">
        <f>VALUE(RIGHT(Sim_Output[[#This Row],[OUTPUT]],LEN(Sim_Output[[#This Row],[OUTPUT]])-6))</f>
        <v>9</v>
      </c>
      <c r="E494">
        <v>2</v>
      </c>
      <c r="F494" t="str">
        <f>Sim_Output[[#This Row],[SIM_ID]]&amp;" - "&amp;Sim_Output[[#This Row],[WEEK]]&amp;" - "&amp;Sim_Output[[#This Row],[REGIME]]</f>
        <v>4 - 8 - 2</v>
      </c>
      <c r="G494" t="s">
        <v>53</v>
      </c>
      <c r="H494">
        <v>51</v>
      </c>
      <c r="I494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494" s="7">
        <f>Sim_Output[[#This Row],[VALUE]]/SUMIFS(Sim_Output[VALUE],Sim_Output[SIM_ID],Sim_Output[[#This Row],[SIM_ID]],Sim_Output[WEEK],Sim_Output[[#This Row],[WEEK]],Sim_Output[OUTPUT],"PRICE_0")-1</f>
        <v>-0.43956043956043955</v>
      </c>
      <c r="K494" s="4">
        <f ca="1">IF(Sim_Output[[#This Row],[OUTPUT]]="PRICE_0",0,_xlfn.RANK.EQ(Sim_Output[[#This Row],[WTD_RET]],OFFSET(Sim_Output[[#This Row],[WTD_RET]],-Sim_Output[[#This Row],[OBS]]+1,0,12)))</f>
        <v>9</v>
      </c>
      <c r="L494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-0.69507928128784657</v>
      </c>
      <c r="M494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0.27500000000000002</v>
      </c>
      <c r="N494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-7.2727272727272751E-2</v>
      </c>
    </row>
    <row r="495" spans="2:14" x14ac:dyDescent="0.25">
      <c r="B495">
        <v>4</v>
      </c>
      <c r="C495">
        <v>8</v>
      </c>
      <c r="D495">
        <f>VALUE(RIGHT(Sim_Output[[#This Row],[OUTPUT]],LEN(Sim_Output[[#This Row],[OUTPUT]])-6))</f>
        <v>10</v>
      </c>
      <c r="E495">
        <v>2</v>
      </c>
      <c r="F495" t="str">
        <f>Sim_Output[[#This Row],[SIM_ID]]&amp;" - "&amp;Sim_Output[[#This Row],[WEEK]]&amp;" - "&amp;Sim_Output[[#This Row],[REGIME]]</f>
        <v>4 - 8 - 2</v>
      </c>
      <c r="G495" t="s">
        <v>54</v>
      </c>
      <c r="H495">
        <v>46</v>
      </c>
      <c r="I495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495" s="7">
        <f>Sim_Output[[#This Row],[VALUE]]/SUMIFS(Sim_Output[VALUE],Sim_Output[SIM_ID],Sim_Output[[#This Row],[SIM_ID]],Sim_Output[WEEK],Sim_Output[[#This Row],[WEEK]],Sim_Output[OUTPUT],"PRICE_0")-1</f>
        <v>-0.49450549450549453</v>
      </c>
      <c r="K495" s="4">
        <f ca="1">IF(Sim_Output[[#This Row],[OUTPUT]]="PRICE_0",0,_xlfn.RANK.EQ(Sim_Output[[#This Row],[WTD_RET]],OFFSET(Sim_Output[[#This Row],[WTD_RET]],-Sim_Output[[#This Row],[OBS]]+1,0,12)))</f>
        <v>10</v>
      </c>
      <c r="L495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-1.0641479262194466</v>
      </c>
      <c r="M495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0.14999999999999997</v>
      </c>
      <c r="N495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-9.8039215686274495E-2</v>
      </c>
    </row>
    <row r="496" spans="2:14" x14ac:dyDescent="0.25">
      <c r="B496">
        <v>4</v>
      </c>
      <c r="C496">
        <v>8</v>
      </c>
      <c r="D496">
        <f>VALUE(RIGHT(Sim_Output[[#This Row],[OUTPUT]],LEN(Sim_Output[[#This Row],[OUTPUT]])-6))</f>
        <v>11</v>
      </c>
      <c r="E496">
        <v>2</v>
      </c>
      <c r="F496" t="str">
        <f>Sim_Output[[#This Row],[SIM_ID]]&amp;" - "&amp;Sim_Output[[#This Row],[WEEK]]&amp;" - "&amp;Sim_Output[[#This Row],[REGIME]]</f>
        <v>4 - 8 - 2</v>
      </c>
      <c r="G496" t="s">
        <v>55</v>
      </c>
      <c r="H496">
        <v>43</v>
      </c>
      <c r="I496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496" s="7">
        <f>Sim_Output[[#This Row],[VALUE]]/SUMIFS(Sim_Output[VALUE],Sim_Output[SIM_ID],Sim_Output[[#This Row],[SIM_ID]],Sim_Output[WEEK],Sim_Output[[#This Row],[WEEK]],Sim_Output[OUTPUT],"PRICE_0")-1</f>
        <v>-0.52747252747252749</v>
      </c>
      <c r="K496" s="4">
        <f ca="1">IF(Sim_Output[[#This Row],[OUTPUT]]="PRICE_0",0,_xlfn.RANK.EQ(Sim_Output[[#This Row],[WTD_RET]],OFFSET(Sim_Output[[#This Row],[WTD_RET]],-Sim_Output[[#This Row],[OBS]]+1,0,12)))</f>
        <v>11</v>
      </c>
      <c r="L496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-1.2855891131784065</v>
      </c>
      <c r="M496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7.4999999999999983E-2</v>
      </c>
      <c r="N496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-6.5217391304347783E-2</v>
      </c>
    </row>
    <row r="497" spans="2:14" x14ac:dyDescent="0.25">
      <c r="B497">
        <v>4</v>
      </c>
      <c r="C497">
        <v>8</v>
      </c>
      <c r="D497">
        <f>VALUE(RIGHT(Sim_Output[[#This Row],[OUTPUT]],LEN(Sim_Output[[#This Row],[OUTPUT]])-6))</f>
        <v>12</v>
      </c>
      <c r="E497">
        <v>2</v>
      </c>
      <c r="F497" t="str">
        <f>Sim_Output[[#This Row],[SIM_ID]]&amp;" - "&amp;Sim_Output[[#This Row],[WEEK]]&amp;" - "&amp;Sim_Output[[#This Row],[REGIME]]</f>
        <v>4 - 8 - 2</v>
      </c>
      <c r="G497" t="s">
        <v>56</v>
      </c>
      <c r="H497">
        <v>40</v>
      </c>
      <c r="I497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497" s="7">
        <f>Sim_Output[[#This Row],[VALUE]]/SUMIFS(Sim_Output[VALUE],Sim_Output[SIM_ID],Sim_Output[[#This Row],[SIM_ID]],Sim_Output[WEEK],Sim_Output[[#This Row],[WEEK]],Sim_Output[OUTPUT],"PRICE_0")-1</f>
        <v>-0.56043956043956045</v>
      </c>
      <c r="K497" s="4">
        <f ca="1">IF(Sim_Output[[#This Row],[OUTPUT]]="PRICE_0",0,_xlfn.RANK.EQ(Sim_Output[[#This Row],[WTD_RET]],OFFSET(Sim_Output[[#This Row],[WTD_RET]],-Sim_Output[[#This Row],[OBS]]+1,0,12)))</f>
        <v>12</v>
      </c>
      <c r="L497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-1.5070303001373664</v>
      </c>
      <c r="M497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</v>
      </c>
      <c r="N497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-6.9767441860465129E-2</v>
      </c>
    </row>
    <row r="498" spans="2:14" x14ac:dyDescent="0.25">
      <c r="B498">
        <v>4</v>
      </c>
      <c r="C498">
        <v>9</v>
      </c>
      <c r="D498">
        <f>VALUE(RIGHT(Sim_Output[[#This Row],[OUTPUT]],LEN(Sim_Output[[#This Row],[OUTPUT]])-6))</f>
        <v>0</v>
      </c>
      <c r="E498">
        <v>0</v>
      </c>
      <c r="F498" t="str">
        <f>Sim_Output[[#This Row],[SIM_ID]]&amp;" - "&amp;Sim_Output[[#This Row],[WEEK]]&amp;" - "&amp;Sim_Output[[#This Row],[REGIME]]</f>
        <v>4 - 9 - 0</v>
      </c>
      <c r="G498" t="s">
        <v>44</v>
      </c>
      <c r="H498">
        <v>106</v>
      </c>
      <c r="I498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498" s="7">
        <f>Sim_Output[[#This Row],[VALUE]]/SUMIFS(Sim_Output[VALUE],Sim_Output[SIM_ID],Sim_Output[[#This Row],[SIM_ID]],Sim_Output[WEEK],Sim_Output[[#This Row],[WEEK]],Sim_Output[OUTPUT],"PRICE_0")-1</f>
        <v>0</v>
      </c>
      <c r="K498" s="4">
        <f ca="1">IF(Sim_Output[[#This Row],[OUTPUT]]="PRICE_0",0,_xlfn.RANK.EQ(Sim_Output[[#This Row],[WTD_RET]],OFFSET(Sim_Output[[#This Row],[WTD_RET]],-Sim_Output[[#This Row],[OBS]]+1,0,12)))</f>
        <v>0</v>
      </c>
      <c r="L498" s="3" t="str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/>
      </c>
      <c r="M498" s="3" t="str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/>
      </c>
      <c r="N498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</v>
      </c>
    </row>
    <row r="499" spans="2:14" x14ac:dyDescent="0.25">
      <c r="B499">
        <v>4</v>
      </c>
      <c r="C499">
        <v>9</v>
      </c>
      <c r="D499">
        <f>VALUE(RIGHT(Sim_Output[[#This Row],[OUTPUT]],LEN(Sim_Output[[#This Row],[OUTPUT]])-6))</f>
        <v>1</v>
      </c>
      <c r="E499">
        <v>0</v>
      </c>
      <c r="F499" t="str">
        <f>Sim_Output[[#This Row],[SIM_ID]]&amp;" - "&amp;Sim_Output[[#This Row],[WEEK]]&amp;" - "&amp;Sim_Output[[#This Row],[REGIME]]</f>
        <v>4 - 9 - 0</v>
      </c>
      <c r="G499" t="s">
        <v>45</v>
      </c>
      <c r="H499">
        <v>108</v>
      </c>
      <c r="I499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499" s="7">
        <f>Sim_Output[[#This Row],[VALUE]]/SUMIFS(Sim_Output[VALUE],Sim_Output[SIM_ID],Sim_Output[[#This Row],[SIM_ID]],Sim_Output[WEEK],Sim_Output[[#This Row],[WEEK]],Sim_Output[OUTPUT],"PRICE_0")-1</f>
        <v>1.8867924528301883E-2</v>
      </c>
      <c r="K499" s="4">
        <f ca="1">IF(Sim_Output[[#This Row],[OUTPUT]]="PRICE_0",0,_xlfn.RANK.EQ(Sim_Output[[#This Row],[WTD_RET]],OFFSET(Sim_Output[[#This Row],[WTD_RET]],-Sim_Output[[#This Row],[OBS]]+1,0,12)))</f>
        <v>6</v>
      </c>
      <c r="L499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0.49095837365212058</v>
      </c>
      <c r="M499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0.70731707317073178</v>
      </c>
      <c r="N499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1.8867924528301883E-2</v>
      </c>
    </row>
    <row r="500" spans="2:14" x14ac:dyDescent="0.25">
      <c r="B500">
        <v>4</v>
      </c>
      <c r="C500">
        <v>9</v>
      </c>
      <c r="D500">
        <f>VALUE(RIGHT(Sim_Output[[#This Row],[OUTPUT]],LEN(Sim_Output[[#This Row],[OUTPUT]])-6))</f>
        <v>2</v>
      </c>
      <c r="E500">
        <v>0</v>
      </c>
      <c r="F500" t="str">
        <f>Sim_Output[[#This Row],[SIM_ID]]&amp;" - "&amp;Sim_Output[[#This Row],[WEEK]]&amp;" - "&amp;Sim_Output[[#This Row],[REGIME]]</f>
        <v>4 - 9 - 0</v>
      </c>
      <c r="G500" t="s">
        <v>46</v>
      </c>
      <c r="H500">
        <v>102</v>
      </c>
      <c r="I500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500" s="7">
        <f>Sim_Output[[#This Row],[VALUE]]/SUMIFS(Sim_Output[VALUE],Sim_Output[SIM_ID],Sim_Output[[#This Row],[SIM_ID]],Sim_Output[WEEK],Sim_Output[[#This Row],[WEEK]],Sim_Output[OUTPUT],"PRICE_0")-1</f>
        <v>-3.7735849056603765E-2</v>
      </c>
      <c r="K500" s="4">
        <f ca="1">IF(Sim_Output[[#This Row],[OUTPUT]]="PRICE_0",0,_xlfn.RANK.EQ(Sim_Output[[#This Row],[WTD_RET]],OFFSET(Sim_Output[[#This Row],[WTD_RET]],-Sim_Output[[#This Row],[OBS]]+1,0,12)))</f>
        <v>7</v>
      </c>
      <c r="L500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0.29457502419127241</v>
      </c>
      <c r="M500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0.63414634146341464</v>
      </c>
      <c r="N500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-5.555555555555558E-2</v>
      </c>
    </row>
    <row r="501" spans="2:14" x14ac:dyDescent="0.25">
      <c r="B501">
        <v>4</v>
      </c>
      <c r="C501">
        <v>9</v>
      </c>
      <c r="D501">
        <f>VALUE(RIGHT(Sim_Output[[#This Row],[OUTPUT]],LEN(Sim_Output[[#This Row],[OUTPUT]])-6))</f>
        <v>3</v>
      </c>
      <c r="E501">
        <v>0</v>
      </c>
      <c r="F501" t="str">
        <f>Sim_Output[[#This Row],[SIM_ID]]&amp;" - "&amp;Sim_Output[[#This Row],[WEEK]]&amp;" - "&amp;Sim_Output[[#This Row],[REGIME]]</f>
        <v>4 - 9 - 0</v>
      </c>
      <c r="G501" t="s">
        <v>47</v>
      </c>
      <c r="H501">
        <v>128</v>
      </c>
      <c r="I501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501" s="7">
        <f>Sim_Output[[#This Row],[VALUE]]/SUMIFS(Sim_Output[VALUE],Sim_Output[SIM_ID],Sim_Output[[#This Row],[SIM_ID]],Sim_Output[WEEK],Sim_Output[[#This Row],[WEEK]],Sim_Output[OUTPUT],"PRICE_0")-1</f>
        <v>0.20754716981132071</v>
      </c>
      <c r="K501" s="4">
        <f ca="1">IF(Sim_Output[[#This Row],[OUTPUT]]="PRICE_0",0,_xlfn.RANK.EQ(Sim_Output[[#This Row],[WTD_RET]],OFFSET(Sim_Output[[#This Row],[WTD_RET]],-Sim_Output[[#This Row],[OBS]]+1,0,12)))</f>
        <v>2</v>
      </c>
      <c r="L501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1.1455695385216145</v>
      </c>
      <c r="M501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0.95121951219512191</v>
      </c>
      <c r="N501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0.25490196078431371</v>
      </c>
    </row>
    <row r="502" spans="2:14" x14ac:dyDescent="0.25">
      <c r="B502">
        <v>4</v>
      </c>
      <c r="C502">
        <v>9</v>
      </c>
      <c r="D502">
        <f>VALUE(RIGHT(Sim_Output[[#This Row],[OUTPUT]],LEN(Sim_Output[[#This Row],[OUTPUT]])-6))</f>
        <v>4</v>
      </c>
      <c r="E502">
        <v>0</v>
      </c>
      <c r="F502" t="str">
        <f>Sim_Output[[#This Row],[SIM_ID]]&amp;" - "&amp;Sim_Output[[#This Row],[WEEK]]&amp;" - "&amp;Sim_Output[[#This Row],[REGIME]]</f>
        <v>4 - 9 - 0</v>
      </c>
      <c r="G502" t="s">
        <v>48</v>
      </c>
      <c r="H502">
        <v>67</v>
      </c>
      <c r="I502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502" s="7">
        <f>Sim_Output[[#This Row],[VALUE]]/SUMIFS(Sim_Output[VALUE],Sim_Output[SIM_ID],Sim_Output[[#This Row],[SIM_ID]],Sim_Output[WEEK],Sim_Output[[#This Row],[WEEK]],Sim_Output[OUTPUT],"PRICE_0")-1</f>
        <v>-0.36792452830188682</v>
      </c>
      <c r="K502" s="4">
        <f ca="1">IF(Sim_Output[[#This Row],[OUTPUT]]="PRICE_0",0,_xlfn.RANK.EQ(Sim_Output[[#This Row],[WTD_RET]],OFFSET(Sim_Output[[#This Row],[WTD_RET]],-Sim_Output[[#This Row],[OBS]]+1,0,12)))</f>
        <v>8</v>
      </c>
      <c r="L502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-0.85099451433034223</v>
      </c>
      <c r="M502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0.20731707317073167</v>
      </c>
      <c r="N502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-0.4765625</v>
      </c>
    </row>
    <row r="503" spans="2:14" x14ac:dyDescent="0.25">
      <c r="B503">
        <v>4</v>
      </c>
      <c r="C503">
        <v>9</v>
      </c>
      <c r="D503">
        <f>VALUE(RIGHT(Sim_Output[[#This Row],[OUTPUT]],LEN(Sim_Output[[#This Row],[OUTPUT]])-6))</f>
        <v>5</v>
      </c>
      <c r="E503">
        <v>0</v>
      </c>
      <c r="F503" t="str">
        <f>Sim_Output[[#This Row],[SIM_ID]]&amp;" - "&amp;Sim_Output[[#This Row],[WEEK]]&amp;" - "&amp;Sim_Output[[#This Row],[REGIME]]</f>
        <v>4 - 9 - 0</v>
      </c>
      <c r="G503" t="s">
        <v>49</v>
      </c>
      <c r="H503">
        <v>56</v>
      </c>
      <c r="I503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503" s="7">
        <f>Sim_Output[[#This Row],[VALUE]]/SUMIFS(Sim_Output[VALUE],Sim_Output[SIM_ID],Sim_Output[[#This Row],[SIM_ID]],Sim_Output[WEEK],Sim_Output[[#This Row],[WEEK]],Sim_Output[OUTPUT],"PRICE_0")-1</f>
        <v>-0.47169811320754718</v>
      </c>
      <c r="K503" s="4">
        <f ca="1">IF(Sim_Output[[#This Row],[OUTPUT]]="PRICE_0",0,_xlfn.RANK.EQ(Sim_Output[[#This Row],[WTD_RET]],OFFSET(Sim_Output[[#This Row],[WTD_RET]],-Sim_Output[[#This Row],[OBS]]+1,0,12)))</f>
        <v>11</v>
      </c>
      <c r="L503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-1.2110306550085639</v>
      </c>
      <c r="M503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7.3170731707317069E-2</v>
      </c>
      <c r="N503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-0.16417910447761197</v>
      </c>
    </row>
    <row r="504" spans="2:14" x14ac:dyDescent="0.25">
      <c r="B504">
        <v>4</v>
      </c>
      <c r="C504">
        <v>9</v>
      </c>
      <c r="D504">
        <f>VALUE(RIGHT(Sim_Output[[#This Row],[OUTPUT]],LEN(Sim_Output[[#This Row],[OUTPUT]])-6))</f>
        <v>6</v>
      </c>
      <c r="E504">
        <v>0</v>
      </c>
      <c r="F504" t="str">
        <f>Sim_Output[[#This Row],[SIM_ID]]&amp;" - "&amp;Sim_Output[[#This Row],[WEEK]]&amp;" - "&amp;Sim_Output[[#This Row],[REGIME]]</f>
        <v>4 - 9 - 0</v>
      </c>
      <c r="G504" t="s">
        <v>50</v>
      </c>
      <c r="H504">
        <v>50</v>
      </c>
      <c r="I504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504" s="7">
        <f>Sim_Output[[#This Row],[VALUE]]/SUMIFS(Sim_Output[VALUE],Sim_Output[SIM_ID],Sim_Output[[#This Row],[SIM_ID]],Sim_Output[WEEK],Sim_Output[[#This Row],[WEEK]],Sim_Output[OUTPUT],"PRICE_0")-1</f>
        <v>-0.52830188679245282</v>
      </c>
      <c r="K504" s="4">
        <f ca="1">IF(Sim_Output[[#This Row],[OUTPUT]]="PRICE_0",0,_xlfn.RANK.EQ(Sim_Output[[#This Row],[WTD_RET]],OFFSET(Sim_Output[[#This Row],[WTD_RET]],-Sim_Output[[#This Row],[OBS]]+1,0,12)))</f>
        <v>12</v>
      </c>
      <c r="L504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-1.4074140044694121</v>
      </c>
      <c r="M504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</v>
      </c>
      <c r="N504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-0.1071428571428571</v>
      </c>
    </row>
    <row r="505" spans="2:14" x14ac:dyDescent="0.25">
      <c r="B505">
        <v>4</v>
      </c>
      <c r="C505">
        <v>9</v>
      </c>
      <c r="D505">
        <f>VALUE(RIGHT(Sim_Output[[#This Row],[OUTPUT]],LEN(Sim_Output[[#This Row],[OUTPUT]])-6))</f>
        <v>7</v>
      </c>
      <c r="E505">
        <v>0</v>
      </c>
      <c r="F505" t="str">
        <f>Sim_Output[[#This Row],[SIM_ID]]&amp;" - "&amp;Sim_Output[[#This Row],[WEEK]]&amp;" - "&amp;Sim_Output[[#This Row],[REGIME]]</f>
        <v>4 - 9 - 0</v>
      </c>
      <c r="G505" t="s">
        <v>51</v>
      </c>
      <c r="H505">
        <v>132</v>
      </c>
      <c r="I505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505" s="7">
        <f>Sim_Output[[#This Row],[VALUE]]/SUMIFS(Sim_Output[VALUE],Sim_Output[SIM_ID],Sim_Output[[#This Row],[SIM_ID]],Sim_Output[WEEK],Sim_Output[[#This Row],[WEEK]],Sim_Output[OUTPUT],"PRICE_0")-1</f>
        <v>0.24528301886792447</v>
      </c>
      <c r="K505" s="4">
        <f ca="1">IF(Sim_Output[[#This Row],[OUTPUT]]="PRICE_0",0,_xlfn.RANK.EQ(Sim_Output[[#This Row],[WTD_RET]],OFFSET(Sim_Output[[#This Row],[WTD_RET]],-Sim_Output[[#This Row],[OBS]]+1,0,12)))</f>
        <v>1</v>
      </c>
      <c r="L505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1.2764917714955133</v>
      </c>
      <c r="M505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1</v>
      </c>
      <c r="N505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1.6400000000000001</v>
      </c>
    </row>
    <row r="506" spans="2:14" x14ac:dyDescent="0.25">
      <c r="B506">
        <v>4</v>
      </c>
      <c r="C506">
        <v>9</v>
      </c>
      <c r="D506">
        <f>VALUE(RIGHT(Sim_Output[[#This Row],[OUTPUT]],LEN(Sim_Output[[#This Row],[OUTPUT]])-6))</f>
        <v>8</v>
      </c>
      <c r="E506">
        <v>0</v>
      </c>
      <c r="F506" t="str">
        <f>Sim_Output[[#This Row],[SIM_ID]]&amp;" - "&amp;Sim_Output[[#This Row],[WEEK]]&amp;" - "&amp;Sim_Output[[#This Row],[REGIME]]</f>
        <v>4 - 9 - 0</v>
      </c>
      <c r="G506" t="s">
        <v>52</v>
      </c>
      <c r="H506">
        <v>109</v>
      </c>
      <c r="I506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506" s="7">
        <f>Sim_Output[[#This Row],[VALUE]]/SUMIFS(Sim_Output[VALUE],Sim_Output[SIM_ID],Sim_Output[[#This Row],[SIM_ID]],Sim_Output[WEEK],Sim_Output[[#This Row],[WEEK]],Sim_Output[OUTPUT],"PRICE_0")-1</f>
        <v>2.8301886792452935E-2</v>
      </c>
      <c r="K506" s="4">
        <f ca="1">IF(Sim_Output[[#This Row],[OUTPUT]]="PRICE_0",0,_xlfn.RANK.EQ(Sim_Output[[#This Row],[WTD_RET]],OFFSET(Sim_Output[[#This Row],[WTD_RET]],-Sim_Output[[#This Row],[OBS]]+1,0,12)))</f>
        <v>5</v>
      </c>
      <c r="L506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0.52368893189559573</v>
      </c>
      <c r="M506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0.71951219512195141</v>
      </c>
      <c r="N506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-0.1742424242424242</v>
      </c>
    </row>
    <row r="507" spans="2:14" x14ac:dyDescent="0.25">
      <c r="B507">
        <v>4</v>
      </c>
      <c r="C507">
        <v>9</v>
      </c>
      <c r="D507">
        <f>VALUE(RIGHT(Sim_Output[[#This Row],[OUTPUT]],LEN(Sim_Output[[#This Row],[OUTPUT]])-6))</f>
        <v>9</v>
      </c>
      <c r="E507">
        <v>0</v>
      </c>
      <c r="F507" t="str">
        <f>Sim_Output[[#This Row],[SIM_ID]]&amp;" - "&amp;Sim_Output[[#This Row],[WEEK]]&amp;" - "&amp;Sim_Output[[#This Row],[REGIME]]</f>
        <v>4 - 9 - 0</v>
      </c>
      <c r="G507" t="s">
        <v>53</v>
      </c>
      <c r="H507">
        <v>119</v>
      </c>
      <c r="I507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507" s="7">
        <f>Sim_Output[[#This Row],[VALUE]]/SUMIFS(Sim_Output[VALUE],Sim_Output[SIM_ID],Sim_Output[[#This Row],[SIM_ID]],Sim_Output[WEEK],Sim_Output[[#This Row],[WEEK]],Sim_Output[OUTPUT],"PRICE_0")-1</f>
        <v>0.12264150943396235</v>
      </c>
      <c r="K507" s="4">
        <f ca="1">IF(Sim_Output[[#This Row],[OUTPUT]]="PRICE_0",0,_xlfn.RANK.EQ(Sim_Output[[#This Row],[WTD_RET]],OFFSET(Sim_Output[[#This Row],[WTD_RET]],-Sim_Output[[#This Row],[OBS]]+1,0,12)))</f>
        <v>3</v>
      </c>
      <c r="L507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0.85099451433034268</v>
      </c>
      <c r="M507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0.84146341463414653</v>
      </c>
      <c r="N507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9.174311926605494E-2</v>
      </c>
    </row>
    <row r="508" spans="2:14" x14ac:dyDescent="0.25">
      <c r="B508">
        <v>4</v>
      </c>
      <c r="C508">
        <v>9</v>
      </c>
      <c r="D508">
        <f>VALUE(RIGHT(Sim_Output[[#This Row],[OUTPUT]],LEN(Sim_Output[[#This Row],[OUTPUT]])-6))</f>
        <v>10</v>
      </c>
      <c r="E508">
        <v>0</v>
      </c>
      <c r="F508" t="str">
        <f>Sim_Output[[#This Row],[SIM_ID]]&amp;" - "&amp;Sim_Output[[#This Row],[WEEK]]&amp;" - "&amp;Sim_Output[[#This Row],[REGIME]]</f>
        <v>4 - 9 - 0</v>
      </c>
      <c r="G508" t="s">
        <v>54</v>
      </c>
      <c r="H508">
        <v>118</v>
      </c>
      <c r="I508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508" s="7">
        <f>Sim_Output[[#This Row],[VALUE]]/SUMIFS(Sim_Output[VALUE],Sim_Output[SIM_ID],Sim_Output[[#This Row],[SIM_ID]],Sim_Output[WEEK],Sim_Output[[#This Row],[WEEK]],Sim_Output[OUTPUT],"PRICE_0")-1</f>
        <v>0.1132075471698113</v>
      </c>
      <c r="K508" s="4">
        <f ca="1">IF(Sim_Output[[#This Row],[OUTPUT]]="PRICE_0",0,_xlfn.RANK.EQ(Sim_Output[[#This Row],[WTD_RET]],OFFSET(Sim_Output[[#This Row],[WTD_RET]],-Sim_Output[[#This Row],[OBS]]+1,0,12)))</f>
        <v>4</v>
      </c>
      <c r="L508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0.81826395608686753</v>
      </c>
      <c r="M508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0.8292682926829269</v>
      </c>
      <c r="N508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-8.4033613445377853E-3</v>
      </c>
    </row>
    <row r="509" spans="2:14" x14ac:dyDescent="0.25">
      <c r="B509">
        <v>4</v>
      </c>
      <c r="C509">
        <v>9</v>
      </c>
      <c r="D509">
        <f>VALUE(RIGHT(Sim_Output[[#This Row],[OUTPUT]],LEN(Sim_Output[[#This Row],[OUTPUT]])-6))</f>
        <v>11</v>
      </c>
      <c r="E509">
        <v>0</v>
      </c>
      <c r="F509" t="str">
        <f>Sim_Output[[#This Row],[SIM_ID]]&amp;" - "&amp;Sim_Output[[#This Row],[WEEK]]&amp;" - "&amp;Sim_Output[[#This Row],[REGIME]]</f>
        <v>4 - 9 - 0</v>
      </c>
      <c r="G509" t="s">
        <v>55</v>
      </c>
      <c r="H509">
        <v>67</v>
      </c>
      <c r="I509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509" s="7">
        <f>Sim_Output[[#This Row],[VALUE]]/SUMIFS(Sim_Output[VALUE],Sim_Output[SIM_ID],Sim_Output[[#This Row],[SIM_ID]],Sim_Output[WEEK],Sim_Output[[#This Row],[WEEK]],Sim_Output[OUTPUT],"PRICE_0")-1</f>
        <v>-0.36792452830188682</v>
      </c>
      <c r="K509" s="4">
        <f ca="1">IF(Sim_Output[[#This Row],[OUTPUT]]="PRICE_0",0,_xlfn.RANK.EQ(Sim_Output[[#This Row],[WTD_RET]],OFFSET(Sim_Output[[#This Row],[WTD_RET]],-Sim_Output[[#This Row],[OBS]]+1,0,12)))</f>
        <v>8</v>
      </c>
      <c r="L509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-0.85099451433034223</v>
      </c>
      <c r="M509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0.20731707317073167</v>
      </c>
      <c r="N509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-0.43220338983050843</v>
      </c>
    </row>
    <row r="510" spans="2:14" x14ac:dyDescent="0.25">
      <c r="B510">
        <v>4</v>
      </c>
      <c r="C510">
        <v>9</v>
      </c>
      <c r="D510">
        <f>VALUE(RIGHT(Sim_Output[[#This Row],[OUTPUT]],LEN(Sim_Output[[#This Row],[OUTPUT]])-6))</f>
        <v>12</v>
      </c>
      <c r="E510">
        <v>0</v>
      </c>
      <c r="F510" t="str">
        <f>Sim_Output[[#This Row],[SIM_ID]]&amp;" - "&amp;Sim_Output[[#This Row],[WEEK]]&amp;" - "&amp;Sim_Output[[#This Row],[REGIME]]</f>
        <v>4 - 9 - 0</v>
      </c>
      <c r="G510" t="s">
        <v>56</v>
      </c>
      <c r="H510">
        <v>60</v>
      </c>
      <c r="I510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510" s="7">
        <f>Sim_Output[[#This Row],[VALUE]]/SUMIFS(Sim_Output[VALUE],Sim_Output[SIM_ID],Sim_Output[[#This Row],[SIM_ID]],Sim_Output[WEEK],Sim_Output[[#This Row],[WEEK]],Sim_Output[OUTPUT],"PRICE_0")-1</f>
        <v>-0.43396226415094341</v>
      </c>
      <c r="K510" s="4">
        <f ca="1">IF(Sim_Output[[#This Row],[OUTPUT]]="PRICE_0",0,_xlfn.RANK.EQ(Sim_Output[[#This Row],[WTD_RET]],OFFSET(Sim_Output[[#This Row],[WTD_RET]],-Sim_Output[[#This Row],[OBS]]+1,0,12)))</f>
        <v>10</v>
      </c>
      <c r="L510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-1.0801084220346651</v>
      </c>
      <c r="M510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0.12195121951219511</v>
      </c>
      <c r="N510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-0.10447761194029848</v>
      </c>
    </row>
    <row r="511" spans="2:14" x14ac:dyDescent="0.25">
      <c r="B511">
        <v>4</v>
      </c>
      <c r="C511">
        <v>10</v>
      </c>
      <c r="D511">
        <f>VALUE(RIGHT(Sim_Output[[#This Row],[OUTPUT]],LEN(Sim_Output[[#This Row],[OUTPUT]])-6))</f>
        <v>0</v>
      </c>
      <c r="E511">
        <v>2</v>
      </c>
      <c r="F511" t="str">
        <f>Sim_Output[[#This Row],[SIM_ID]]&amp;" - "&amp;Sim_Output[[#This Row],[WEEK]]&amp;" - "&amp;Sim_Output[[#This Row],[REGIME]]</f>
        <v>4 - 10 - 2</v>
      </c>
      <c r="G511" t="s">
        <v>44</v>
      </c>
      <c r="H511">
        <v>98</v>
      </c>
      <c r="I511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511" s="7">
        <f>Sim_Output[[#This Row],[VALUE]]/SUMIFS(Sim_Output[VALUE],Sim_Output[SIM_ID],Sim_Output[[#This Row],[SIM_ID]],Sim_Output[WEEK],Sim_Output[[#This Row],[WEEK]],Sim_Output[OUTPUT],"PRICE_0")-1</f>
        <v>0</v>
      </c>
      <c r="K511" s="4">
        <f ca="1">IF(Sim_Output[[#This Row],[OUTPUT]]="PRICE_0",0,_xlfn.RANK.EQ(Sim_Output[[#This Row],[WTD_RET]],OFFSET(Sim_Output[[#This Row],[WTD_RET]],-Sim_Output[[#This Row],[OBS]]+1,0,12)))</f>
        <v>0</v>
      </c>
      <c r="L511" s="3" t="str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/>
      </c>
      <c r="M511" s="3" t="str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/>
      </c>
      <c r="N511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</v>
      </c>
    </row>
    <row r="512" spans="2:14" x14ac:dyDescent="0.25">
      <c r="B512">
        <v>4</v>
      </c>
      <c r="C512">
        <v>10</v>
      </c>
      <c r="D512">
        <f>VALUE(RIGHT(Sim_Output[[#This Row],[OUTPUT]],LEN(Sim_Output[[#This Row],[OUTPUT]])-6))</f>
        <v>1</v>
      </c>
      <c r="E512">
        <v>2</v>
      </c>
      <c r="F512" t="str">
        <f>Sim_Output[[#This Row],[SIM_ID]]&amp;" - "&amp;Sim_Output[[#This Row],[WEEK]]&amp;" - "&amp;Sim_Output[[#This Row],[REGIME]]</f>
        <v>4 - 10 - 2</v>
      </c>
      <c r="G512" t="s">
        <v>45</v>
      </c>
      <c r="H512">
        <v>84</v>
      </c>
      <c r="I512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512" s="7">
        <f>Sim_Output[[#This Row],[VALUE]]/SUMIFS(Sim_Output[VALUE],Sim_Output[SIM_ID],Sim_Output[[#This Row],[SIM_ID]],Sim_Output[WEEK],Sim_Output[[#This Row],[WEEK]],Sim_Output[OUTPUT],"PRICE_0")-1</f>
        <v>-0.1428571428571429</v>
      </c>
      <c r="K512" s="4">
        <f ca="1">IF(Sim_Output[[#This Row],[OUTPUT]]="PRICE_0",0,_xlfn.RANK.EQ(Sim_Output[[#This Row],[WTD_RET]],OFFSET(Sim_Output[[#This Row],[WTD_RET]],-Sim_Output[[#This Row],[OBS]]+1,0,12)))</f>
        <v>1</v>
      </c>
      <c r="L512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1.5116494698902441</v>
      </c>
      <c r="M512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1</v>
      </c>
      <c r="N512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-0.1428571428571429</v>
      </c>
    </row>
    <row r="513" spans="2:14" x14ac:dyDescent="0.25">
      <c r="B513">
        <v>4</v>
      </c>
      <c r="C513">
        <v>10</v>
      </c>
      <c r="D513">
        <f>VALUE(RIGHT(Sim_Output[[#This Row],[OUTPUT]],LEN(Sim_Output[[#This Row],[OUTPUT]])-6))</f>
        <v>2</v>
      </c>
      <c r="E513">
        <v>2</v>
      </c>
      <c r="F513" t="str">
        <f>Sim_Output[[#This Row],[SIM_ID]]&amp;" - "&amp;Sim_Output[[#This Row],[WEEK]]&amp;" - "&amp;Sim_Output[[#This Row],[REGIME]]</f>
        <v>4 - 10 - 2</v>
      </c>
      <c r="G513" t="s">
        <v>46</v>
      </c>
      <c r="H513">
        <v>80</v>
      </c>
      <c r="I513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513" s="7">
        <f>Sim_Output[[#This Row],[VALUE]]/SUMIFS(Sim_Output[VALUE],Sim_Output[SIM_ID],Sim_Output[[#This Row],[SIM_ID]],Sim_Output[WEEK],Sim_Output[[#This Row],[WEEK]],Sim_Output[OUTPUT],"PRICE_0")-1</f>
        <v>-0.18367346938775508</v>
      </c>
      <c r="K513" s="4">
        <f ca="1">IF(Sim_Output[[#This Row],[OUTPUT]]="PRICE_0",0,_xlfn.RANK.EQ(Sim_Output[[#This Row],[WTD_RET]],OFFSET(Sim_Output[[#This Row],[WTD_RET]],-Sim_Output[[#This Row],[OBS]]+1,0,12)))</f>
        <v>2</v>
      </c>
      <c r="L513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1.2429117863542012</v>
      </c>
      <c r="M513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0.91304347826086973</v>
      </c>
      <c r="N513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-4.7619047619047672E-2</v>
      </c>
    </row>
    <row r="514" spans="2:14" x14ac:dyDescent="0.25">
      <c r="B514">
        <v>4</v>
      </c>
      <c r="C514">
        <v>10</v>
      </c>
      <c r="D514">
        <f>VALUE(RIGHT(Sim_Output[[#This Row],[OUTPUT]],LEN(Sim_Output[[#This Row],[OUTPUT]])-6))</f>
        <v>3</v>
      </c>
      <c r="E514">
        <v>2</v>
      </c>
      <c r="F514" t="str">
        <f>Sim_Output[[#This Row],[SIM_ID]]&amp;" - "&amp;Sim_Output[[#This Row],[WEEK]]&amp;" - "&amp;Sim_Output[[#This Row],[REGIME]]</f>
        <v>4 - 10 - 2</v>
      </c>
      <c r="G514" t="s">
        <v>47</v>
      </c>
      <c r="H514">
        <v>76</v>
      </c>
      <c r="I514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514" s="7">
        <f>Sim_Output[[#This Row],[VALUE]]/SUMIFS(Sim_Output[VALUE],Sim_Output[SIM_ID],Sim_Output[[#This Row],[SIM_ID]],Sim_Output[WEEK],Sim_Output[[#This Row],[WEEK]],Sim_Output[OUTPUT],"PRICE_0")-1</f>
        <v>-0.22448979591836737</v>
      </c>
      <c r="K514" s="4">
        <f ca="1">IF(Sim_Output[[#This Row],[OUTPUT]]="PRICE_0",0,_xlfn.RANK.EQ(Sim_Output[[#This Row],[WTD_RET]],OFFSET(Sim_Output[[#This Row],[WTD_RET]],-Sim_Output[[#This Row],[OBS]]+1,0,12)))</f>
        <v>3</v>
      </c>
      <c r="L514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0.97417410281815753</v>
      </c>
      <c r="M514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0.82608695652173914</v>
      </c>
      <c r="N514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-5.0000000000000044E-2</v>
      </c>
    </row>
    <row r="515" spans="2:14" x14ac:dyDescent="0.25">
      <c r="B515">
        <v>4</v>
      </c>
      <c r="C515">
        <v>10</v>
      </c>
      <c r="D515">
        <f>VALUE(RIGHT(Sim_Output[[#This Row],[OUTPUT]],LEN(Sim_Output[[#This Row],[OUTPUT]])-6))</f>
        <v>4</v>
      </c>
      <c r="E515">
        <v>2</v>
      </c>
      <c r="F515" t="str">
        <f>Sim_Output[[#This Row],[SIM_ID]]&amp;" - "&amp;Sim_Output[[#This Row],[WEEK]]&amp;" - "&amp;Sim_Output[[#This Row],[REGIME]]</f>
        <v>4 - 10 - 2</v>
      </c>
      <c r="G515" t="s">
        <v>48</v>
      </c>
      <c r="H515">
        <v>71</v>
      </c>
      <c r="I515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515" s="7">
        <f>Sim_Output[[#This Row],[VALUE]]/SUMIFS(Sim_Output[VALUE],Sim_Output[SIM_ID],Sim_Output[[#This Row],[SIM_ID]],Sim_Output[WEEK],Sim_Output[[#This Row],[WEEK]],Sim_Output[OUTPUT],"PRICE_0")-1</f>
        <v>-0.27551020408163263</v>
      </c>
      <c r="K515" s="4">
        <f ca="1">IF(Sim_Output[[#This Row],[OUTPUT]]="PRICE_0",0,_xlfn.RANK.EQ(Sim_Output[[#This Row],[WTD_RET]],OFFSET(Sim_Output[[#This Row],[WTD_RET]],-Sim_Output[[#This Row],[OBS]]+1,0,12)))</f>
        <v>4</v>
      </c>
      <c r="L515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0.63825199839810365</v>
      </c>
      <c r="M515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0.71739130434782628</v>
      </c>
      <c r="N515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-6.5789473684210509E-2</v>
      </c>
    </row>
    <row r="516" spans="2:14" x14ac:dyDescent="0.25">
      <c r="B516">
        <v>4</v>
      </c>
      <c r="C516">
        <v>10</v>
      </c>
      <c r="D516">
        <f>VALUE(RIGHT(Sim_Output[[#This Row],[OUTPUT]],LEN(Sim_Output[[#This Row],[OUTPUT]])-6))</f>
        <v>5</v>
      </c>
      <c r="E516">
        <v>2</v>
      </c>
      <c r="F516" t="str">
        <f>Sim_Output[[#This Row],[SIM_ID]]&amp;" - "&amp;Sim_Output[[#This Row],[WEEK]]&amp;" - "&amp;Sim_Output[[#This Row],[REGIME]]</f>
        <v>4 - 10 - 2</v>
      </c>
      <c r="G516" t="s">
        <v>49</v>
      </c>
      <c r="H516">
        <v>68</v>
      </c>
      <c r="I516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516" s="7">
        <f>Sim_Output[[#This Row],[VALUE]]/SUMIFS(Sim_Output[VALUE],Sim_Output[SIM_ID],Sim_Output[[#This Row],[SIM_ID]],Sim_Output[WEEK],Sim_Output[[#This Row],[WEEK]],Sim_Output[OUTPUT],"PRICE_0")-1</f>
        <v>-0.30612244897959184</v>
      </c>
      <c r="K516" s="4">
        <f ca="1">IF(Sim_Output[[#This Row],[OUTPUT]]="PRICE_0",0,_xlfn.RANK.EQ(Sim_Output[[#This Row],[WTD_RET]],OFFSET(Sim_Output[[#This Row],[WTD_RET]],-Sim_Output[[#This Row],[OBS]]+1,0,12)))</f>
        <v>5</v>
      </c>
      <c r="L516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0.43669873574607093</v>
      </c>
      <c r="M516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0.65217391304347827</v>
      </c>
      <c r="N516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-4.2253521126760618E-2</v>
      </c>
    </row>
    <row r="517" spans="2:14" x14ac:dyDescent="0.25">
      <c r="B517">
        <v>4</v>
      </c>
      <c r="C517">
        <v>10</v>
      </c>
      <c r="D517">
        <f>VALUE(RIGHT(Sim_Output[[#This Row],[OUTPUT]],LEN(Sim_Output[[#This Row],[OUTPUT]])-6))</f>
        <v>6</v>
      </c>
      <c r="E517">
        <v>2</v>
      </c>
      <c r="F517" t="str">
        <f>Sim_Output[[#This Row],[SIM_ID]]&amp;" - "&amp;Sim_Output[[#This Row],[WEEK]]&amp;" - "&amp;Sim_Output[[#This Row],[REGIME]]</f>
        <v>4 - 10 - 2</v>
      </c>
      <c r="G517" t="s">
        <v>50</v>
      </c>
      <c r="H517">
        <v>64</v>
      </c>
      <c r="I517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517" s="7">
        <f>Sim_Output[[#This Row],[VALUE]]/SUMIFS(Sim_Output[VALUE],Sim_Output[SIM_ID],Sim_Output[[#This Row],[SIM_ID]],Sim_Output[WEEK],Sim_Output[[#This Row],[WEEK]],Sim_Output[OUTPUT],"PRICE_0")-1</f>
        <v>-0.34693877551020413</v>
      </c>
      <c r="K517" s="4">
        <f ca="1">IF(Sim_Output[[#This Row],[OUTPUT]]="PRICE_0",0,_xlfn.RANK.EQ(Sim_Output[[#This Row],[WTD_RET]],OFFSET(Sim_Output[[#This Row],[WTD_RET]],-Sim_Output[[#This Row],[OBS]]+1,0,12)))</f>
        <v>6</v>
      </c>
      <c r="L517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0.1679610522100273</v>
      </c>
      <c r="M517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0.56521739130434778</v>
      </c>
      <c r="N517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-5.8823529411764719E-2</v>
      </c>
    </row>
    <row r="518" spans="2:14" x14ac:dyDescent="0.25">
      <c r="B518">
        <v>4</v>
      </c>
      <c r="C518">
        <v>10</v>
      </c>
      <c r="D518">
        <f>VALUE(RIGHT(Sim_Output[[#This Row],[OUTPUT]],LEN(Sim_Output[[#This Row],[OUTPUT]])-6))</f>
        <v>7</v>
      </c>
      <c r="E518">
        <v>2</v>
      </c>
      <c r="F518" t="str">
        <f>Sim_Output[[#This Row],[SIM_ID]]&amp;" - "&amp;Sim_Output[[#This Row],[WEEK]]&amp;" - "&amp;Sim_Output[[#This Row],[REGIME]]</f>
        <v>4 - 10 - 2</v>
      </c>
      <c r="G518" t="s">
        <v>51</v>
      </c>
      <c r="H518">
        <v>60</v>
      </c>
      <c r="I518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518" s="7">
        <f>Sim_Output[[#This Row],[VALUE]]/SUMIFS(Sim_Output[VALUE],Sim_Output[SIM_ID],Sim_Output[[#This Row],[SIM_ID]],Sim_Output[WEEK],Sim_Output[[#This Row],[WEEK]],Sim_Output[OUTPUT],"PRICE_0")-1</f>
        <v>-0.38775510204081631</v>
      </c>
      <c r="K518" s="4">
        <f ca="1">IF(Sim_Output[[#This Row],[OUTPUT]]="PRICE_0",0,_xlfn.RANK.EQ(Sim_Output[[#This Row],[WTD_RET]],OFFSET(Sim_Output[[#This Row],[WTD_RET]],-Sim_Output[[#This Row],[OBS]]+1,0,12)))</f>
        <v>7</v>
      </c>
      <c r="L518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-0.10077663132601564</v>
      </c>
      <c r="M518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0.47826086956521746</v>
      </c>
      <c r="N518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-6.25E-2</v>
      </c>
    </row>
    <row r="519" spans="2:14" x14ac:dyDescent="0.25">
      <c r="B519">
        <v>4</v>
      </c>
      <c r="C519">
        <v>10</v>
      </c>
      <c r="D519">
        <f>VALUE(RIGHT(Sim_Output[[#This Row],[OUTPUT]],LEN(Sim_Output[[#This Row],[OUTPUT]])-6))</f>
        <v>8</v>
      </c>
      <c r="E519">
        <v>2</v>
      </c>
      <c r="F519" t="str">
        <f>Sim_Output[[#This Row],[SIM_ID]]&amp;" - "&amp;Sim_Output[[#This Row],[WEEK]]&amp;" - "&amp;Sim_Output[[#This Row],[REGIME]]</f>
        <v>4 - 10 - 2</v>
      </c>
      <c r="G519" t="s">
        <v>52</v>
      </c>
      <c r="H519">
        <v>55</v>
      </c>
      <c r="I519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519" s="7">
        <f>Sim_Output[[#This Row],[VALUE]]/SUMIFS(Sim_Output[VALUE],Sim_Output[SIM_ID],Sim_Output[[#This Row],[SIM_ID]],Sim_Output[WEEK],Sim_Output[[#This Row],[WEEK]],Sim_Output[OUTPUT],"PRICE_0")-1</f>
        <v>-0.43877551020408168</v>
      </c>
      <c r="K519" s="4">
        <f ca="1">IF(Sim_Output[[#This Row],[OUTPUT]]="PRICE_0",0,_xlfn.RANK.EQ(Sim_Output[[#This Row],[WTD_RET]],OFFSET(Sim_Output[[#This Row],[WTD_RET]],-Sim_Output[[#This Row],[OBS]]+1,0,12)))</f>
        <v>8</v>
      </c>
      <c r="L519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-0.43669873574607021</v>
      </c>
      <c r="M519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0.36956521739130432</v>
      </c>
      <c r="N519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-8.333333333333337E-2</v>
      </c>
    </row>
    <row r="520" spans="2:14" x14ac:dyDescent="0.25">
      <c r="B520">
        <v>4</v>
      </c>
      <c r="C520">
        <v>10</v>
      </c>
      <c r="D520">
        <f>VALUE(RIGHT(Sim_Output[[#This Row],[OUTPUT]],LEN(Sim_Output[[#This Row],[OUTPUT]])-6))</f>
        <v>9</v>
      </c>
      <c r="E520">
        <v>2</v>
      </c>
      <c r="F520" t="str">
        <f>Sim_Output[[#This Row],[SIM_ID]]&amp;" - "&amp;Sim_Output[[#This Row],[WEEK]]&amp;" - "&amp;Sim_Output[[#This Row],[REGIME]]</f>
        <v>4 - 10 - 2</v>
      </c>
      <c r="G520" t="s">
        <v>53</v>
      </c>
      <c r="H520">
        <v>52</v>
      </c>
      <c r="I520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520" s="7">
        <f>Sim_Output[[#This Row],[VALUE]]/SUMIFS(Sim_Output[VALUE],Sim_Output[SIM_ID],Sim_Output[[#This Row],[SIM_ID]],Sim_Output[WEEK],Sim_Output[[#This Row],[WEEK]],Sim_Output[OUTPUT],"PRICE_0")-1</f>
        <v>-0.46938775510204078</v>
      </c>
      <c r="K520" s="4">
        <f ca="1">IF(Sim_Output[[#This Row],[OUTPUT]]="PRICE_0",0,_xlfn.RANK.EQ(Sim_Output[[#This Row],[WTD_RET]],OFFSET(Sim_Output[[#This Row],[WTD_RET]],-Sim_Output[[#This Row],[OBS]]+1,0,12)))</f>
        <v>9</v>
      </c>
      <c r="L520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-0.6382519983981022</v>
      </c>
      <c r="M520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0.30434782608695665</v>
      </c>
      <c r="N520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-5.4545454545454564E-2</v>
      </c>
    </row>
    <row r="521" spans="2:14" x14ac:dyDescent="0.25">
      <c r="B521">
        <v>4</v>
      </c>
      <c r="C521">
        <v>10</v>
      </c>
      <c r="D521">
        <f>VALUE(RIGHT(Sim_Output[[#This Row],[OUTPUT]],LEN(Sim_Output[[#This Row],[OUTPUT]])-6))</f>
        <v>10</v>
      </c>
      <c r="E521">
        <v>2</v>
      </c>
      <c r="F521" t="str">
        <f>Sim_Output[[#This Row],[SIM_ID]]&amp;" - "&amp;Sim_Output[[#This Row],[WEEK]]&amp;" - "&amp;Sim_Output[[#This Row],[REGIME]]</f>
        <v>4 - 10 - 2</v>
      </c>
      <c r="G521" t="s">
        <v>54</v>
      </c>
      <c r="H521">
        <v>47</v>
      </c>
      <c r="I521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521" s="7">
        <f>Sim_Output[[#This Row],[VALUE]]/SUMIFS(Sim_Output[VALUE],Sim_Output[SIM_ID],Sim_Output[[#This Row],[SIM_ID]],Sim_Output[WEEK],Sim_Output[[#This Row],[WEEK]],Sim_Output[OUTPUT],"PRICE_0")-1</f>
        <v>-0.52040816326530615</v>
      </c>
      <c r="K521" s="4">
        <f ca="1">IF(Sim_Output[[#This Row],[OUTPUT]]="PRICE_0",0,_xlfn.RANK.EQ(Sim_Output[[#This Row],[WTD_RET]],OFFSET(Sim_Output[[#This Row],[WTD_RET]],-Sim_Output[[#This Row],[OBS]]+1,0,12)))</f>
        <v>10</v>
      </c>
      <c r="L521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-0.97417410281815686</v>
      </c>
      <c r="M521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0.19565217391304349</v>
      </c>
      <c r="N521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-9.6153846153846145E-2</v>
      </c>
    </row>
    <row r="522" spans="2:14" x14ac:dyDescent="0.25">
      <c r="B522">
        <v>4</v>
      </c>
      <c r="C522">
        <v>10</v>
      </c>
      <c r="D522">
        <f>VALUE(RIGHT(Sim_Output[[#This Row],[OUTPUT]],LEN(Sim_Output[[#This Row],[OUTPUT]])-6))</f>
        <v>11</v>
      </c>
      <c r="E522">
        <v>2</v>
      </c>
      <c r="F522" t="str">
        <f>Sim_Output[[#This Row],[SIM_ID]]&amp;" - "&amp;Sim_Output[[#This Row],[WEEK]]&amp;" - "&amp;Sim_Output[[#This Row],[REGIME]]</f>
        <v>4 - 10 - 2</v>
      </c>
      <c r="G522" t="s">
        <v>55</v>
      </c>
      <c r="H522">
        <v>43</v>
      </c>
      <c r="I522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522" s="7">
        <f>Sim_Output[[#This Row],[VALUE]]/SUMIFS(Sim_Output[VALUE],Sim_Output[SIM_ID],Sim_Output[[#This Row],[SIM_ID]],Sim_Output[WEEK],Sim_Output[[#This Row],[WEEK]],Sim_Output[OUTPUT],"PRICE_0")-1</f>
        <v>-0.56122448979591844</v>
      </c>
      <c r="K522" s="4">
        <f ca="1">IF(Sim_Output[[#This Row],[OUTPUT]]="PRICE_0",0,_xlfn.RANK.EQ(Sim_Output[[#This Row],[WTD_RET]],OFFSET(Sim_Output[[#This Row],[WTD_RET]],-Sim_Output[[#This Row],[OBS]]+1,0,12)))</f>
        <v>11</v>
      </c>
      <c r="L522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-1.2429117863542005</v>
      </c>
      <c r="M522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0.10869565217391293</v>
      </c>
      <c r="N522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-8.5106382978723416E-2</v>
      </c>
    </row>
    <row r="523" spans="2:14" x14ac:dyDescent="0.25">
      <c r="B523">
        <v>4</v>
      </c>
      <c r="C523">
        <v>10</v>
      </c>
      <c r="D523">
        <f>VALUE(RIGHT(Sim_Output[[#This Row],[OUTPUT]],LEN(Sim_Output[[#This Row],[OUTPUT]])-6))</f>
        <v>12</v>
      </c>
      <c r="E523">
        <v>2</v>
      </c>
      <c r="F523" t="str">
        <f>Sim_Output[[#This Row],[SIM_ID]]&amp;" - "&amp;Sim_Output[[#This Row],[WEEK]]&amp;" - "&amp;Sim_Output[[#This Row],[REGIME]]</f>
        <v>4 - 10 - 2</v>
      </c>
      <c r="G523" t="s">
        <v>56</v>
      </c>
      <c r="H523">
        <v>38</v>
      </c>
      <c r="I523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523" s="7">
        <f>Sim_Output[[#This Row],[VALUE]]/SUMIFS(Sim_Output[VALUE],Sim_Output[SIM_ID],Sim_Output[[#This Row],[SIM_ID]],Sim_Output[WEEK],Sim_Output[[#This Row],[WEEK]],Sim_Output[OUTPUT],"PRICE_0")-1</f>
        <v>-0.61224489795918369</v>
      </c>
      <c r="K523" s="4">
        <f ca="1">IF(Sim_Output[[#This Row],[OUTPUT]]="PRICE_0",0,_xlfn.RANK.EQ(Sim_Output[[#This Row],[WTD_RET]],OFFSET(Sim_Output[[#This Row],[WTD_RET]],-Sim_Output[[#This Row],[OBS]]+1,0,12)))</f>
        <v>12</v>
      </c>
      <c r="L523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-1.5788338907742543</v>
      </c>
      <c r="M523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</v>
      </c>
      <c r="N523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-0.11627906976744184</v>
      </c>
    </row>
    <row r="524" spans="2:14" x14ac:dyDescent="0.25">
      <c r="B524">
        <v>5</v>
      </c>
      <c r="C524">
        <v>1</v>
      </c>
      <c r="D524">
        <f>VALUE(RIGHT(Sim_Output[[#This Row],[OUTPUT]],LEN(Sim_Output[[#This Row],[OUTPUT]])-6))</f>
        <v>0</v>
      </c>
      <c r="E524">
        <v>3</v>
      </c>
      <c r="F524" t="str">
        <f>Sim_Output[[#This Row],[SIM_ID]]&amp;" - "&amp;Sim_Output[[#This Row],[WEEK]]&amp;" - "&amp;Sim_Output[[#This Row],[REGIME]]</f>
        <v>5 - 1 - 3</v>
      </c>
      <c r="G524" t="s">
        <v>44</v>
      </c>
      <c r="H524">
        <v>105</v>
      </c>
      <c r="I524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524" s="7">
        <f>Sim_Output[[#This Row],[VALUE]]/SUMIFS(Sim_Output[VALUE],Sim_Output[SIM_ID],Sim_Output[[#This Row],[SIM_ID]],Sim_Output[WEEK],Sim_Output[[#This Row],[WEEK]],Sim_Output[OUTPUT],"PRICE_0")-1</f>
        <v>0</v>
      </c>
      <c r="K524" s="4">
        <f ca="1">IF(Sim_Output[[#This Row],[OUTPUT]]="PRICE_0",0,_xlfn.RANK.EQ(Sim_Output[[#This Row],[WTD_RET]],OFFSET(Sim_Output[[#This Row],[WTD_RET]],-Sim_Output[[#This Row],[OBS]]+1,0,12)))</f>
        <v>0</v>
      </c>
      <c r="L524" s="3" t="str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/>
      </c>
      <c r="M524" s="3" t="str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/>
      </c>
      <c r="N524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</v>
      </c>
    </row>
    <row r="525" spans="2:14" x14ac:dyDescent="0.25">
      <c r="B525">
        <v>5</v>
      </c>
      <c r="C525">
        <v>1</v>
      </c>
      <c r="D525">
        <f>VALUE(RIGHT(Sim_Output[[#This Row],[OUTPUT]],LEN(Sim_Output[[#This Row],[OUTPUT]])-6))</f>
        <v>1</v>
      </c>
      <c r="E525">
        <v>3</v>
      </c>
      <c r="F525" t="str">
        <f>Sim_Output[[#This Row],[SIM_ID]]&amp;" - "&amp;Sim_Output[[#This Row],[WEEK]]&amp;" - "&amp;Sim_Output[[#This Row],[REGIME]]</f>
        <v>5 - 1 - 3</v>
      </c>
      <c r="G525" t="s">
        <v>45</v>
      </c>
      <c r="H525">
        <v>56</v>
      </c>
      <c r="I525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525" s="7">
        <f>Sim_Output[[#This Row],[VALUE]]/SUMIFS(Sim_Output[VALUE],Sim_Output[SIM_ID],Sim_Output[[#This Row],[SIM_ID]],Sim_Output[WEEK],Sim_Output[[#This Row],[WEEK]],Sim_Output[OUTPUT],"PRICE_0")-1</f>
        <v>-0.46666666666666667</v>
      </c>
      <c r="K525" s="4">
        <f ca="1">IF(Sim_Output[[#This Row],[OUTPUT]]="PRICE_0",0,_xlfn.RANK.EQ(Sim_Output[[#This Row],[WTD_RET]],OFFSET(Sim_Output[[#This Row],[WTD_RET]],-Sim_Output[[#This Row],[OBS]]+1,0,12)))</f>
        <v>4</v>
      </c>
      <c r="L525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-0.30950629991876982</v>
      </c>
      <c r="M525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0.15652173913043474</v>
      </c>
      <c r="N525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-0.46666666666666667</v>
      </c>
    </row>
    <row r="526" spans="2:14" x14ac:dyDescent="0.25">
      <c r="B526">
        <v>5</v>
      </c>
      <c r="C526">
        <v>1</v>
      </c>
      <c r="D526">
        <f>VALUE(RIGHT(Sim_Output[[#This Row],[OUTPUT]],LEN(Sim_Output[[#This Row],[OUTPUT]])-6))</f>
        <v>2</v>
      </c>
      <c r="E526">
        <v>3</v>
      </c>
      <c r="F526" t="str">
        <f>Sim_Output[[#This Row],[SIM_ID]]&amp;" - "&amp;Sim_Output[[#This Row],[WEEK]]&amp;" - "&amp;Sim_Output[[#This Row],[REGIME]]</f>
        <v>5 - 1 - 3</v>
      </c>
      <c r="G526" t="s">
        <v>46</v>
      </c>
      <c r="H526">
        <v>52</v>
      </c>
      <c r="I526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526" s="7">
        <f>Sim_Output[[#This Row],[VALUE]]/SUMIFS(Sim_Output[VALUE],Sim_Output[SIM_ID],Sim_Output[[#This Row],[SIM_ID]],Sim_Output[WEEK],Sim_Output[[#This Row],[WEEK]],Sim_Output[OUTPUT],"PRICE_0")-1</f>
        <v>-0.50476190476190474</v>
      </c>
      <c r="K526" s="4">
        <f ca="1">IF(Sim_Output[[#This Row],[OUTPUT]]="PRICE_0",0,_xlfn.RANK.EQ(Sim_Output[[#This Row],[WTD_RET]],OFFSET(Sim_Output[[#This Row],[WTD_RET]],-Sim_Output[[#This Row],[OBS]]+1,0,12)))</f>
        <v>7</v>
      </c>
      <c r="L526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-0.41794646339395924</v>
      </c>
      <c r="M526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0.1217391304347826</v>
      </c>
      <c r="N526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-7.1428571428571397E-2</v>
      </c>
    </row>
    <row r="527" spans="2:14" x14ac:dyDescent="0.25">
      <c r="B527">
        <v>5</v>
      </c>
      <c r="C527">
        <v>1</v>
      </c>
      <c r="D527">
        <f>VALUE(RIGHT(Sim_Output[[#This Row],[OUTPUT]],LEN(Sim_Output[[#This Row],[OUTPUT]])-6))</f>
        <v>3</v>
      </c>
      <c r="E527">
        <v>3</v>
      </c>
      <c r="F527" t="str">
        <f>Sim_Output[[#This Row],[SIM_ID]]&amp;" - "&amp;Sim_Output[[#This Row],[WEEK]]&amp;" - "&amp;Sim_Output[[#This Row],[REGIME]]</f>
        <v>5 - 1 - 3</v>
      </c>
      <c r="G527" t="s">
        <v>47</v>
      </c>
      <c r="H527">
        <v>101</v>
      </c>
      <c r="I527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527" s="7">
        <f>Sim_Output[[#This Row],[VALUE]]/SUMIFS(Sim_Output[VALUE],Sim_Output[SIM_ID],Sim_Output[[#This Row],[SIM_ID]],Sim_Output[WEEK],Sim_Output[[#This Row],[WEEK]],Sim_Output[OUTPUT],"PRICE_0")-1</f>
        <v>-3.8095238095238071E-2</v>
      </c>
      <c r="K527" s="4">
        <f ca="1">IF(Sim_Output[[#This Row],[OUTPUT]]="PRICE_0",0,_xlfn.RANK.EQ(Sim_Output[[#This Row],[WTD_RET]],OFFSET(Sim_Output[[#This Row],[WTD_RET]],-Sim_Output[[#This Row],[OBS]]+1,0,12)))</f>
        <v>3</v>
      </c>
      <c r="L527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0.91044553917711202</v>
      </c>
      <c r="M527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0.5478260869565218</v>
      </c>
      <c r="N527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0.94230769230769229</v>
      </c>
    </row>
    <row r="528" spans="2:14" x14ac:dyDescent="0.25">
      <c r="B528">
        <v>5</v>
      </c>
      <c r="C528">
        <v>1</v>
      </c>
      <c r="D528">
        <f>VALUE(RIGHT(Sim_Output[[#This Row],[OUTPUT]],LEN(Sim_Output[[#This Row],[OUTPUT]])-6))</f>
        <v>4</v>
      </c>
      <c r="E528">
        <v>3</v>
      </c>
      <c r="F528" t="str">
        <f>Sim_Output[[#This Row],[SIM_ID]]&amp;" - "&amp;Sim_Output[[#This Row],[WEEK]]&amp;" - "&amp;Sim_Output[[#This Row],[REGIME]]</f>
        <v>5 - 1 - 3</v>
      </c>
      <c r="G528" t="s">
        <v>48</v>
      </c>
      <c r="H528">
        <v>121</v>
      </c>
      <c r="I528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528" s="7">
        <f>Sim_Output[[#This Row],[VALUE]]/SUMIFS(Sim_Output[VALUE],Sim_Output[SIM_ID],Sim_Output[[#This Row],[SIM_ID]],Sim_Output[WEEK],Sim_Output[[#This Row],[WEEK]],Sim_Output[OUTPUT],"PRICE_0")-1</f>
        <v>0.15238095238095228</v>
      </c>
      <c r="K528" s="4">
        <f ca="1">IF(Sim_Output[[#This Row],[OUTPUT]]="PRICE_0",0,_xlfn.RANK.EQ(Sim_Output[[#This Row],[WTD_RET]],OFFSET(Sim_Output[[#This Row],[WTD_RET]],-Sim_Output[[#This Row],[OBS]]+1,0,12)))</f>
        <v>2</v>
      </c>
      <c r="L528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1.452646356553059</v>
      </c>
      <c r="M528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0.72173913043478255</v>
      </c>
      <c r="N528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0.19801980198019797</v>
      </c>
    </row>
    <row r="529" spans="2:14" x14ac:dyDescent="0.25">
      <c r="B529">
        <v>5</v>
      </c>
      <c r="C529">
        <v>1</v>
      </c>
      <c r="D529">
        <f>VALUE(RIGHT(Sim_Output[[#This Row],[OUTPUT]],LEN(Sim_Output[[#This Row],[OUTPUT]])-6))</f>
        <v>5</v>
      </c>
      <c r="E529">
        <v>3</v>
      </c>
      <c r="F529" t="str">
        <f>Sim_Output[[#This Row],[SIM_ID]]&amp;" - "&amp;Sim_Output[[#This Row],[WEEK]]&amp;" - "&amp;Sim_Output[[#This Row],[REGIME]]</f>
        <v>5 - 1 - 3</v>
      </c>
      <c r="G529" t="s">
        <v>49</v>
      </c>
      <c r="H529">
        <v>45</v>
      </c>
      <c r="I529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529" s="7">
        <f>Sim_Output[[#This Row],[VALUE]]/SUMIFS(Sim_Output[VALUE],Sim_Output[SIM_ID],Sim_Output[[#This Row],[SIM_ID]],Sim_Output[WEEK],Sim_Output[[#This Row],[WEEK]],Sim_Output[OUTPUT],"PRICE_0")-1</f>
        <v>-0.5714285714285714</v>
      </c>
      <c r="K529" s="4">
        <f ca="1">IF(Sim_Output[[#This Row],[OUTPUT]]="PRICE_0",0,_xlfn.RANK.EQ(Sim_Output[[#This Row],[WTD_RET]],OFFSET(Sim_Output[[#This Row],[WTD_RET]],-Sim_Output[[#This Row],[OBS]]+1,0,12)))</f>
        <v>9</v>
      </c>
      <c r="L529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-0.60771674947554077</v>
      </c>
      <c r="M529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6.08695652173913E-2</v>
      </c>
      <c r="N529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-0.62809917355371903</v>
      </c>
    </row>
    <row r="530" spans="2:14" x14ac:dyDescent="0.25">
      <c r="B530">
        <v>5</v>
      </c>
      <c r="C530">
        <v>1</v>
      </c>
      <c r="D530">
        <f>VALUE(RIGHT(Sim_Output[[#This Row],[OUTPUT]],LEN(Sim_Output[[#This Row],[OUTPUT]])-6))</f>
        <v>6</v>
      </c>
      <c r="E530">
        <v>3</v>
      </c>
      <c r="F530" t="str">
        <f>Sim_Output[[#This Row],[SIM_ID]]&amp;" - "&amp;Sim_Output[[#This Row],[WEEK]]&amp;" - "&amp;Sim_Output[[#This Row],[REGIME]]</f>
        <v>5 - 1 - 3</v>
      </c>
      <c r="G530" t="s">
        <v>50</v>
      </c>
      <c r="H530">
        <v>153</v>
      </c>
      <c r="I530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530" s="7">
        <f>Sim_Output[[#This Row],[VALUE]]/SUMIFS(Sim_Output[VALUE],Sim_Output[SIM_ID],Sim_Output[[#This Row],[SIM_ID]],Sim_Output[WEEK],Sim_Output[[#This Row],[WEEK]],Sim_Output[OUTPUT],"PRICE_0")-1</f>
        <v>0.45714285714285707</v>
      </c>
      <c r="K530" s="4">
        <f ca="1">IF(Sim_Output[[#This Row],[OUTPUT]]="PRICE_0",0,_xlfn.RANK.EQ(Sim_Output[[#This Row],[WTD_RET]],OFFSET(Sim_Output[[#This Row],[WTD_RET]],-Sim_Output[[#This Row],[OBS]]+1,0,12)))</f>
        <v>1</v>
      </c>
      <c r="L530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2.320167664354575</v>
      </c>
      <c r="M530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1</v>
      </c>
      <c r="N530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2.4</v>
      </c>
    </row>
    <row r="531" spans="2:14" x14ac:dyDescent="0.25">
      <c r="B531">
        <v>5</v>
      </c>
      <c r="C531">
        <v>1</v>
      </c>
      <c r="D531">
        <f>VALUE(RIGHT(Sim_Output[[#This Row],[OUTPUT]],LEN(Sim_Output[[#This Row],[OUTPUT]])-6))</f>
        <v>7</v>
      </c>
      <c r="E531">
        <v>3</v>
      </c>
      <c r="F531" t="str">
        <f>Sim_Output[[#This Row],[SIM_ID]]&amp;" - "&amp;Sim_Output[[#This Row],[WEEK]]&amp;" - "&amp;Sim_Output[[#This Row],[REGIME]]</f>
        <v>5 - 1 - 3</v>
      </c>
      <c r="G531" t="s">
        <v>51</v>
      </c>
      <c r="H531">
        <v>43</v>
      </c>
      <c r="I531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531" s="7">
        <f>Sim_Output[[#This Row],[VALUE]]/SUMIFS(Sim_Output[VALUE],Sim_Output[SIM_ID],Sim_Output[[#This Row],[SIM_ID]],Sim_Output[WEEK],Sim_Output[[#This Row],[WEEK]],Sim_Output[OUTPUT],"PRICE_0")-1</f>
        <v>-0.59047619047619049</v>
      </c>
      <c r="K531" s="4">
        <f ca="1">IF(Sim_Output[[#This Row],[OUTPUT]]="PRICE_0",0,_xlfn.RANK.EQ(Sim_Output[[#This Row],[WTD_RET]],OFFSET(Sim_Output[[#This Row],[WTD_RET]],-Sim_Output[[#This Row],[OBS]]+1,0,12)))</f>
        <v>10</v>
      </c>
      <c r="L531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-0.66193683121313573</v>
      </c>
      <c r="M531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4.3478260869565168E-2</v>
      </c>
      <c r="N531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-0.71895424836601307</v>
      </c>
    </row>
    <row r="532" spans="2:14" x14ac:dyDescent="0.25">
      <c r="B532">
        <v>5</v>
      </c>
      <c r="C532">
        <v>1</v>
      </c>
      <c r="D532">
        <f>VALUE(RIGHT(Sim_Output[[#This Row],[OUTPUT]],LEN(Sim_Output[[#This Row],[OUTPUT]])-6))</f>
        <v>8</v>
      </c>
      <c r="E532">
        <v>3</v>
      </c>
      <c r="F532" t="str">
        <f>Sim_Output[[#This Row],[SIM_ID]]&amp;" - "&amp;Sim_Output[[#This Row],[WEEK]]&amp;" - "&amp;Sim_Output[[#This Row],[REGIME]]</f>
        <v>5 - 1 - 3</v>
      </c>
      <c r="G532" t="s">
        <v>52</v>
      </c>
      <c r="H532">
        <v>56</v>
      </c>
      <c r="I532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532" s="7">
        <f>Sim_Output[[#This Row],[VALUE]]/SUMIFS(Sim_Output[VALUE],Sim_Output[SIM_ID],Sim_Output[[#This Row],[SIM_ID]],Sim_Output[WEEK],Sim_Output[[#This Row],[WEEK]],Sim_Output[OUTPUT],"PRICE_0")-1</f>
        <v>-0.46666666666666667</v>
      </c>
      <c r="K532" s="4">
        <f ca="1">IF(Sim_Output[[#This Row],[OUTPUT]]="PRICE_0",0,_xlfn.RANK.EQ(Sim_Output[[#This Row],[WTD_RET]],OFFSET(Sim_Output[[#This Row],[WTD_RET]],-Sim_Output[[#This Row],[OBS]]+1,0,12)))</f>
        <v>4</v>
      </c>
      <c r="L532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-0.30950629991876982</v>
      </c>
      <c r="M532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0.15652173913043474</v>
      </c>
      <c r="N532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0.30232558139534893</v>
      </c>
    </row>
    <row r="533" spans="2:14" x14ac:dyDescent="0.25">
      <c r="B533">
        <v>5</v>
      </c>
      <c r="C533">
        <v>1</v>
      </c>
      <c r="D533">
        <f>VALUE(RIGHT(Sim_Output[[#This Row],[OUTPUT]],LEN(Sim_Output[[#This Row],[OUTPUT]])-6))</f>
        <v>9</v>
      </c>
      <c r="E533">
        <v>3</v>
      </c>
      <c r="F533" t="str">
        <f>Sim_Output[[#This Row],[SIM_ID]]&amp;" - "&amp;Sim_Output[[#This Row],[WEEK]]&amp;" - "&amp;Sim_Output[[#This Row],[REGIME]]</f>
        <v>5 - 1 - 3</v>
      </c>
      <c r="G533" t="s">
        <v>53</v>
      </c>
      <c r="H533">
        <v>53</v>
      </c>
      <c r="I533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533" s="7">
        <f>Sim_Output[[#This Row],[VALUE]]/SUMIFS(Sim_Output[VALUE],Sim_Output[SIM_ID],Sim_Output[[#This Row],[SIM_ID]],Sim_Output[WEEK],Sim_Output[[#This Row],[WEEK]],Sim_Output[OUTPUT],"PRICE_0")-1</f>
        <v>-0.49523809523809526</v>
      </c>
      <c r="K533" s="4">
        <f ca="1">IF(Sim_Output[[#This Row],[OUTPUT]]="PRICE_0",0,_xlfn.RANK.EQ(Sim_Output[[#This Row],[WTD_RET]],OFFSET(Sim_Output[[#This Row],[WTD_RET]],-Sim_Output[[#This Row],[OBS]]+1,0,12)))</f>
        <v>6</v>
      </c>
      <c r="L533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-0.39083642252516199</v>
      </c>
      <c r="M533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0.13043478260869562</v>
      </c>
      <c r="N533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-5.3571428571428603E-2</v>
      </c>
    </row>
    <row r="534" spans="2:14" x14ac:dyDescent="0.25">
      <c r="B534">
        <v>5</v>
      </c>
      <c r="C534">
        <v>1</v>
      </c>
      <c r="D534">
        <f>VALUE(RIGHT(Sim_Output[[#This Row],[OUTPUT]],LEN(Sim_Output[[#This Row],[OUTPUT]])-6))</f>
        <v>10</v>
      </c>
      <c r="E534">
        <v>3</v>
      </c>
      <c r="F534" t="str">
        <f>Sim_Output[[#This Row],[SIM_ID]]&amp;" - "&amp;Sim_Output[[#This Row],[WEEK]]&amp;" - "&amp;Sim_Output[[#This Row],[REGIME]]</f>
        <v>5 - 1 - 3</v>
      </c>
      <c r="G534" t="s">
        <v>54</v>
      </c>
      <c r="H534">
        <v>48</v>
      </c>
      <c r="I534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534" s="7">
        <f>Sim_Output[[#This Row],[VALUE]]/SUMIFS(Sim_Output[VALUE],Sim_Output[SIM_ID],Sim_Output[[#This Row],[SIM_ID]],Sim_Output[WEEK],Sim_Output[[#This Row],[WEEK]],Sim_Output[OUTPUT],"PRICE_0")-1</f>
        <v>-0.54285714285714293</v>
      </c>
      <c r="K534" s="4">
        <f ca="1">IF(Sim_Output[[#This Row],[OUTPUT]]="PRICE_0",0,_xlfn.RANK.EQ(Sim_Output[[#This Row],[WTD_RET]],OFFSET(Sim_Output[[#This Row],[WTD_RET]],-Sim_Output[[#This Row],[OBS]]+1,0,12)))</f>
        <v>8</v>
      </c>
      <c r="L534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-0.52638662686914894</v>
      </c>
      <c r="M534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8.6956521739130335E-2</v>
      </c>
      <c r="N534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-9.4339622641509413E-2</v>
      </c>
    </row>
    <row r="535" spans="2:14" x14ac:dyDescent="0.25">
      <c r="B535">
        <v>5</v>
      </c>
      <c r="C535">
        <v>1</v>
      </c>
      <c r="D535">
        <f>VALUE(RIGHT(Sim_Output[[#This Row],[OUTPUT]],LEN(Sim_Output[[#This Row],[OUTPUT]])-6))</f>
        <v>11</v>
      </c>
      <c r="E535">
        <v>3</v>
      </c>
      <c r="F535" t="str">
        <f>Sim_Output[[#This Row],[SIM_ID]]&amp;" - "&amp;Sim_Output[[#This Row],[WEEK]]&amp;" - "&amp;Sim_Output[[#This Row],[REGIME]]</f>
        <v>5 - 1 - 3</v>
      </c>
      <c r="G535" t="s">
        <v>55</v>
      </c>
      <c r="H535">
        <v>43</v>
      </c>
      <c r="I535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535" s="7">
        <f>Sim_Output[[#This Row],[VALUE]]/SUMIFS(Sim_Output[VALUE],Sim_Output[SIM_ID],Sim_Output[[#This Row],[SIM_ID]],Sim_Output[WEEK],Sim_Output[[#This Row],[WEEK]],Sim_Output[OUTPUT],"PRICE_0")-1</f>
        <v>-0.59047619047619049</v>
      </c>
      <c r="K535" s="4">
        <f ca="1">IF(Sim_Output[[#This Row],[OUTPUT]]="PRICE_0",0,_xlfn.RANK.EQ(Sim_Output[[#This Row],[WTD_RET]],OFFSET(Sim_Output[[#This Row],[WTD_RET]],-Sim_Output[[#This Row],[OBS]]+1,0,12)))</f>
        <v>10</v>
      </c>
      <c r="L535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-0.66193683121313573</v>
      </c>
      <c r="M535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4.3478260869565168E-2</v>
      </c>
      <c r="N535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-0.10416666666666663</v>
      </c>
    </row>
    <row r="536" spans="2:14" x14ac:dyDescent="0.25">
      <c r="B536">
        <v>5</v>
      </c>
      <c r="C536">
        <v>1</v>
      </c>
      <c r="D536">
        <f>VALUE(RIGHT(Sim_Output[[#This Row],[OUTPUT]],LEN(Sim_Output[[#This Row],[OUTPUT]])-6))</f>
        <v>12</v>
      </c>
      <c r="E536">
        <v>3</v>
      </c>
      <c r="F536" t="str">
        <f>Sim_Output[[#This Row],[SIM_ID]]&amp;" - "&amp;Sim_Output[[#This Row],[WEEK]]&amp;" - "&amp;Sim_Output[[#This Row],[REGIME]]</f>
        <v>5 - 1 - 3</v>
      </c>
      <c r="G536" t="s">
        <v>56</v>
      </c>
      <c r="H536">
        <v>38</v>
      </c>
      <c r="I536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536" s="7">
        <f>Sim_Output[[#This Row],[VALUE]]/SUMIFS(Sim_Output[VALUE],Sim_Output[SIM_ID],Sim_Output[[#This Row],[SIM_ID]],Sim_Output[WEEK],Sim_Output[[#This Row],[WEEK]],Sim_Output[OUTPUT],"PRICE_0")-1</f>
        <v>-0.63809523809523805</v>
      </c>
      <c r="K536" s="4">
        <f ca="1">IF(Sim_Output[[#This Row],[OUTPUT]]="PRICE_0",0,_xlfn.RANK.EQ(Sim_Output[[#This Row],[WTD_RET]],OFFSET(Sim_Output[[#This Row],[WTD_RET]],-Sim_Output[[#This Row],[OBS]]+1,0,12)))</f>
        <v>12</v>
      </c>
      <c r="L536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-0.79748703555712241</v>
      </c>
      <c r="M536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</v>
      </c>
      <c r="N536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-0.11627906976744184</v>
      </c>
    </row>
    <row r="537" spans="2:14" x14ac:dyDescent="0.25">
      <c r="B537">
        <v>5</v>
      </c>
      <c r="C537">
        <v>2</v>
      </c>
      <c r="D537">
        <f>VALUE(RIGHT(Sim_Output[[#This Row],[OUTPUT]],LEN(Sim_Output[[#This Row],[OUTPUT]])-6))</f>
        <v>0</v>
      </c>
      <c r="E537">
        <v>3</v>
      </c>
      <c r="F537" t="str">
        <f>Sim_Output[[#This Row],[SIM_ID]]&amp;" - "&amp;Sim_Output[[#This Row],[WEEK]]&amp;" - "&amp;Sim_Output[[#This Row],[REGIME]]</f>
        <v>5 - 2 - 3</v>
      </c>
      <c r="G537" t="s">
        <v>44</v>
      </c>
      <c r="H537">
        <v>94</v>
      </c>
      <c r="I537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537" s="7">
        <f>Sim_Output[[#This Row],[VALUE]]/SUMIFS(Sim_Output[VALUE],Sim_Output[SIM_ID],Sim_Output[[#This Row],[SIM_ID]],Sim_Output[WEEK],Sim_Output[[#This Row],[WEEK]],Sim_Output[OUTPUT],"PRICE_0")-1</f>
        <v>0</v>
      </c>
      <c r="K537" s="4">
        <f ca="1">IF(Sim_Output[[#This Row],[OUTPUT]]="PRICE_0",0,_xlfn.RANK.EQ(Sim_Output[[#This Row],[WTD_RET]],OFFSET(Sim_Output[[#This Row],[WTD_RET]],-Sim_Output[[#This Row],[OBS]]+1,0,12)))</f>
        <v>0</v>
      </c>
      <c r="L537" s="3" t="str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/>
      </c>
      <c r="M537" s="3" t="str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/>
      </c>
      <c r="N537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</v>
      </c>
    </row>
    <row r="538" spans="2:14" x14ac:dyDescent="0.25">
      <c r="B538">
        <v>5</v>
      </c>
      <c r="C538">
        <v>2</v>
      </c>
      <c r="D538">
        <f>VALUE(RIGHT(Sim_Output[[#This Row],[OUTPUT]],LEN(Sim_Output[[#This Row],[OUTPUT]])-6))</f>
        <v>1</v>
      </c>
      <c r="E538">
        <v>3</v>
      </c>
      <c r="F538" t="str">
        <f>Sim_Output[[#This Row],[SIM_ID]]&amp;" - "&amp;Sim_Output[[#This Row],[WEEK]]&amp;" - "&amp;Sim_Output[[#This Row],[REGIME]]</f>
        <v>5 - 2 - 3</v>
      </c>
      <c r="G538" t="s">
        <v>45</v>
      </c>
      <c r="H538">
        <v>38</v>
      </c>
      <c r="I538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538" s="7">
        <f>Sim_Output[[#This Row],[VALUE]]/SUMIFS(Sim_Output[VALUE],Sim_Output[SIM_ID],Sim_Output[[#This Row],[SIM_ID]],Sim_Output[WEEK],Sim_Output[[#This Row],[WEEK]],Sim_Output[OUTPUT],"PRICE_0")-1</f>
        <v>-0.5957446808510638</v>
      </c>
      <c r="K538" s="4">
        <f ca="1">IF(Sim_Output[[#This Row],[OUTPUT]]="PRICE_0",0,_xlfn.RANK.EQ(Sim_Output[[#This Row],[WTD_RET]],OFFSET(Sim_Output[[#This Row],[WTD_RET]],-Sim_Output[[#This Row],[OBS]]+1,0,12)))</f>
        <v>6</v>
      </c>
      <c r="L538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-0.45492128879966887</v>
      </c>
      <c r="M538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8.9743589743589799E-2</v>
      </c>
      <c r="N538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-0.5957446808510638</v>
      </c>
    </row>
    <row r="539" spans="2:14" x14ac:dyDescent="0.25">
      <c r="B539">
        <v>5</v>
      </c>
      <c r="C539">
        <v>2</v>
      </c>
      <c r="D539">
        <f>VALUE(RIGHT(Sim_Output[[#This Row],[OUTPUT]],LEN(Sim_Output[[#This Row],[OUTPUT]])-6))</f>
        <v>2</v>
      </c>
      <c r="E539">
        <v>3</v>
      </c>
      <c r="F539" t="str">
        <f>Sim_Output[[#This Row],[SIM_ID]]&amp;" - "&amp;Sim_Output[[#This Row],[WEEK]]&amp;" - "&amp;Sim_Output[[#This Row],[REGIME]]</f>
        <v>5 - 2 - 3</v>
      </c>
      <c r="G539" t="s">
        <v>46</v>
      </c>
      <c r="H539">
        <v>35</v>
      </c>
      <c r="I539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539" s="7">
        <f>Sim_Output[[#This Row],[VALUE]]/SUMIFS(Sim_Output[VALUE],Sim_Output[SIM_ID],Sim_Output[[#This Row],[SIM_ID]],Sim_Output[WEEK],Sim_Output[[#This Row],[WEEK]],Sim_Output[OUTPUT],"PRICE_0")-1</f>
        <v>-0.62765957446808507</v>
      </c>
      <c r="K539" s="4">
        <f ca="1">IF(Sim_Output[[#This Row],[OUTPUT]]="PRICE_0",0,_xlfn.RANK.EQ(Sim_Output[[#This Row],[WTD_RET]],OFFSET(Sim_Output[[#This Row],[WTD_RET]],-Sim_Output[[#This Row],[OBS]]+1,0,12)))</f>
        <v>8</v>
      </c>
      <c r="L539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-0.51766905277203701</v>
      </c>
      <c r="M539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7.0512820512820568E-2</v>
      </c>
      <c r="N539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-7.8947368421052655E-2</v>
      </c>
    </row>
    <row r="540" spans="2:14" x14ac:dyDescent="0.25">
      <c r="B540">
        <v>5</v>
      </c>
      <c r="C540">
        <v>2</v>
      </c>
      <c r="D540">
        <f>VALUE(RIGHT(Sim_Output[[#This Row],[OUTPUT]],LEN(Sim_Output[[#This Row],[OUTPUT]])-6))</f>
        <v>3</v>
      </c>
      <c r="E540">
        <v>3</v>
      </c>
      <c r="F540" t="str">
        <f>Sim_Output[[#This Row],[SIM_ID]]&amp;" - "&amp;Sim_Output[[#This Row],[WEEK]]&amp;" - "&amp;Sim_Output[[#This Row],[REGIME]]</f>
        <v>5 - 2 - 3</v>
      </c>
      <c r="G540" t="s">
        <v>47</v>
      </c>
      <c r="H540">
        <v>123</v>
      </c>
      <c r="I540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540" s="7">
        <f>Sim_Output[[#This Row],[VALUE]]/SUMIFS(Sim_Output[VALUE],Sim_Output[SIM_ID],Sim_Output[[#This Row],[SIM_ID]],Sim_Output[WEEK],Sim_Output[[#This Row],[WEEK]],Sim_Output[OUTPUT],"PRICE_0")-1</f>
        <v>0.3085106382978724</v>
      </c>
      <c r="K540" s="4">
        <f ca="1">IF(Sim_Output[[#This Row],[OUTPUT]]="PRICE_0",0,_xlfn.RANK.EQ(Sim_Output[[#This Row],[WTD_RET]],OFFSET(Sim_Output[[#This Row],[WTD_RET]],-Sim_Output[[#This Row],[OBS]]+1,0,12)))</f>
        <v>2</v>
      </c>
      <c r="L540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1.3229320237507611</v>
      </c>
      <c r="M540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0.63461538461538458</v>
      </c>
      <c r="N540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2.5142857142857142</v>
      </c>
    </row>
    <row r="541" spans="2:14" x14ac:dyDescent="0.25">
      <c r="B541">
        <v>5</v>
      </c>
      <c r="C541">
        <v>2</v>
      </c>
      <c r="D541">
        <f>VALUE(RIGHT(Sim_Output[[#This Row],[OUTPUT]],LEN(Sim_Output[[#This Row],[OUTPUT]])-6))</f>
        <v>4</v>
      </c>
      <c r="E541">
        <v>3</v>
      </c>
      <c r="F541" t="str">
        <f>Sim_Output[[#This Row],[SIM_ID]]&amp;" - "&amp;Sim_Output[[#This Row],[WEEK]]&amp;" - "&amp;Sim_Output[[#This Row],[REGIME]]</f>
        <v>5 - 2 - 3</v>
      </c>
      <c r="G541" t="s">
        <v>48</v>
      </c>
      <c r="H541">
        <v>91</v>
      </c>
      <c r="I541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541" s="7">
        <f>Sim_Output[[#This Row],[VALUE]]/SUMIFS(Sim_Output[VALUE],Sim_Output[SIM_ID],Sim_Output[[#This Row],[SIM_ID]],Sim_Output[WEEK],Sim_Output[[#This Row],[WEEK]],Sim_Output[OUTPUT],"PRICE_0")-1</f>
        <v>-3.1914893617021267E-2</v>
      </c>
      <c r="K541" s="4">
        <f ca="1">IF(Sim_Output[[#This Row],[OUTPUT]]="PRICE_0",0,_xlfn.RANK.EQ(Sim_Output[[#This Row],[WTD_RET]],OFFSET(Sim_Output[[#This Row],[WTD_RET]],-Sim_Output[[#This Row],[OBS]]+1,0,12)))</f>
        <v>3</v>
      </c>
      <c r="L541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0.65362254137883458</v>
      </c>
      <c r="M541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0.42948717948717952</v>
      </c>
      <c r="N541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-0.26016260162601623</v>
      </c>
    </row>
    <row r="542" spans="2:14" x14ac:dyDescent="0.25">
      <c r="B542">
        <v>5</v>
      </c>
      <c r="C542">
        <v>2</v>
      </c>
      <c r="D542">
        <f>VALUE(RIGHT(Sim_Output[[#This Row],[OUTPUT]],LEN(Sim_Output[[#This Row],[OUTPUT]])-6))</f>
        <v>5</v>
      </c>
      <c r="E542">
        <v>3</v>
      </c>
      <c r="F542" t="str">
        <f>Sim_Output[[#This Row],[SIM_ID]]&amp;" - "&amp;Sim_Output[[#This Row],[WEEK]]&amp;" - "&amp;Sim_Output[[#This Row],[REGIME]]</f>
        <v>5 - 2 - 3</v>
      </c>
      <c r="G542" t="s">
        <v>49</v>
      </c>
      <c r="H542">
        <v>54</v>
      </c>
      <c r="I542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542" s="7">
        <f>Sim_Output[[#This Row],[VALUE]]/SUMIFS(Sim_Output[VALUE],Sim_Output[SIM_ID],Sim_Output[[#This Row],[SIM_ID]],Sim_Output[WEEK],Sim_Output[[#This Row],[WEEK]],Sim_Output[OUTPUT],"PRICE_0")-1</f>
        <v>-0.42553191489361697</v>
      </c>
      <c r="K542" s="4">
        <f ca="1">IF(Sim_Output[[#This Row],[OUTPUT]]="PRICE_0",0,_xlfn.RANK.EQ(Sim_Output[[#This Row],[WTD_RET]],OFFSET(Sim_Output[[#This Row],[WTD_RET]],-Sim_Output[[#This Row],[OBS]]+1,0,12)))</f>
        <v>4</v>
      </c>
      <c r="L542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-0.12026654761370549</v>
      </c>
      <c r="M542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0.19230769230769237</v>
      </c>
      <c r="N542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-0.40659340659340659</v>
      </c>
    </row>
    <row r="543" spans="2:14" x14ac:dyDescent="0.25">
      <c r="B543">
        <v>5</v>
      </c>
      <c r="C543">
        <v>2</v>
      </c>
      <c r="D543">
        <f>VALUE(RIGHT(Sim_Output[[#This Row],[OUTPUT]],LEN(Sim_Output[[#This Row],[OUTPUT]])-6))</f>
        <v>6</v>
      </c>
      <c r="E543">
        <v>3</v>
      </c>
      <c r="F543" t="str">
        <f>Sim_Output[[#This Row],[SIM_ID]]&amp;" - "&amp;Sim_Output[[#This Row],[WEEK]]&amp;" - "&amp;Sim_Output[[#This Row],[REGIME]]</f>
        <v>5 - 2 - 3</v>
      </c>
      <c r="G543" t="s">
        <v>50</v>
      </c>
      <c r="H543">
        <v>180</v>
      </c>
      <c r="I543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543" s="7">
        <f>Sim_Output[[#This Row],[VALUE]]/SUMIFS(Sim_Output[VALUE],Sim_Output[SIM_ID],Sim_Output[[#This Row],[SIM_ID]],Sim_Output[WEEK],Sim_Output[[#This Row],[WEEK]],Sim_Output[OUTPUT],"PRICE_0")-1</f>
        <v>0.91489361702127669</v>
      </c>
      <c r="K543" s="4">
        <f ca="1">IF(Sim_Output[[#This Row],[OUTPUT]]="PRICE_0",0,_xlfn.RANK.EQ(Sim_Output[[#This Row],[WTD_RET]],OFFSET(Sim_Output[[#This Row],[WTD_RET]],-Sim_Output[[#This Row],[OBS]]+1,0,12)))</f>
        <v>1</v>
      </c>
      <c r="L543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2.5151395392257556</v>
      </c>
      <c r="M543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1</v>
      </c>
      <c r="N543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2.3333333333333335</v>
      </c>
    </row>
    <row r="544" spans="2:14" x14ac:dyDescent="0.25">
      <c r="B544">
        <v>5</v>
      </c>
      <c r="C544">
        <v>2</v>
      </c>
      <c r="D544">
        <f>VALUE(RIGHT(Sim_Output[[#This Row],[OUTPUT]],LEN(Sim_Output[[#This Row],[OUTPUT]])-6))</f>
        <v>7</v>
      </c>
      <c r="E544">
        <v>3</v>
      </c>
      <c r="F544" t="str">
        <f>Sim_Output[[#This Row],[SIM_ID]]&amp;" - "&amp;Sim_Output[[#This Row],[WEEK]]&amp;" - "&amp;Sim_Output[[#This Row],[REGIME]]</f>
        <v>5 - 2 - 3</v>
      </c>
      <c r="G544" t="s">
        <v>51</v>
      </c>
      <c r="H544">
        <v>40</v>
      </c>
      <c r="I544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544" s="7">
        <f>Sim_Output[[#This Row],[VALUE]]/SUMIFS(Sim_Output[VALUE],Sim_Output[SIM_ID],Sim_Output[[#This Row],[SIM_ID]],Sim_Output[WEEK],Sim_Output[[#This Row],[WEEK]],Sim_Output[OUTPUT],"PRICE_0")-1</f>
        <v>-0.57446808510638303</v>
      </c>
      <c r="K544" s="4">
        <f ca="1">IF(Sim_Output[[#This Row],[OUTPUT]]="PRICE_0",0,_xlfn.RANK.EQ(Sim_Output[[#This Row],[WTD_RET]],OFFSET(Sim_Output[[#This Row],[WTD_RET]],-Sim_Output[[#This Row],[OBS]]+1,0,12)))</f>
        <v>5</v>
      </c>
      <c r="L544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-0.41308944615142357</v>
      </c>
      <c r="M544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0.10256410256410257</v>
      </c>
      <c r="N544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-0.77777777777777779</v>
      </c>
    </row>
    <row r="545" spans="2:14" x14ac:dyDescent="0.25">
      <c r="B545">
        <v>5</v>
      </c>
      <c r="C545">
        <v>2</v>
      </c>
      <c r="D545">
        <f>VALUE(RIGHT(Sim_Output[[#This Row],[OUTPUT]],LEN(Sim_Output[[#This Row],[OUTPUT]])-6))</f>
        <v>8</v>
      </c>
      <c r="E545">
        <v>3</v>
      </c>
      <c r="F545" t="str">
        <f>Sim_Output[[#This Row],[SIM_ID]]&amp;" - "&amp;Sim_Output[[#This Row],[WEEK]]&amp;" - "&amp;Sim_Output[[#This Row],[REGIME]]</f>
        <v>5 - 2 - 3</v>
      </c>
      <c r="G545" t="s">
        <v>52</v>
      </c>
      <c r="H545">
        <v>38</v>
      </c>
      <c r="I545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545" s="7">
        <f>Sim_Output[[#This Row],[VALUE]]/SUMIFS(Sim_Output[VALUE],Sim_Output[SIM_ID],Sim_Output[[#This Row],[SIM_ID]],Sim_Output[WEEK],Sim_Output[[#This Row],[WEEK]],Sim_Output[OUTPUT],"PRICE_0")-1</f>
        <v>-0.5957446808510638</v>
      </c>
      <c r="K545" s="4">
        <f ca="1">IF(Sim_Output[[#This Row],[OUTPUT]]="PRICE_0",0,_xlfn.RANK.EQ(Sim_Output[[#This Row],[WTD_RET]],OFFSET(Sim_Output[[#This Row],[WTD_RET]],-Sim_Output[[#This Row],[OBS]]+1,0,12)))</f>
        <v>6</v>
      </c>
      <c r="L545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-0.45492128879966887</v>
      </c>
      <c r="M545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8.9743589743589799E-2</v>
      </c>
      <c r="N545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-5.0000000000000044E-2</v>
      </c>
    </row>
    <row r="546" spans="2:14" x14ac:dyDescent="0.25">
      <c r="B546">
        <v>5</v>
      </c>
      <c r="C546">
        <v>2</v>
      </c>
      <c r="D546">
        <f>VALUE(RIGHT(Sim_Output[[#This Row],[OUTPUT]],LEN(Sim_Output[[#This Row],[OUTPUT]])-6))</f>
        <v>9</v>
      </c>
      <c r="E546">
        <v>3</v>
      </c>
      <c r="F546" t="str">
        <f>Sim_Output[[#This Row],[SIM_ID]]&amp;" - "&amp;Sim_Output[[#This Row],[WEEK]]&amp;" - "&amp;Sim_Output[[#This Row],[REGIME]]</f>
        <v>5 - 2 - 3</v>
      </c>
      <c r="G546" t="s">
        <v>53</v>
      </c>
      <c r="H546">
        <v>35</v>
      </c>
      <c r="I546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546" s="7">
        <f>Sim_Output[[#This Row],[VALUE]]/SUMIFS(Sim_Output[VALUE],Sim_Output[SIM_ID],Sim_Output[[#This Row],[SIM_ID]],Sim_Output[WEEK],Sim_Output[[#This Row],[WEEK]],Sim_Output[OUTPUT],"PRICE_0")-1</f>
        <v>-0.62765957446808507</v>
      </c>
      <c r="K546" s="4">
        <f ca="1">IF(Sim_Output[[#This Row],[OUTPUT]]="PRICE_0",0,_xlfn.RANK.EQ(Sim_Output[[#This Row],[WTD_RET]],OFFSET(Sim_Output[[#This Row],[WTD_RET]],-Sim_Output[[#This Row],[OBS]]+1,0,12)))</f>
        <v>8</v>
      </c>
      <c r="L546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-0.51766905277203701</v>
      </c>
      <c r="M546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7.0512820512820568E-2</v>
      </c>
      <c r="N546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-7.8947368421052655E-2</v>
      </c>
    </row>
    <row r="547" spans="2:14" x14ac:dyDescent="0.25">
      <c r="B547">
        <v>5</v>
      </c>
      <c r="C547">
        <v>2</v>
      </c>
      <c r="D547">
        <f>VALUE(RIGHT(Sim_Output[[#This Row],[OUTPUT]],LEN(Sim_Output[[#This Row],[OUTPUT]])-6))</f>
        <v>10</v>
      </c>
      <c r="E547">
        <v>3</v>
      </c>
      <c r="F547" t="str">
        <f>Sim_Output[[#This Row],[SIM_ID]]&amp;" - "&amp;Sim_Output[[#This Row],[WEEK]]&amp;" - "&amp;Sim_Output[[#This Row],[REGIME]]</f>
        <v>5 - 2 - 3</v>
      </c>
      <c r="G547" t="s">
        <v>54</v>
      </c>
      <c r="H547">
        <v>31</v>
      </c>
      <c r="I547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547" s="7">
        <f>Sim_Output[[#This Row],[VALUE]]/SUMIFS(Sim_Output[VALUE],Sim_Output[SIM_ID],Sim_Output[[#This Row],[SIM_ID]],Sim_Output[WEEK],Sim_Output[[#This Row],[WEEK]],Sim_Output[OUTPUT],"PRICE_0")-1</f>
        <v>-0.67021276595744683</v>
      </c>
      <c r="K547" s="4">
        <f ca="1">IF(Sim_Output[[#This Row],[OUTPUT]]="PRICE_0",0,_xlfn.RANK.EQ(Sim_Output[[#This Row],[WTD_RET]],OFFSET(Sim_Output[[#This Row],[WTD_RET]],-Sim_Output[[#This Row],[OBS]]+1,0,12)))</f>
        <v>10</v>
      </c>
      <c r="L547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-0.60133273806852794</v>
      </c>
      <c r="M547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4.48717948717949E-2</v>
      </c>
      <c r="N547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-0.11428571428571432</v>
      </c>
    </row>
    <row r="548" spans="2:14" x14ac:dyDescent="0.25">
      <c r="B548">
        <v>5</v>
      </c>
      <c r="C548">
        <v>2</v>
      </c>
      <c r="D548">
        <f>VALUE(RIGHT(Sim_Output[[#This Row],[OUTPUT]],LEN(Sim_Output[[#This Row],[OUTPUT]])-6))</f>
        <v>11</v>
      </c>
      <c r="E548">
        <v>3</v>
      </c>
      <c r="F548" t="str">
        <f>Sim_Output[[#This Row],[SIM_ID]]&amp;" - "&amp;Sim_Output[[#This Row],[WEEK]]&amp;" - "&amp;Sim_Output[[#This Row],[REGIME]]</f>
        <v>5 - 2 - 3</v>
      </c>
      <c r="G548" t="s">
        <v>55</v>
      </c>
      <c r="H548">
        <v>28</v>
      </c>
      <c r="I548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548" s="7">
        <f>Sim_Output[[#This Row],[VALUE]]/SUMIFS(Sim_Output[VALUE],Sim_Output[SIM_ID],Sim_Output[[#This Row],[SIM_ID]],Sim_Output[WEEK],Sim_Output[[#This Row],[WEEK]],Sim_Output[OUTPUT],"PRICE_0")-1</f>
        <v>-0.7021276595744681</v>
      </c>
      <c r="K548" s="4">
        <f ca="1">IF(Sim_Output[[#This Row],[OUTPUT]]="PRICE_0",0,_xlfn.RANK.EQ(Sim_Output[[#This Row],[WTD_RET]],OFFSET(Sim_Output[[#This Row],[WTD_RET]],-Sim_Output[[#This Row],[OBS]]+1,0,12)))</f>
        <v>11</v>
      </c>
      <c r="L548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-0.66408050204089597</v>
      </c>
      <c r="M548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2.5641025641025675E-2</v>
      </c>
      <c r="N548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-9.6774193548387122E-2</v>
      </c>
    </row>
    <row r="549" spans="2:14" x14ac:dyDescent="0.25">
      <c r="B549">
        <v>5</v>
      </c>
      <c r="C549">
        <v>2</v>
      </c>
      <c r="D549">
        <f>VALUE(RIGHT(Sim_Output[[#This Row],[OUTPUT]],LEN(Sim_Output[[#This Row],[OUTPUT]])-6))</f>
        <v>12</v>
      </c>
      <c r="E549">
        <v>3</v>
      </c>
      <c r="F549" t="str">
        <f>Sim_Output[[#This Row],[SIM_ID]]&amp;" - "&amp;Sim_Output[[#This Row],[WEEK]]&amp;" - "&amp;Sim_Output[[#This Row],[REGIME]]</f>
        <v>5 - 2 - 3</v>
      </c>
      <c r="G549" t="s">
        <v>56</v>
      </c>
      <c r="H549">
        <v>24</v>
      </c>
      <c r="I549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549" s="7">
        <f>Sim_Output[[#This Row],[VALUE]]/SUMIFS(Sim_Output[VALUE],Sim_Output[SIM_ID],Sim_Output[[#This Row],[SIM_ID]],Sim_Output[WEEK],Sim_Output[[#This Row],[WEEK]],Sim_Output[OUTPUT],"PRICE_0")-1</f>
        <v>-0.74468085106382986</v>
      </c>
      <c r="K549" s="4">
        <f ca="1">IF(Sim_Output[[#This Row],[OUTPUT]]="PRICE_0",0,_xlfn.RANK.EQ(Sim_Output[[#This Row],[WTD_RET]],OFFSET(Sim_Output[[#This Row],[WTD_RET]],-Sim_Output[[#This Row],[OBS]]+1,0,12)))</f>
        <v>12</v>
      </c>
      <c r="L549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-0.7477441873373869</v>
      </c>
      <c r="M549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</v>
      </c>
      <c r="N549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-0.1428571428571429</v>
      </c>
    </row>
    <row r="550" spans="2:14" x14ac:dyDescent="0.25">
      <c r="B550">
        <v>5</v>
      </c>
      <c r="C550">
        <v>3</v>
      </c>
      <c r="D550">
        <f>VALUE(RIGHT(Sim_Output[[#This Row],[OUTPUT]],LEN(Sim_Output[[#This Row],[OUTPUT]])-6))</f>
        <v>0</v>
      </c>
      <c r="E550">
        <v>0</v>
      </c>
      <c r="F550" t="str">
        <f>Sim_Output[[#This Row],[SIM_ID]]&amp;" - "&amp;Sim_Output[[#This Row],[WEEK]]&amp;" - "&amp;Sim_Output[[#This Row],[REGIME]]</f>
        <v>5 - 3 - 0</v>
      </c>
      <c r="G550" t="s">
        <v>44</v>
      </c>
      <c r="H550">
        <v>93</v>
      </c>
      <c r="I550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550" s="7">
        <f>Sim_Output[[#This Row],[VALUE]]/SUMIFS(Sim_Output[VALUE],Sim_Output[SIM_ID],Sim_Output[[#This Row],[SIM_ID]],Sim_Output[WEEK],Sim_Output[[#This Row],[WEEK]],Sim_Output[OUTPUT],"PRICE_0")-1</f>
        <v>0</v>
      </c>
      <c r="K550" s="4">
        <f ca="1">IF(Sim_Output[[#This Row],[OUTPUT]]="PRICE_0",0,_xlfn.RANK.EQ(Sim_Output[[#This Row],[WTD_RET]],OFFSET(Sim_Output[[#This Row],[WTD_RET]],-Sim_Output[[#This Row],[OBS]]+1,0,12)))</f>
        <v>0</v>
      </c>
      <c r="L550" s="3" t="str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/>
      </c>
      <c r="M550" s="3" t="str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/>
      </c>
      <c r="N550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</v>
      </c>
    </row>
    <row r="551" spans="2:14" x14ac:dyDescent="0.25">
      <c r="B551">
        <v>5</v>
      </c>
      <c r="C551">
        <v>3</v>
      </c>
      <c r="D551">
        <f>VALUE(RIGHT(Sim_Output[[#This Row],[OUTPUT]],LEN(Sim_Output[[#This Row],[OUTPUT]])-6))</f>
        <v>1</v>
      </c>
      <c r="E551">
        <v>0</v>
      </c>
      <c r="F551" t="str">
        <f>Sim_Output[[#This Row],[SIM_ID]]&amp;" - "&amp;Sim_Output[[#This Row],[WEEK]]&amp;" - "&amp;Sim_Output[[#This Row],[REGIME]]</f>
        <v>5 - 3 - 0</v>
      </c>
      <c r="G551" t="s">
        <v>45</v>
      </c>
      <c r="H551">
        <v>113</v>
      </c>
      <c r="I551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551" s="7">
        <f>Sim_Output[[#This Row],[VALUE]]/SUMIFS(Sim_Output[VALUE],Sim_Output[SIM_ID],Sim_Output[[#This Row],[SIM_ID]],Sim_Output[WEEK],Sim_Output[[#This Row],[WEEK]],Sim_Output[OUTPUT],"PRICE_0")-1</f>
        <v>0.21505376344086025</v>
      </c>
      <c r="K551" s="4">
        <f ca="1">IF(Sim_Output[[#This Row],[OUTPUT]]="PRICE_0",0,_xlfn.RANK.EQ(Sim_Output[[#This Row],[WTD_RET]],OFFSET(Sim_Output[[#This Row],[WTD_RET]],-Sim_Output[[#This Row],[OBS]]+1,0,12)))</f>
        <v>3</v>
      </c>
      <c r="L551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0.96916953326891542</v>
      </c>
      <c r="M551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0.83098591549295786</v>
      </c>
      <c r="N551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0.21505376344086025</v>
      </c>
    </row>
    <row r="552" spans="2:14" x14ac:dyDescent="0.25">
      <c r="B552">
        <v>5</v>
      </c>
      <c r="C552">
        <v>3</v>
      </c>
      <c r="D552">
        <f>VALUE(RIGHT(Sim_Output[[#This Row],[OUTPUT]],LEN(Sim_Output[[#This Row],[OUTPUT]])-6))</f>
        <v>2</v>
      </c>
      <c r="E552">
        <v>0</v>
      </c>
      <c r="F552" t="str">
        <f>Sim_Output[[#This Row],[SIM_ID]]&amp;" - "&amp;Sim_Output[[#This Row],[WEEK]]&amp;" - "&amp;Sim_Output[[#This Row],[REGIME]]</f>
        <v>5 - 3 - 0</v>
      </c>
      <c r="G552" t="s">
        <v>46</v>
      </c>
      <c r="H552">
        <v>66</v>
      </c>
      <c r="I552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552" s="7">
        <f>Sim_Output[[#This Row],[VALUE]]/SUMIFS(Sim_Output[VALUE],Sim_Output[SIM_ID],Sim_Output[[#This Row],[SIM_ID]],Sim_Output[WEEK],Sim_Output[[#This Row],[WEEK]],Sim_Output[OUTPUT],"PRICE_0")-1</f>
        <v>-0.29032258064516125</v>
      </c>
      <c r="K552" s="4">
        <f ca="1">IF(Sim_Output[[#This Row],[OUTPUT]]="PRICE_0",0,_xlfn.RANK.EQ(Sim_Output[[#This Row],[WTD_RET]],OFFSET(Sim_Output[[#This Row],[WTD_RET]],-Sim_Output[[#This Row],[OBS]]+1,0,12)))</f>
        <v>8</v>
      </c>
      <c r="L552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-0.81132433241078572</v>
      </c>
      <c r="M552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0.16901408450704228</v>
      </c>
      <c r="N552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-0.41592920353982299</v>
      </c>
    </row>
    <row r="553" spans="2:14" x14ac:dyDescent="0.25">
      <c r="B553">
        <v>5</v>
      </c>
      <c r="C553">
        <v>3</v>
      </c>
      <c r="D553">
        <f>VALUE(RIGHT(Sim_Output[[#This Row],[OUTPUT]],LEN(Sim_Output[[#This Row],[OUTPUT]])-6))</f>
        <v>3</v>
      </c>
      <c r="E553">
        <v>0</v>
      </c>
      <c r="F553" t="str">
        <f>Sim_Output[[#This Row],[SIM_ID]]&amp;" - "&amp;Sim_Output[[#This Row],[WEEK]]&amp;" - "&amp;Sim_Output[[#This Row],[REGIME]]</f>
        <v>5 - 3 - 0</v>
      </c>
      <c r="G553" t="s">
        <v>47</v>
      </c>
      <c r="H553">
        <v>58</v>
      </c>
      <c r="I553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553" s="7">
        <f>Sim_Output[[#This Row],[VALUE]]/SUMIFS(Sim_Output[VALUE],Sim_Output[SIM_ID],Sim_Output[[#This Row],[SIM_ID]],Sim_Output[WEEK],Sim_Output[[#This Row],[WEEK]],Sim_Output[OUTPUT],"PRICE_0")-1</f>
        <v>-0.37634408602150538</v>
      </c>
      <c r="K553" s="4">
        <f ca="1">IF(Sim_Output[[#This Row],[OUTPUT]]="PRICE_0",0,_xlfn.RANK.EQ(Sim_Output[[#This Row],[WTD_RET]],OFFSET(Sim_Output[[#This Row],[WTD_RET]],-Sim_Output[[#This Row],[OBS]]+1,0,12)))</f>
        <v>10</v>
      </c>
      <c r="L553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-1.1143871180583946</v>
      </c>
      <c r="M553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5.6338028169014044E-2</v>
      </c>
      <c r="N553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-0.12121212121212122</v>
      </c>
    </row>
    <row r="554" spans="2:14" x14ac:dyDescent="0.25">
      <c r="B554">
        <v>5</v>
      </c>
      <c r="C554">
        <v>3</v>
      </c>
      <c r="D554">
        <f>VALUE(RIGHT(Sim_Output[[#This Row],[OUTPUT]],LEN(Sim_Output[[#This Row],[OUTPUT]])-6))</f>
        <v>4</v>
      </c>
      <c r="E554">
        <v>0</v>
      </c>
      <c r="F554" t="str">
        <f>Sim_Output[[#This Row],[SIM_ID]]&amp;" - "&amp;Sim_Output[[#This Row],[WEEK]]&amp;" - "&amp;Sim_Output[[#This Row],[REGIME]]</f>
        <v>5 - 3 - 0</v>
      </c>
      <c r="G554" t="s">
        <v>48</v>
      </c>
      <c r="H554">
        <v>54</v>
      </c>
      <c r="I554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554" s="7">
        <f>Sim_Output[[#This Row],[VALUE]]/SUMIFS(Sim_Output[VALUE],Sim_Output[SIM_ID],Sim_Output[[#This Row],[SIM_ID]],Sim_Output[WEEK],Sim_Output[[#This Row],[WEEK]],Sim_Output[OUTPUT],"PRICE_0")-1</f>
        <v>-0.41935483870967738</v>
      </c>
      <c r="K554" s="4">
        <f ca="1">IF(Sim_Output[[#This Row],[OUTPUT]]="PRICE_0",0,_xlfn.RANK.EQ(Sim_Output[[#This Row],[WTD_RET]],OFFSET(Sim_Output[[#This Row],[WTD_RET]],-Sim_Output[[#This Row],[OBS]]+1,0,12)))</f>
        <v>12</v>
      </c>
      <c r="L554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-1.2659185108821989</v>
      </c>
      <c r="M554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</v>
      </c>
      <c r="N554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-6.8965517241379337E-2</v>
      </c>
    </row>
    <row r="555" spans="2:14" x14ac:dyDescent="0.25">
      <c r="B555">
        <v>5</v>
      </c>
      <c r="C555">
        <v>3</v>
      </c>
      <c r="D555">
        <f>VALUE(RIGHT(Sim_Output[[#This Row],[OUTPUT]],LEN(Sim_Output[[#This Row],[OUTPUT]])-6))</f>
        <v>5</v>
      </c>
      <c r="E555">
        <v>0</v>
      </c>
      <c r="F555" t="str">
        <f>Sim_Output[[#This Row],[SIM_ID]]&amp;" - "&amp;Sim_Output[[#This Row],[WEEK]]&amp;" - "&amp;Sim_Output[[#This Row],[REGIME]]</f>
        <v>5 - 3 - 0</v>
      </c>
      <c r="G555" t="s">
        <v>49</v>
      </c>
      <c r="H555">
        <v>89</v>
      </c>
      <c r="I555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555" s="7">
        <f>Sim_Output[[#This Row],[VALUE]]/SUMIFS(Sim_Output[VALUE],Sim_Output[SIM_ID],Sim_Output[[#This Row],[SIM_ID]],Sim_Output[WEEK],Sim_Output[[#This Row],[WEEK]],Sim_Output[OUTPUT],"PRICE_0")-1</f>
        <v>-4.3010752688172005E-2</v>
      </c>
      <c r="K555" s="4">
        <f ca="1">IF(Sim_Output[[#This Row],[OUTPUT]]="PRICE_0",0,_xlfn.RANK.EQ(Sim_Output[[#This Row],[WTD_RET]],OFFSET(Sim_Output[[#This Row],[WTD_RET]],-Sim_Output[[#This Row],[OBS]]+1,0,12)))</f>
        <v>6</v>
      </c>
      <c r="L555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5.9981176326089375E-2</v>
      </c>
      <c r="M555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0.4929577464788733</v>
      </c>
      <c r="N555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0.64814814814814814</v>
      </c>
    </row>
    <row r="556" spans="2:14" x14ac:dyDescent="0.25">
      <c r="B556">
        <v>5</v>
      </c>
      <c r="C556">
        <v>3</v>
      </c>
      <c r="D556">
        <f>VALUE(RIGHT(Sim_Output[[#This Row],[OUTPUT]],LEN(Sim_Output[[#This Row],[OUTPUT]])-6))</f>
        <v>6</v>
      </c>
      <c r="E556">
        <v>0</v>
      </c>
      <c r="F556" t="str">
        <f>Sim_Output[[#This Row],[SIM_ID]]&amp;" - "&amp;Sim_Output[[#This Row],[WEEK]]&amp;" - "&amp;Sim_Output[[#This Row],[REGIME]]</f>
        <v>5 - 3 - 0</v>
      </c>
      <c r="G556" t="s">
        <v>50</v>
      </c>
      <c r="H556">
        <v>125</v>
      </c>
      <c r="I556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556" s="7">
        <f>Sim_Output[[#This Row],[VALUE]]/SUMIFS(Sim_Output[VALUE],Sim_Output[SIM_ID],Sim_Output[[#This Row],[SIM_ID]],Sim_Output[WEEK],Sim_Output[[#This Row],[WEEK]],Sim_Output[OUTPUT],"PRICE_0")-1</f>
        <v>0.34408602150537626</v>
      </c>
      <c r="K556" s="4">
        <f ca="1">IF(Sim_Output[[#This Row],[OUTPUT]]="PRICE_0",0,_xlfn.RANK.EQ(Sim_Output[[#This Row],[WTD_RET]],OFFSET(Sim_Output[[#This Row],[WTD_RET]],-Sim_Output[[#This Row],[OBS]]+1,0,12)))</f>
        <v>1</v>
      </c>
      <c r="L556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1.4237637117403281</v>
      </c>
      <c r="M556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1</v>
      </c>
      <c r="N556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0.40449438202247201</v>
      </c>
    </row>
    <row r="557" spans="2:14" x14ac:dyDescent="0.25">
      <c r="B557">
        <v>5</v>
      </c>
      <c r="C557">
        <v>3</v>
      </c>
      <c r="D557">
        <f>VALUE(RIGHT(Sim_Output[[#This Row],[OUTPUT]],LEN(Sim_Output[[#This Row],[OUTPUT]])-6))</f>
        <v>7</v>
      </c>
      <c r="E557">
        <v>0</v>
      </c>
      <c r="F557" t="str">
        <f>Sim_Output[[#This Row],[SIM_ID]]&amp;" - "&amp;Sim_Output[[#This Row],[WEEK]]&amp;" - "&amp;Sim_Output[[#This Row],[REGIME]]</f>
        <v>5 - 3 - 0</v>
      </c>
      <c r="G557" t="s">
        <v>51</v>
      </c>
      <c r="H557">
        <v>111</v>
      </c>
      <c r="I557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557" s="7">
        <f>Sim_Output[[#This Row],[VALUE]]/SUMIFS(Sim_Output[VALUE],Sim_Output[SIM_ID],Sim_Output[[#This Row],[SIM_ID]],Sim_Output[WEEK],Sim_Output[[#This Row],[WEEK]],Sim_Output[OUTPUT],"PRICE_0")-1</f>
        <v>0.19354838709677424</v>
      </c>
      <c r="K557" s="4">
        <f ca="1">IF(Sim_Output[[#This Row],[OUTPUT]]="PRICE_0",0,_xlfn.RANK.EQ(Sim_Output[[#This Row],[WTD_RET]],OFFSET(Sim_Output[[#This Row],[WTD_RET]],-Sim_Output[[#This Row],[OBS]]+1,0,12)))</f>
        <v>4</v>
      </c>
      <c r="L557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0.8934038368570133</v>
      </c>
      <c r="M557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0.80281690140845086</v>
      </c>
      <c r="N557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-0.11199999999999999</v>
      </c>
    </row>
    <row r="558" spans="2:14" x14ac:dyDescent="0.25">
      <c r="B558">
        <v>5</v>
      </c>
      <c r="C558">
        <v>3</v>
      </c>
      <c r="D558">
        <f>VALUE(RIGHT(Sim_Output[[#This Row],[OUTPUT]],LEN(Sim_Output[[#This Row],[OUTPUT]])-6))</f>
        <v>8</v>
      </c>
      <c r="E558">
        <v>0</v>
      </c>
      <c r="F558" t="str">
        <f>Sim_Output[[#This Row],[SIM_ID]]&amp;" - "&amp;Sim_Output[[#This Row],[WEEK]]&amp;" - "&amp;Sim_Output[[#This Row],[REGIME]]</f>
        <v>5 - 3 - 0</v>
      </c>
      <c r="G558" t="s">
        <v>52</v>
      </c>
      <c r="H558">
        <v>66</v>
      </c>
      <c r="I558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558" s="7">
        <f>Sim_Output[[#This Row],[VALUE]]/SUMIFS(Sim_Output[VALUE],Sim_Output[SIM_ID],Sim_Output[[#This Row],[SIM_ID]],Sim_Output[WEEK],Sim_Output[[#This Row],[WEEK]],Sim_Output[OUTPUT],"PRICE_0")-1</f>
        <v>-0.29032258064516125</v>
      </c>
      <c r="K558" s="4">
        <f ca="1">IF(Sim_Output[[#This Row],[OUTPUT]]="PRICE_0",0,_xlfn.RANK.EQ(Sim_Output[[#This Row],[WTD_RET]],OFFSET(Sim_Output[[#This Row],[WTD_RET]],-Sim_Output[[#This Row],[OBS]]+1,0,12)))</f>
        <v>8</v>
      </c>
      <c r="L558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-0.81132433241078572</v>
      </c>
      <c r="M558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0.16901408450704228</v>
      </c>
      <c r="N558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-0.40540540540540537</v>
      </c>
    </row>
    <row r="559" spans="2:14" x14ac:dyDescent="0.25">
      <c r="B559">
        <v>5</v>
      </c>
      <c r="C559">
        <v>3</v>
      </c>
      <c r="D559">
        <f>VALUE(RIGHT(Sim_Output[[#This Row],[OUTPUT]],LEN(Sim_Output[[#This Row],[OUTPUT]])-6))</f>
        <v>9</v>
      </c>
      <c r="E559">
        <v>0</v>
      </c>
      <c r="F559" t="str">
        <f>Sim_Output[[#This Row],[SIM_ID]]&amp;" - "&amp;Sim_Output[[#This Row],[WEEK]]&amp;" - "&amp;Sim_Output[[#This Row],[REGIME]]</f>
        <v>5 - 3 - 0</v>
      </c>
      <c r="G559" t="s">
        <v>53</v>
      </c>
      <c r="H559">
        <v>58</v>
      </c>
      <c r="I559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559" s="7">
        <f>Sim_Output[[#This Row],[VALUE]]/SUMIFS(Sim_Output[VALUE],Sim_Output[SIM_ID],Sim_Output[[#This Row],[SIM_ID]],Sim_Output[WEEK],Sim_Output[[#This Row],[WEEK]],Sim_Output[OUTPUT],"PRICE_0")-1</f>
        <v>-0.37634408602150538</v>
      </c>
      <c r="K559" s="4">
        <f ca="1">IF(Sim_Output[[#This Row],[OUTPUT]]="PRICE_0",0,_xlfn.RANK.EQ(Sim_Output[[#This Row],[WTD_RET]],OFFSET(Sim_Output[[#This Row],[WTD_RET]],-Sim_Output[[#This Row],[OBS]]+1,0,12)))</f>
        <v>10</v>
      </c>
      <c r="L559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-1.1143871180583946</v>
      </c>
      <c r="M559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5.6338028169014044E-2</v>
      </c>
      <c r="N559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-0.12121212121212122</v>
      </c>
    </row>
    <row r="560" spans="2:14" x14ac:dyDescent="0.25">
      <c r="B560">
        <v>5</v>
      </c>
      <c r="C560">
        <v>3</v>
      </c>
      <c r="D560">
        <f>VALUE(RIGHT(Sim_Output[[#This Row],[OUTPUT]],LEN(Sim_Output[[#This Row],[OUTPUT]])-6))</f>
        <v>10</v>
      </c>
      <c r="E560">
        <v>0</v>
      </c>
      <c r="F560" t="str">
        <f>Sim_Output[[#This Row],[SIM_ID]]&amp;" - "&amp;Sim_Output[[#This Row],[WEEK]]&amp;" - "&amp;Sim_Output[[#This Row],[REGIME]]</f>
        <v>5 - 3 - 0</v>
      </c>
      <c r="G560" t="s">
        <v>54</v>
      </c>
      <c r="H560">
        <v>86</v>
      </c>
      <c r="I560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560" s="7">
        <f>Sim_Output[[#This Row],[VALUE]]/SUMIFS(Sim_Output[VALUE],Sim_Output[SIM_ID],Sim_Output[[#This Row],[SIM_ID]],Sim_Output[WEEK],Sim_Output[[#This Row],[WEEK]],Sim_Output[OUTPUT],"PRICE_0")-1</f>
        <v>-7.5268817204301119E-2</v>
      </c>
      <c r="K560" s="4">
        <f ca="1">IF(Sim_Output[[#This Row],[OUTPUT]]="PRICE_0",0,_xlfn.RANK.EQ(Sim_Output[[#This Row],[WTD_RET]],OFFSET(Sim_Output[[#This Row],[WTD_RET]],-Sim_Output[[#This Row],[OBS]]+1,0,12)))</f>
        <v>7</v>
      </c>
      <c r="L560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-5.3667368291764182E-2</v>
      </c>
      <c r="M560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0.45070422535211263</v>
      </c>
      <c r="N560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0.48275862068965525</v>
      </c>
    </row>
    <row r="561" spans="2:14" x14ac:dyDescent="0.25">
      <c r="B561">
        <v>5</v>
      </c>
      <c r="C561">
        <v>3</v>
      </c>
      <c r="D561">
        <f>VALUE(RIGHT(Sim_Output[[#This Row],[OUTPUT]],LEN(Sim_Output[[#This Row],[OUTPUT]])-6))</f>
        <v>11</v>
      </c>
      <c r="E561">
        <v>0</v>
      </c>
      <c r="F561" t="str">
        <f>Sim_Output[[#This Row],[SIM_ID]]&amp;" - "&amp;Sim_Output[[#This Row],[WEEK]]&amp;" - "&amp;Sim_Output[[#This Row],[REGIME]]</f>
        <v>5 - 3 - 0</v>
      </c>
      <c r="G561" t="s">
        <v>55</v>
      </c>
      <c r="H561">
        <v>119</v>
      </c>
      <c r="I561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561" s="7">
        <f>Sim_Output[[#This Row],[VALUE]]/SUMIFS(Sim_Output[VALUE],Sim_Output[SIM_ID],Sim_Output[[#This Row],[SIM_ID]],Sim_Output[WEEK],Sim_Output[[#This Row],[WEEK]],Sim_Output[OUTPUT],"PRICE_0")-1</f>
        <v>0.27956989247311825</v>
      </c>
      <c r="K561" s="4">
        <f ca="1">IF(Sim_Output[[#This Row],[OUTPUT]]="PRICE_0",0,_xlfn.RANK.EQ(Sim_Output[[#This Row],[WTD_RET]],OFFSET(Sim_Output[[#This Row],[WTD_RET]],-Sim_Output[[#This Row],[OBS]]+1,0,12)))</f>
        <v>2</v>
      </c>
      <c r="L561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1.1964666225046219</v>
      </c>
      <c r="M561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0.91549295774647899</v>
      </c>
      <c r="N561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0.38372093023255816</v>
      </c>
    </row>
    <row r="562" spans="2:14" x14ac:dyDescent="0.25">
      <c r="B562">
        <v>5</v>
      </c>
      <c r="C562">
        <v>3</v>
      </c>
      <c r="D562">
        <f>VALUE(RIGHT(Sim_Output[[#This Row],[OUTPUT]],LEN(Sim_Output[[#This Row],[OUTPUT]])-6))</f>
        <v>12</v>
      </c>
      <c r="E562">
        <v>0</v>
      </c>
      <c r="F562" t="str">
        <f>Sim_Output[[#This Row],[SIM_ID]]&amp;" - "&amp;Sim_Output[[#This Row],[WEEK]]&amp;" - "&amp;Sim_Output[[#This Row],[REGIME]]</f>
        <v>5 - 3 - 0</v>
      </c>
      <c r="G562" t="s">
        <v>56</v>
      </c>
      <c r="H562">
        <v>104</v>
      </c>
      <c r="I562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562" s="7">
        <f>Sim_Output[[#This Row],[VALUE]]/SUMIFS(Sim_Output[VALUE],Sim_Output[SIM_ID],Sim_Output[[#This Row],[SIM_ID]],Sim_Output[WEEK],Sim_Output[[#This Row],[WEEK]],Sim_Output[OUTPUT],"PRICE_0")-1</f>
        <v>0.11827956989247301</v>
      </c>
      <c r="K562" s="4">
        <f ca="1">IF(Sim_Output[[#This Row],[OUTPUT]]="PRICE_0",0,_xlfn.RANK.EQ(Sim_Output[[#This Row],[WTD_RET]],OFFSET(Sim_Output[[#This Row],[WTD_RET]],-Sim_Output[[#This Row],[OBS]]+1,0,12)))</f>
        <v>5</v>
      </c>
      <c r="L562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0.62822389941535528</v>
      </c>
      <c r="M562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0.70422535211267601</v>
      </c>
      <c r="N562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-0.12605042016806722</v>
      </c>
    </row>
    <row r="563" spans="2:14" x14ac:dyDescent="0.25">
      <c r="B563">
        <v>5</v>
      </c>
      <c r="C563">
        <v>4</v>
      </c>
      <c r="D563">
        <f>VALUE(RIGHT(Sim_Output[[#This Row],[OUTPUT]],LEN(Sim_Output[[#This Row],[OUTPUT]])-6))</f>
        <v>0</v>
      </c>
      <c r="E563">
        <v>2</v>
      </c>
      <c r="F563" t="str">
        <f>Sim_Output[[#This Row],[SIM_ID]]&amp;" - "&amp;Sim_Output[[#This Row],[WEEK]]&amp;" - "&amp;Sim_Output[[#This Row],[REGIME]]</f>
        <v>5 - 4 - 2</v>
      </c>
      <c r="G563" t="s">
        <v>44</v>
      </c>
      <c r="H563">
        <v>96</v>
      </c>
      <c r="I563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563" s="7">
        <f>Sim_Output[[#This Row],[VALUE]]/SUMIFS(Sim_Output[VALUE],Sim_Output[SIM_ID],Sim_Output[[#This Row],[SIM_ID]],Sim_Output[WEEK],Sim_Output[[#This Row],[WEEK]],Sim_Output[OUTPUT],"PRICE_0")-1</f>
        <v>0</v>
      </c>
      <c r="K563" s="4">
        <f ca="1">IF(Sim_Output[[#This Row],[OUTPUT]]="PRICE_0",0,_xlfn.RANK.EQ(Sim_Output[[#This Row],[WTD_RET]],OFFSET(Sim_Output[[#This Row],[WTD_RET]],-Sim_Output[[#This Row],[OBS]]+1,0,12)))</f>
        <v>0</v>
      </c>
      <c r="L563" s="3" t="str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/>
      </c>
      <c r="M563" s="3" t="str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/>
      </c>
      <c r="N563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</v>
      </c>
    </row>
    <row r="564" spans="2:14" x14ac:dyDescent="0.25">
      <c r="B564">
        <v>5</v>
      </c>
      <c r="C564">
        <v>4</v>
      </c>
      <c r="D564">
        <f>VALUE(RIGHT(Sim_Output[[#This Row],[OUTPUT]],LEN(Sim_Output[[#This Row],[OUTPUT]])-6))</f>
        <v>1</v>
      </c>
      <c r="E564">
        <v>2</v>
      </c>
      <c r="F564" t="str">
        <f>Sim_Output[[#This Row],[SIM_ID]]&amp;" - "&amp;Sim_Output[[#This Row],[WEEK]]&amp;" - "&amp;Sim_Output[[#This Row],[REGIME]]</f>
        <v>5 - 4 - 2</v>
      </c>
      <c r="G564" t="s">
        <v>45</v>
      </c>
      <c r="H564">
        <v>82</v>
      </c>
      <c r="I564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564" s="7">
        <f>Sim_Output[[#This Row],[VALUE]]/SUMIFS(Sim_Output[VALUE],Sim_Output[SIM_ID],Sim_Output[[#This Row],[SIM_ID]],Sim_Output[WEEK],Sim_Output[[#This Row],[WEEK]],Sim_Output[OUTPUT],"PRICE_0")-1</f>
        <v>-0.14583333333333337</v>
      </c>
      <c r="K564" s="4">
        <f ca="1">IF(Sim_Output[[#This Row],[OUTPUT]]="PRICE_0",0,_xlfn.RANK.EQ(Sim_Output[[#This Row],[WTD_RET]],OFFSET(Sim_Output[[#This Row],[WTD_RET]],-Sim_Output[[#This Row],[OBS]]+1,0,12)))</f>
        <v>1</v>
      </c>
      <c r="L564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1.5684616115239851</v>
      </c>
      <c r="M564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1</v>
      </c>
      <c r="N564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-0.14583333333333337</v>
      </c>
    </row>
    <row r="565" spans="2:14" x14ac:dyDescent="0.25">
      <c r="B565">
        <v>5</v>
      </c>
      <c r="C565">
        <v>4</v>
      </c>
      <c r="D565">
        <f>VALUE(RIGHT(Sim_Output[[#This Row],[OUTPUT]],LEN(Sim_Output[[#This Row],[OUTPUT]])-6))</f>
        <v>2</v>
      </c>
      <c r="E565">
        <v>2</v>
      </c>
      <c r="F565" t="str">
        <f>Sim_Output[[#This Row],[SIM_ID]]&amp;" - "&amp;Sim_Output[[#This Row],[WEEK]]&amp;" - "&amp;Sim_Output[[#This Row],[REGIME]]</f>
        <v>5 - 4 - 2</v>
      </c>
      <c r="G565" t="s">
        <v>46</v>
      </c>
      <c r="H565">
        <v>78</v>
      </c>
      <c r="I565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565" s="7">
        <f>Sim_Output[[#This Row],[VALUE]]/SUMIFS(Sim_Output[VALUE],Sim_Output[SIM_ID],Sim_Output[[#This Row],[SIM_ID]],Sim_Output[WEEK],Sim_Output[[#This Row],[WEEK]],Sim_Output[OUTPUT],"PRICE_0")-1</f>
        <v>-0.1875</v>
      </c>
      <c r="K565" s="4">
        <f ca="1">IF(Sim_Output[[#This Row],[OUTPUT]]="PRICE_0",0,_xlfn.RANK.EQ(Sim_Output[[#This Row],[WTD_RET]],OFFSET(Sim_Output[[#This Row],[WTD_RET]],-Sim_Output[[#This Row],[OBS]]+1,0,12)))</f>
        <v>2</v>
      </c>
      <c r="L565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1.2885874206200774</v>
      </c>
      <c r="M565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0.90909090909090917</v>
      </c>
      <c r="N565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-4.8780487804878092E-2</v>
      </c>
    </row>
    <row r="566" spans="2:14" x14ac:dyDescent="0.25">
      <c r="B566">
        <v>5</v>
      </c>
      <c r="C566">
        <v>4</v>
      </c>
      <c r="D566">
        <f>VALUE(RIGHT(Sim_Output[[#This Row],[OUTPUT]],LEN(Sim_Output[[#This Row],[OUTPUT]])-6))</f>
        <v>3</v>
      </c>
      <c r="E566">
        <v>2</v>
      </c>
      <c r="F566" t="str">
        <f>Sim_Output[[#This Row],[SIM_ID]]&amp;" - "&amp;Sim_Output[[#This Row],[WEEK]]&amp;" - "&amp;Sim_Output[[#This Row],[REGIME]]</f>
        <v>5 - 4 - 2</v>
      </c>
      <c r="G566" t="s">
        <v>47</v>
      </c>
      <c r="H566">
        <v>73</v>
      </c>
      <c r="I566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566" s="7">
        <f>Sim_Output[[#This Row],[VALUE]]/SUMIFS(Sim_Output[VALUE],Sim_Output[SIM_ID],Sim_Output[[#This Row],[SIM_ID]],Sim_Output[WEEK],Sim_Output[[#This Row],[WEEK]],Sim_Output[OUTPUT],"PRICE_0")-1</f>
        <v>-0.23958333333333337</v>
      </c>
      <c r="K566" s="4">
        <f ca="1">IF(Sim_Output[[#This Row],[OUTPUT]]="PRICE_0",0,_xlfn.RANK.EQ(Sim_Output[[#This Row],[WTD_RET]],OFFSET(Sim_Output[[#This Row],[WTD_RET]],-Sim_Output[[#This Row],[OBS]]+1,0,12)))</f>
        <v>3</v>
      </c>
      <c r="L566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0.9387446819901919</v>
      </c>
      <c r="M566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0.79545454545454553</v>
      </c>
      <c r="N566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-6.4102564102564097E-2</v>
      </c>
    </row>
    <row r="567" spans="2:14" x14ac:dyDescent="0.25">
      <c r="B567">
        <v>5</v>
      </c>
      <c r="C567">
        <v>4</v>
      </c>
      <c r="D567">
        <f>VALUE(RIGHT(Sim_Output[[#This Row],[OUTPUT]],LEN(Sim_Output[[#This Row],[OUTPUT]])-6))</f>
        <v>4</v>
      </c>
      <c r="E567">
        <v>2</v>
      </c>
      <c r="F567" t="str">
        <f>Sim_Output[[#This Row],[SIM_ID]]&amp;" - "&amp;Sim_Output[[#This Row],[WEEK]]&amp;" - "&amp;Sim_Output[[#This Row],[REGIME]]</f>
        <v>5 - 4 - 2</v>
      </c>
      <c r="G567" t="s">
        <v>48</v>
      </c>
      <c r="H567">
        <v>69</v>
      </c>
      <c r="I567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567" s="7">
        <f>Sim_Output[[#This Row],[VALUE]]/SUMIFS(Sim_Output[VALUE],Sim_Output[SIM_ID],Sim_Output[[#This Row],[SIM_ID]],Sim_Output[WEEK],Sim_Output[[#This Row],[WEEK]],Sim_Output[OUTPUT],"PRICE_0")-1</f>
        <v>-0.28125</v>
      </c>
      <c r="K567" s="4">
        <f ca="1">IF(Sim_Output[[#This Row],[OUTPUT]]="PRICE_0",0,_xlfn.RANK.EQ(Sim_Output[[#This Row],[WTD_RET]],OFFSET(Sim_Output[[#This Row],[WTD_RET]],-Sim_Output[[#This Row],[OBS]]+1,0,12)))</f>
        <v>4</v>
      </c>
      <c r="L567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0.65887049108628404</v>
      </c>
      <c r="M567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0.7045454545454547</v>
      </c>
      <c r="N567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-5.4794520547945202E-2</v>
      </c>
    </row>
    <row r="568" spans="2:14" x14ac:dyDescent="0.25">
      <c r="B568">
        <v>5</v>
      </c>
      <c r="C568">
        <v>4</v>
      </c>
      <c r="D568">
        <f>VALUE(RIGHT(Sim_Output[[#This Row],[OUTPUT]],LEN(Sim_Output[[#This Row],[OUTPUT]])-6))</f>
        <v>5</v>
      </c>
      <c r="E568">
        <v>2</v>
      </c>
      <c r="F568" t="str">
        <f>Sim_Output[[#This Row],[SIM_ID]]&amp;" - "&amp;Sim_Output[[#This Row],[WEEK]]&amp;" - "&amp;Sim_Output[[#This Row],[REGIME]]</f>
        <v>5 - 4 - 2</v>
      </c>
      <c r="G568" t="s">
        <v>49</v>
      </c>
      <c r="H568">
        <v>65</v>
      </c>
      <c r="I568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568" s="7">
        <f>Sim_Output[[#This Row],[VALUE]]/SUMIFS(Sim_Output[VALUE],Sim_Output[SIM_ID],Sim_Output[[#This Row],[SIM_ID]],Sim_Output[WEEK],Sim_Output[[#This Row],[WEEK]],Sim_Output[OUTPUT],"PRICE_0")-1</f>
        <v>-0.32291666666666663</v>
      </c>
      <c r="K568" s="4">
        <f ca="1">IF(Sim_Output[[#This Row],[OUTPUT]]="PRICE_0",0,_xlfn.RANK.EQ(Sim_Output[[#This Row],[WTD_RET]],OFFSET(Sim_Output[[#This Row],[WTD_RET]],-Sim_Output[[#This Row],[OBS]]+1,0,12)))</f>
        <v>5</v>
      </c>
      <c r="L568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0.37899630018237623</v>
      </c>
      <c r="M568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0.61363636363636387</v>
      </c>
      <c r="N568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-5.7971014492753659E-2</v>
      </c>
    </row>
    <row r="569" spans="2:14" x14ac:dyDescent="0.25">
      <c r="B569">
        <v>5</v>
      </c>
      <c r="C569">
        <v>4</v>
      </c>
      <c r="D569">
        <f>VALUE(RIGHT(Sim_Output[[#This Row],[OUTPUT]],LEN(Sim_Output[[#This Row],[OUTPUT]])-6))</f>
        <v>6</v>
      </c>
      <c r="E569">
        <v>2</v>
      </c>
      <c r="F569" t="str">
        <f>Sim_Output[[#This Row],[SIM_ID]]&amp;" - "&amp;Sim_Output[[#This Row],[WEEK]]&amp;" - "&amp;Sim_Output[[#This Row],[REGIME]]</f>
        <v>5 - 4 - 2</v>
      </c>
      <c r="G569" t="s">
        <v>50</v>
      </c>
      <c r="H569">
        <v>61</v>
      </c>
      <c r="I569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569" s="7">
        <f>Sim_Output[[#This Row],[VALUE]]/SUMIFS(Sim_Output[VALUE],Sim_Output[SIM_ID],Sim_Output[[#This Row],[SIM_ID]],Sim_Output[WEEK],Sim_Output[[#This Row],[WEEK]],Sim_Output[OUTPUT],"PRICE_0")-1</f>
        <v>-0.36458333333333337</v>
      </c>
      <c r="K569" s="4">
        <f ca="1">IF(Sim_Output[[#This Row],[OUTPUT]]="PRICE_0",0,_xlfn.RANK.EQ(Sim_Output[[#This Row],[WTD_RET]],OFFSET(Sim_Output[[#This Row],[WTD_RET]],-Sim_Output[[#This Row],[OBS]]+1,0,12)))</f>
        <v>6</v>
      </c>
      <c r="L569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9.9122109278467652E-2</v>
      </c>
      <c r="M569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0.52272727272727282</v>
      </c>
      <c r="N569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-6.1538461538461542E-2</v>
      </c>
    </row>
    <row r="570" spans="2:14" x14ac:dyDescent="0.25">
      <c r="B570">
        <v>5</v>
      </c>
      <c r="C570">
        <v>4</v>
      </c>
      <c r="D570">
        <f>VALUE(RIGHT(Sim_Output[[#This Row],[OUTPUT]],LEN(Sim_Output[[#This Row],[OUTPUT]])-6))</f>
        <v>7</v>
      </c>
      <c r="E570">
        <v>2</v>
      </c>
      <c r="F570" t="str">
        <f>Sim_Output[[#This Row],[SIM_ID]]&amp;" - "&amp;Sim_Output[[#This Row],[WEEK]]&amp;" - "&amp;Sim_Output[[#This Row],[REGIME]]</f>
        <v>5 - 4 - 2</v>
      </c>
      <c r="G570" t="s">
        <v>51</v>
      </c>
      <c r="H570">
        <v>58</v>
      </c>
      <c r="I570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570" s="7">
        <f>Sim_Output[[#This Row],[VALUE]]/SUMIFS(Sim_Output[VALUE],Sim_Output[SIM_ID],Sim_Output[[#This Row],[SIM_ID]],Sim_Output[WEEK],Sim_Output[[#This Row],[WEEK]],Sim_Output[OUTPUT],"PRICE_0")-1</f>
        <v>-0.39583333333333337</v>
      </c>
      <c r="K570" s="4">
        <f ca="1">IF(Sim_Output[[#This Row],[OUTPUT]]="PRICE_0",0,_xlfn.RANK.EQ(Sim_Output[[#This Row],[WTD_RET]],OFFSET(Sim_Output[[#This Row],[WTD_RET]],-Sim_Output[[#This Row],[OBS]]+1,0,12)))</f>
        <v>7</v>
      </c>
      <c r="L570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-0.11078353389946341</v>
      </c>
      <c r="M570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0.45454545454545459</v>
      </c>
      <c r="N570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-4.9180327868852514E-2</v>
      </c>
    </row>
    <row r="571" spans="2:14" x14ac:dyDescent="0.25">
      <c r="B571">
        <v>5</v>
      </c>
      <c r="C571">
        <v>4</v>
      </c>
      <c r="D571">
        <f>VALUE(RIGHT(Sim_Output[[#This Row],[OUTPUT]],LEN(Sim_Output[[#This Row],[OUTPUT]])-6))</f>
        <v>8</v>
      </c>
      <c r="E571">
        <v>2</v>
      </c>
      <c r="F571" t="str">
        <f>Sim_Output[[#This Row],[SIM_ID]]&amp;" - "&amp;Sim_Output[[#This Row],[WEEK]]&amp;" - "&amp;Sim_Output[[#This Row],[REGIME]]</f>
        <v>5 - 4 - 2</v>
      </c>
      <c r="G571" t="s">
        <v>52</v>
      </c>
      <c r="H571">
        <v>54</v>
      </c>
      <c r="I571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571" s="7">
        <f>Sim_Output[[#This Row],[VALUE]]/SUMIFS(Sim_Output[VALUE],Sim_Output[SIM_ID],Sim_Output[[#This Row],[SIM_ID]],Sim_Output[WEEK],Sim_Output[[#This Row],[WEEK]],Sim_Output[OUTPUT],"PRICE_0")-1</f>
        <v>-0.4375</v>
      </c>
      <c r="K571" s="4">
        <f ca="1">IF(Sim_Output[[#This Row],[OUTPUT]]="PRICE_0",0,_xlfn.RANK.EQ(Sim_Output[[#This Row],[WTD_RET]],OFFSET(Sim_Output[[#This Row],[WTD_RET]],-Sim_Output[[#This Row],[OBS]]+1,0,12)))</f>
        <v>8</v>
      </c>
      <c r="L571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-0.39065772480337124</v>
      </c>
      <c r="M571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0.36363636363636376</v>
      </c>
      <c r="N571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-6.8965517241379337E-2</v>
      </c>
    </row>
    <row r="572" spans="2:14" x14ac:dyDescent="0.25">
      <c r="B572">
        <v>5</v>
      </c>
      <c r="C572">
        <v>4</v>
      </c>
      <c r="D572">
        <f>VALUE(RIGHT(Sim_Output[[#This Row],[OUTPUT]],LEN(Sim_Output[[#This Row],[OUTPUT]])-6))</f>
        <v>9</v>
      </c>
      <c r="E572">
        <v>2</v>
      </c>
      <c r="F572" t="str">
        <f>Sim_Output[[#This Row],[SIM_ID]]&amp;" - "&amp;Sim_Output[[#This Row],[WEEK]]&amp;" - "&amp;Sim_Output[[#This Row],[REGIME]]</f>
        <v>5 - 4 - 2</v>
      </c>
      <c r="G572" t="s">
        <v>53</v>
      </c>
      <c r="H572">
        <v>49</v>
      </c>
      <c r="I572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572" s="7">
        <f>Sim_Output[[#This Row],[VALUE]]/SUMIFS(Sim_Output[VALUE],Sim_Output[SIM_ID],Sim_Output[[#This Row],[SIM_ID]],Sim_Output[WEEK],Sim_Output[[#This Row],[WEEK]],Sim_Output[OUTPUT],"PRICE_0")-1</f>
        <v>-0.48958333333333337</v>
      </c>
      <c r="K572" s="4">
        <f ca="1">IF(Sim_Output[[#This Row],[OUTPUT]]="PRICE_0",0,_xlfn.RANK.EQ(Sim_Output[[#This Row],[WTD_RET]],OFFSET(Sim_Output[[#This Row],[WTD_RET]],-Sim_Output[[#This Row],[OBS]]+1,0,12)))</f>
        <v>9</v>
      </c>
      <c r="L572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-0.74050046343325659</v>
      </c>
      <c r="M572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0.25000000000000006</v>
      </c>
      <c r="N572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-9.259259259259256E-2</v>
      </c>
    </row>
    <row r="573" spans="2:14" x14ac:dyDescent="0.25">
      <c r="B573">
        <v>5</v>
      </c>
      <c r="C573">
        <v>4</v>
      </c>
      <c r="D573">
        <f>VALUE(RIGHT(Sim_Output[[#This Row],[OUTPUT]],LEN(Sim_Output[[#This Row],[OUTPUT]])-6))</f>
        <v>10</v>
      </c>
      <c r="E573">
        <v>2</v>
      </c>
      <c r="F573" t="str">
        <f>Sim_Output[[#This Row],[SIM_ID]]&amp;" - "&amp;Sim_Output[[#This Row],[WEEK]]&amp;" - "&amp;Sim_Output[[#This Row],[REGIME]]</f>
        <v>5 - 4 - 2</v>
      </c>
      <c r="G573" t="s">
        <v>54</v>
      </c>
      <c r="H573">
        <v>46</v>
      </c>
      <c r="I573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573" s="7">
        <f>Sim_Output[[#This Row],[VALUE]]/SUMIFS(Sim_Output[VALUE],Sim_Output[SIM_ID],Sim_Output[[#This Row],[SIM_ID]],Sim_Output[WEEK],Sim_Output[[#This Row],[WEEK]],Sim_Output[OUTPUT],"PRICE_0")-1</f>
        <v>-0.52083333333333326</v>
      </c>
      <c r="K573" s="4">
        <f ca="1">IF(Sim_Output[[#This Row],[OUTPUT]]="PRICE_0",0,_xlfn.RANK.EQ(Sim_Output[[#This Row],[WTD_RET]],OFFSET(Sim_Output[[#This Row],[WTD_RET]],-Sim_Output[[#This Row],[OBS]]+1,0,12)))</f>
        <v>10</v>
      </c>
      <c r="L573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-0.95040610661118696</v>
      </c>
      <c r="M573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0.18181818181818213</v>
      </c>
      <c r="N573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-6.1224489795918324E-2</v>
      </c>
    </row>
    <row r="574" spans="2:14" x14ac:dyDescent="0.25">
      <c r="B574">
        <v>5</v>
      </c>
      <c r="C574">
        <v>4</v>
      </c>
      <c r="D574">
        <f>VALUE(RIGHT(Sim_Output[[#This Row],[OUTPUT]],LEN(Sim_Output[[#This Row],[OUTPUT]])-6))</f>
        <v>11</v>
      </c>
      <c r="E574">
        <v>2</v>
      </c>
      <c r="F574" t="str">
        <f>Sim_Output[[#This Row],[SIM_ID]]&amp;" - "&amp;Sim_Output[[#This Row],[WEEK]]&amp;" - "&amp;Sim_Output[[#This Row],[REGIME]]</f>
        <v>5 - 4 - 2</v>
      </c>
      <c r="G574" t="s">
        <v>55</v>
      </c>
      <c r="H574">
        <v>42</v>
      </c>
      <c r="I574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574" s="7">
        <f>Sim_Output[[#This Row],[VALUE]]/SUMIFS(Sim_Output[VALUE],Sim_Output[SIM_ID],Sim_Output[[#This Row],[SIM_ID]],Sim_Output[WEEK],Sim_Output[[#This Row],[WEEK]],Sim_Output[OUTPUT],"PRICE_0")-1</f>
        <v>-0.5625</v>
      </c>
      <c r="K574" s="4">
        <f ca="1">IF(Sim_Output[[#This Row],[OUTPUT]]="PRICE_0",0,_xlfn.RANK.EQ(Sim_Output[[#This Row],[WTD_RET]],OFFSET(Sim_Output[[#This Row],[WTD_RET]],-Sim_Output[[#This Row],[OBS]]+1,0,12)))</f>
        <v>11</v>
      </c>
      <c r="L574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-1.2302802975150955</v>
      </c>
      <c r="M574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9.0909090909091064E-2</v>
      </c>
      <c r="N574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-8.6956521739130488E-2</v>
      </c>
    </row>
    <row r="575" spans="2:14" x14ac:dyDescent="0.25">
      <c r="B575">
        <v>5</v>
      </c>
      <c r="C575">
        <v>4</v>
      </c>
      <c r="D575">
        <f>VALUE(RIGHT(Sim_Output[[#This Row],[OUTPUT]],LEN(Sim_Output[[#This Row],[OUTPUT]])-6))</f>
        <v>12</v>
      </c>
      <c r="E575">
        <v>2</v>
      </c>
      <c r="F575" t="str">
        <f>Sim_Output[[#This Row],[SIM_ID]]&amp;" - "&amp;Sim_Output[[#This Row],[WEEK]]&amp;" - "&amp;Sim_Output[[#This Row],[REGIME]]</f>
        <v>5 - 4 - 2</v>
      </c>
      <c r="G575" t="s">
        <v>56</v>
      </c>
      <c r="H575">
        <v>38</v>
      </c>
      <c r="I575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575" s="7">
        <f>Sim_Output[[#This Row],[VALUE]]/SUMIFS(Sim_Output[VALUE],Sim_Output[SIM_ID],Sim_Output[[#This Row],[SIM_ID]],Sim_Output[WEEK],Sim_Output[[#This Row],[WEEK]],Sim_Output[OUTPUT],"PRICE_0")-1</f>
        <v>-0.60416666666666674</v>
      </c>
      <c r="K575" s="4">
        <f ca="1">IF(Sim_Output[[#This Row],[OUTPUT]]="PRICE_0",0,_xlfn.RANK.EQ(Sim_Output[[#This Row],[WTD_RET]],OFFSET(Sim_Output[[#This Row],[WTD_RET]],-Sim_Output[[#This Row],[OBS]]+1,0,12)))</f>
        <v>12</v>
      </c>
      <c r="L575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-1.5101544884190041</v>
      </c>
      <c r="M575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</v>
      </c>
      <c r="N575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-9.5238095238095233E-2</v>
      </c>
    </row>
    <row r="576" spans="2:14" x14ac:dyDescent="0.25">
      <c r="B576">
        <v>5</v>
      </c>
      <c r="C576">
        <v>5</v>
      </c>
      <c r="D576">
        <f>VALUE(RIGHT(Sim_Output[[#This Row],[OUTPUT]],LEN(Sim_Output[[#This Row],[OUTPUT]])-6))</f>
        <v>0</v>
      </c>
      <c r="E576">
        <v>0</v>
      </c>
      <c r="F576" t="str">
        <f>Sim_Output[[#This Row],[SIM_ID]]&amp;" - "&amp;Sim_Output[[#This Row],[WEEK]]&amp;" - "&amp;Sim_Output[[#This Row],[REGIME]]</f>
        <v>5 - 5 - 0</v>
      </c>
      <c r="G576" t="s">
        <v>44</v>
      </c>
      <c r="H576">
        <v>90</v>
      </c>
      <c r="I576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576" s="7">
        <f>Sim_Output[[#This Row],[VALUE]]/SUMIFS(Sim_Output[VALUE],Sim_Output[SIM_ID],Sim_Output[[#This Row],[SIM_ID]],Sim_Output[WEEK],Sim_Output[[#This Row],[WEEK]],Sim_Output[OUTPUT],"PRICE_0")-1</f>
        <v>0</v>
      </c>
      <c r="K576" s="4">
        <f ca="1">IF(Sim_Output[[#This Row],[OUTPUT]]="PRICE_0",0,_xlfn.RANK.EQ(Sim_Output[[#This Row],[WTD_RET]],OFFSET(Sim_Output[[#This Row],[WTD_RET]],-Sim_Output[[#This Row],[OBS]]+1,0,12)))</f>
        <v>0</v>
      </c>
      <c r="L576" s="3" t="str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/>
      </c>
      <c r="M576" s="3" t="str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/>
      </c>
      <c r="N576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</v>
      </c>
    </row>
    <row r="577" spans="2:14" x14ac:dyDescent="0.25">
      <c r="B577">
        <v>5</v>
      </c>
      <c r="C577">
        <v>5</v>
      </c>
      <c r="D577">
        <f>VALUE(RIGHT(Sim_Output[[#This Row],[OUTPUT]],LEN(Sim_Output[[#This Row],[OUTPUT]])-6))</f>
        <v>1</v>
      </c>
      <c r="E577">
        <v>0</v>
      </c>
      <c r="F577" t="str">
        <f>Sim_Output[[#This Row],[SIM_ID]]&amp;" - "&amp;Sim_Output[[#This Row],[WEEK]]&amp;" - "&amp;Sim_Output[[#This Row],[REGIME]]</f>
        <v>5 - 5 - 0</v>
      </c>
      <c r="G577" t="s">
        <v>45</v>
      </c>
      <c r="H577">
        <v>69</v>
      </c>
      <c r="I577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577" s="7">
        <f>Sim_Output[[#This Row],[VALUE]]/SUMIFS(Sim_Output[VALUE],Sim_Output[SIM_ID],Sim_Output[[#This Row],[SIM_ID]],Sim_Output[WEEK],Sim_Output[[#This Row],[WEEK]],Sim_Output[OUTPUT],"PRICE_0")-1</f>
        <v>-0.23333333333333328</v>
      </c>
      <c r="K577" s="4">
        <f ca="1">IF(Sim_Output[[#This Row],[OUTPUT]]="PRICE_0",0,_xlfn.RANK.EQ(Sim_Output[[#This Row],[WTD_RET]],OFFSET(Sim_Output[[#This Row],[WTD_RET]],-Sim_Output[[#This Row],[OBS]]+1,0,12)))</f>
        <v>8</v>
      </c>
      <c r="L577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-0.74229863374101868</v>
      </c>
      <c r="M577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0.2166666666666667</v>
      </c>
      <c r="N577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-0.23333333333333328</v>
      </c>
    </row>
    <row r="578" spans="2:14" x14ac:dyDescent="0.25">
      <c r="B578">
        <v>5</v>
      </c>
      <c r="C578">
        <v>5</v>
      </c>
      <c r="D578">
        <f>VALUE(RIGHT(Sim_Output[[#This Row],[OUTPUT]],LEN(Sim_Output[[#This Row],[OUTPUT]])-6))</f>
        <v>2</v>
      </c>
      <c r="E578">
        <v>0</v>
      </c>
      <c r="F578" t="str">
        <f>Sim_Output[[#This Row],[SIM_ID]]&amp;" - "&amp;Sim_Output[[#This Row],[WEEK]]&amp;" - "&amp;Sim_Output[[#This Row],[REGIME]]</f>
        <v>5 - 5 - 0</v>
      </c>
      <c r="G578" t="s">
        <v>46</v>
      </c>
      <c r="H578">
        <v>64</v>
      </c>
      <c r="I578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578" s="7">
        <f>Sim_Output[[#This Row],[VALUE]]/SUMIFS(Sim_Output[VALUE],Sim_Output[SIM_ID],Sim_Output[[#This Row],[SIM_ID]],Sim_Output[WEEK],Sim_Output[[#This Row],[WEEK]],Sim_Output[OUTPUT],"PRICE_0")-1</f>
        <v>-0.28888888888888886</v>
      </c>
      <c r="K578" s="4">
        <f ca="1">IF(Sim_Output[[#This Row],[OUTPUT]]="PRICE_0",0,_xlfn.RANK.EQ(Sim_Output[[#This Row],[WTD_RET]],OFFSET(Sim_Output[[#This Row],[WTD_RET]],-Sim_Output[[#This Row],[OBS]]+1,0,12)))</f>
        <v>10</v>
      </c>
      <c r="L578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-0.97187553077432354</v>
      </c>
      <c r="M578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0.13333333333333333</v>
      </c>
      <c r="N578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-7.2463768115942018E-2</v>
      </c>
    </row>
    <row r="579" spans="2:14" x14ac:dyDescent="0.25">
      <c r="B579">
        <v>5</v>
      </c>
      <c r="C579">
        <v>5</v>
      </c>
      <c r="D579">
        <f>VALUE(RIGHT(Sim_Output[[#This Row],[OUTPUT]],LEN(Sim_Output[[#This Row],[OUTPUT]])-6))</f>
        <v>3</v>
      </c>
      <c r="E579">
        <v>0</v>
      </c>
      <c r="F579" t="str">
        <f>Sim_Output[[#This Row],[SIM_ID]]&amp;" - "&amp;Sim_Output[[#This Row],[WEEK]]&amp;" - "&amp;Sim_Output[[#This Row],[REGIME]]</f>
        <v>5 - 5 - 0</v>
      </c>
      <c r="G579" t="s">
        <v>47</v>
      </c>
      <c r="H579">
        <v>56</v>
      </c>
      <c r="I579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579" s="7">
        <f>Sim_Output[[#This Row],[VALUE]]/SUMIFS(Sim_Output[VALUE],Sim_Output[SIM_ID],Sim_Output[[#This Row],[SIM_ID]],Sim_Output[WEEK],Sim_Output[[#This Row],[WEEK]],Sim_Output[OUTPUT],"PRICE_0")-1</f>
        <v>-0.37777777777777777</v>
      </c>
      <c r="K579" s="4">
        <f ca="1">IF(Sim_Output[[#This Row],[OUTPUT]]="PRICE_0",0,_xlfn.RANK.EQ(Sim_Output[[#This Row],[WTD_RET]],OFFSET(Sim_Output[[#This Row],[WTD_RET]],-Sim_Output[[#This Row],[OBS]]+1,0,12)))</f>
        <v>12</v>
      </c>
      <c r="L579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-1.3391985660276113</v>
      </c>
      <c r="M579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</v>
      </c>
      <c r="N579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-0.125</v>
      </c>
    </row>
    <row r="580" spans="2:14" x14ac:dyDescent="0.25">
      <c r="B580">
        <v>5</v>
      </c>
      <c r="C580">
        <v>5</v>
      </c>
      <c r="D580">
        <f>VALUE(RIGHT(Sim_Output[[#This Row],[OUTPUT]],LEN(Sim_Output[[#This Row],[OUTPUT]])-6))</f>
        <v>4</v>
      </c>
      <c r="E580">
        <v>0</v>
      </c>
      <c r="F580" t="str">
        <f>Sim_Output[[#This Row],[SIM_ID]]&amp;" - "&amp;Sim_Output[[#This Row],[WEEK]]&amp;" - "&amp;Sim_Output[[#This Row],[REGIME]]</f>
        <v>5 - 5 - 0</v>
      </c>
      <c r="G580" t="s">
        <v>48</v>
      </c>
      <c r="H580">
        <v>84</v>
      </c>
      <c r="I580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580" s="7">
        <f>Sim_Output[[#This Row],[VALUE]]/SUMIFS(Sim_Output[VALUE],Sim_Output[SIM_ID],Sim_Output[[#This Row],[SIM_ID]],Sim_Output[WEEK],Sim_Output[[#This Row],[WEEK]],Sim_Output[OUTPUT],"PRICE_0")-1</f>
        <v>-6.6666666666666652E-2</v>
      </c>
      <c r="K580" s="4">
        <f ca="1">IF(Sim_Output[[#This Row],[OUTPUT]]="PRICE_0",0,_xlfn.RANK.EQ(Sim_Output[[#This Row],[WTD_RET]],OFFSET(Sim_Output[[#This Row],[WTD_RET]],-Sim_Output[[#This Row],[OBS]]+1,0,12)))</f>
        <v>7</v>
      </c>
      <c r="L580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-5.3567942641104441E-2</v>
      </c>
      <c r="M580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0.46666666666666662</v>
      </c>
      <c r="N580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0.5</v>
      </c>
    </row>
    <row r="581" spans="2:14" x14ac:dyDescent="0.25">
      <c r="B581">
        <v>5</v>
      </c>
      <c r="C581">
        <v>5</v>
      </c>
      <c r="D581">
        <f>VALUE(RIGHT(Sim_Output[[#This Row],[OUTPUT]],LEN(Sim_Output[[#This Row],[OUTPUT]])-6))</f>
        <v>5</v>
      </c>
      <c r="E581">
        <v>0</v>
      </c>
      <c r="F581" t="str">
        <f>Sim_Output[[#This Row],[SIM_ID]]&amp;" - "&amp;Sim_Output[[#This Row],[WEEK]]&amp;" - "&amp;Sim_Output[[#This Row],[REGIME]]</f>
        <v>5 - 5 - 0</v>
      </c>
      <c r="G581" t="s">
        <v>49</v>
      </c>
      <c r="H581">
        <v>115</v>
      </c>
      <c r="I581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581" s="7">
        <f>Sim_Output[[#This Row],[VALUE]]/SUMIFS(Sim_Output[VALUE],Sim_Output[SIM_ID],Sim_Output[[#This Row],[SIM_ID]],Sim_Output[WEEK],Sim_Output[[#This Row],[WEEK]],Sim_Output[OUTPUT],"PRICE_0")-1</f>
        <v>0.27777777777777768</v>
      </c>
      <c r="K581" s="4">
        <f ca="1">IF(Sim_Output[[#This Row],[OUTPUT]]="PRICE_0",0,_xlfn.RANK.EQ(Sim_Output[[#This Row],[WTD_RET]],OFFSET(Sim_Output[[#This Row],[WTD_RET]],-Sim_Output[[#This Row],[OBS]]+1,0,12)))</f>
        <v>3</v>
      </c>
      <c r="L581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1.3698088189653848</v>
      </c>
      <c r="M581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0.98333333333333306</v>
      </c>
      <c r="N581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0.36904761904761907</v>
      </c>
    </row>
    <row r="582" spans="2:14" x14ac:dyDescent="0.25">
      <c r="B582">
        <v>5</v>
      </c>
      <c r="C582">
        <v>5</v>
      </c>
      <c r="D582">
        <f>VALUE(RIGHT(Sim_Output[[#This Row],[OUTPUT]],LEN(Sim_Output[[#This Row],[OUTPUT]])-6))</f>
        <v>6</v>
      </c>
      <c r="E582">
        <v>0</v>
      </c>
      <c r="F582" t="str">
        <f>Sim_Output[[#This Row],[SIM_ID]]&amp;" - "&amp;Sim_Output[[#This Row],[WEEK]]&amp;" - "&amp;Sim_Output[[#This Row],[REGIME]]</f>
        <v>5 - 5 - 0</v>
      </c>
      <c r="G582" t="s">
        <v>50</v>
      </c>
      <c r="H582">
        <v>85</v>
      </c>
      <c r="I582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582" s="7">
        <f>Sim_Output[[#This Row],[VALUE]]/SUMIFS(Sim_Output[VALUE],Sim_Output[SIM_ID],Sim_Output[[#This Row],[SIM_ID]],Sim_Output[WEEK],Sim_Output[[#This Row],[WEEK]],Sim_Output[OUTPUT],"PRICE_0")-1</f>
        <v>-5.555555555555558E-2</v>
      </c>
      <c r="K582" s="4">
        <f ca="1">IF(Sim_Output[[#This Row],[OUTPUT]]="PRICE_0",0,_xlfn.RANK.EQ(Sim_Output[[#This Row],[WTD_RET]],OFFSET(Sim_Output[[#This Row],[WTD_RET]],-Sim_Output[[#This Row],[OBS]]+1,0,12)))</f>
        <v>6</v>
      </c>
      <c r="L582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-7.6525632344436479E-3</v>
      </c>
      <c r="M582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0.48333333333333323</v>
      </c>
      <c r="N582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-0.26086956521739135</v>
      </c>
    </row>
    <row r="583" spans="2:14" x14ac:dyDescent="0.25">
      <c r="B583">
        <v>5</v>
      </c>
      <c r="C583">
        <v>5</v>
      </c>
      <c r="D583">
        <f>VALUE(RIGHT(Sim_Output[[#This Row],[OUTPUT]],LEN(Sim_Output[[#This Row],[OUTPUT]])-6))</f>
        <v>7</v>
      </c>
      <c r="E583">
        <v>0</v>
      </c>
      <c r="F583" t="str">
        <f>Sim_Output[[#This Row],[SIM_ID]]&amp;" - "&amp;Sim_Output[[#This Row],[WEEK]]&amp;" - "&amp;Sim_Output[[#This Row],[REGIME]]</f>
        <v>5 - 5 - 0</v>
      </c>
      <c r="G583" t="s">
        <v>51</v>
      </c>
      <c r="H583">
        <v>91</v>
      </c>
      <c r="I583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583" s="7">
        <f>Sim_Output[[#This Row],[VALUE]]/SUMIFS(Sim_Output[VALUE],Sim_Output[SIM_ID],Sim_Output[[#This Row],[SIM_ID]],Sim_Output[WEEK],Sim_Output[[#This Row],[WEEK]],Sim_Output[OUTPUT],"PRICE_0")-1</f>
        <v>1.1111111111111072E-2</v>
      </c>
      <c r="K583" s="4">
        <f ca="1">IF(Sim_Output[[#This Row],[OUTPUT]]="PRICE_0",0,_xlfn.RANK.EQ(Sim_Output[[#This Row],[WTD_RET]],OFFSET(Sim_Output[[#This Row],[WTD_RET]],-Sim_Output[[#This Row],[OBS]]+1,0,12)))</f>
        <v>5</v>
      </c>
      <c r="L583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0.26783971320552208</v>
      </c>
      <c r="M583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0.58333333333333315</v>
      </c>
      <c r="N583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7.0588235294117618E-2</v>
      </c>
    </row>
    <row r="584" spans="2:14" x14ac:dyDescent="0.25">
      <c r="B584">
        <v>5</v>
      </c>
      <c r="C584">
        <v>5</v>
      </c>
      <c r="D584">
        <f>VALUE(RIGHT(Sim_Output[[#This Row],[OUTPUT]],LEN(Sim_Output[[#This Row],[OUTPUT]])-6))</f>
        <v>8</v>
      </c>
      <c r="E584">
        <v>0</v>
      </c>
      <c r="F584" t="str">
        <f>Sim_Output[[#This Row],[SIM_ID]]&amp;" - "&amp;Sim_Output[[#This Row],[WEEK]]&amp;" - "&amp;Sim_Output[[#This Row],[REGIME]]</f>
        <v>5 - 5 - 0</v>
      </c>
      <c r="G584" t="s">
        <v>52</v>
      </c>
      <c r="H584">
        <v>116</v>
      </c>
      <c r="I584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584" s="7">
        <f>Sim_Output[[#This Row],[VALUE]]/SUMIFS(Sim_Output[VALUE],Sim_Output[SIM_ID],Sim_Output[[#This Row],[SIM_ID]],Sim_Output[WEEK],Sim_Output[[#This Row],[WEEK]],Sim_Output[OUTPUT],"PRICE_0")-1</f>
        <v>0.28888888888888897</v>
      </c>
      <c r="K584" s="4">
        <f ca="1">IF(Sim_Output[[#This Row],[OUTPUT]]="PRICE_0",0,_xlfn.RANK.EQ(Sim_Output[[#This Row],[WTD_RET]],OFFSET(Sim_Output[[#This Row],[WTD_RET]],-Sim_Output[[#This Row],[OBS]]+1,0,12)))</f>
        <v>1</v>
      </c>
      <c r="L584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1.4157241983720465</v>
      </c>
      <c r="M584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1</v>
      </c>
      <c r="N584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0.27472527472527464</v>
      </c>
    </row>
    <row r="585" spans="2:14" x14ac:dyDescent="0.25">
      <c r="B585">
        <v>5</v>
      </c>
      <c r="C585">
        <v>5</v>
      </c>
      <c r="D585">
        <f>VALUE(RIGHT(Sim_Output[[#This Row],[OUTPUT]],LEN(Sim_Output[[#This Row],[OUTPUT]])-6))</f>
        <v>9</v>
      </c>
      <c r="E585">
        <v>0</v>
      </c>
      <c r="F585" t="str">
        <f>Sim_Output[[#This Row],[SIM_ID]]&amp;" - "&amp;Sim_Output[[#This Row],[WEEK]]&amp;" - "&amp;Sim_Output[[#This Row],[REGIME]]</f>
        <v>5 - 5 - 0</v>
      </c>
      <c r="G585" t="s">
        <v>53</v>
      </c>
      <c r="H585">
        <v>69</v>
      </c>
      <c r="I585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585" s="7">
        <f>Sim_Output[[#This Row],[VALUE]]/SUMIFS(Sim_Output[VALUE],Sim_Output[SIM_ID],Sim_Output[[#This Row],[SIM_ID]],Sim_Output[WEEK],Sim_Output[[#This Row],[WEEK]],Sim_Output[OUTPUT],"PRICE_0")-1</f>
        <v>-0.23333333333333328</v>
      </c>
      <c r="K585" s="4">
        <f ca="1">IF(Sim_Output[[#This Row],[OUTPUT]]="PRICE_0",0,_xlfn.RANK.EQ(Sim_Output[[#This Row],[WTD_RET]],OFFSET(Sim_Output[[#This Row],[WTD_RET]],-Sim_Output[[#This Row],[OBS]]+1,0,12)))</f>
        <v>8</v>
      </c>
      <c r="L585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-0.74229863374101868</v>
      </c>
      <c r="M585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0.2166666666666667</v>
      </c>
      <c r="N585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-0.40517241379310343</v>
      </c>
    </row>
    <row r="586" spans="2:14" x14ac:dyDescent="0.25">
      <c r="B586">
        <v>5</v>
      </c>
      <c r="C586">
        <v>5</v>
      </c>
      <c r="D586">
        <f>VALUE(RIGHT(Sim_Output[[#This Row],[OUTPUT]],LEN(Sim_Output[[#This Row],[OUTPUT]])-6))</f>
        <v>10</v>
      </c>
      <c r="E586">
        <v>0</v>
      </c>
      <c r="F586" t="str">
        <f>Sim_Output[[#This Row],[SIM_ID]]&amp;" - "&amp;Sim_Output[[#This Row],[WEEK]]&amp;" - "&amp;Sim_Output[[#This Row],[REGIME]]</f>
        <v>5 - 5 - 0</v>
      </c>
      <c r="G586" t="s">
        <v>54</v>
      </c>
      <c r="H586">
        <v>63</v>
      </c>
      <c r="I586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586" s="7">
        <f>Sim_Output[[#This Row],[VALUE]]/SUMIFS(Sim_Output[VALUE],Sim_Output[SIM_ID],Sim_Output[[#This Row],[SIM_ID]],Sim_Output[WEEK],Sim_Output[[#This Row],[WEEK]],Sim_Output[OUTPUT],"PRICE_0")-1</f>
        <v>-0.30000000000000004</v>
      </c>
      <c r="K586" s="4">
        <f ca="1">IF(Sim_Output[[#This Row],[OUTPUT]]="PRICE_0",0,_xlfn.RANK.EQ(Sim_Output[[#This Row],[WTD_RET]],OFFSET(Sim_Output[[#This Row],[WTD_RET]],-Sim_Output[[#This Row],[OBS]]+1,0,12)))</f>
        <v>11</v>
      </c>
      <c r="L586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-1.0177909101809848</v>
      </c>
      <c r="M586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0.11666666666666657</v>
      </c>
      <c r="N586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-8.6956521739130488E-2</v>
      </c>
    </row>
    <row r="587" spans="2:14" x14ac:dyDescent="0.25">
      <c r="B587">
        <v>5</v>
      </c>
      <c r="C587">
        <v>5</v>
      </c>
      <c r="D587">
        <f>VALUE(RIGHT(Sim_Output[[#This Row],[OUTPUT]],LEN(Sim_Output[[#This Row],[OUTPUT]])-6))</f>
        <v>11</v>
      </c>
      <c r="E587">
        <v>0</v>
      </c>
      <c r="F587" t="str">
        <f>Sim_Output[[#This Row],[SIM_ID]]&amp;" - "&amp;Sim_Output[[#This Row],[WEEK]]&amp;" - "&amp;Sim_Output[[#This Row],[REGIME]]</f>
        <v>5 - 5 - 0</v>
      </c>
      <c r="G587" t="s">
        <v>55</v>
      </c>
      <c r="H587">
        <v>116</v>
      </c>
      <c r="I587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587" s="7">
        <f>Sim_Output[[#This Row],[VALUE]]/SUMIFS(Sim_Output[VALUE],Sim_Output[SIM_ID],Sim_Output[[#This Row],[SIM_ID]],Sim_Output[WEEK],Sim_Output[[#This Row],[WEEK]],Sim_Output[OUTPUT],"PRICE_0")-1</f>
        <v>0.28888888888888897</v>
      </c>
      <c r="K587" s="4">
        <f ca="1">IF(Sim_Output[[#This Row],[OUTPUT]]="PRICE_0",0,_xlfn.RANK.EQ(Sim_Output[[#This Row],[WTD_RET]],OFFSET(Sim_Output[[#This Row],[WTD_RET]],-Sim_Output[[#This Row],[OBS]]+1,0,12)))</f>
        <v>1</v>
      </c>
      <c r="L587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1.4157241983720465</v>
      </c>
      <c r="M587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1</v>
      </c>
      <c r="N587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0.84126984126984117</v>
      </c>
    </row>
    <row r="588" spans="2:14" x14ac:dyDescent="0.25">
      <c r="B588">
        <v>5</v>
      </c>
      <c r="C588">
        <v>5</v>
      </c>
      <c r="D588">
        <f>VALUE(RIGHT(Sim_Output[[#This Row],[OUTPUT]],LEN(Sim_Output[[#This Row],[OUTPUT]])-6))</f>
        <v>12</v>
      </c>
      <c r="E588">
        <v>0</v>
      </c>
      <c r="F588" t="str">
        <f>Sim_Output[[#This Row],[SIM_ID]]&amp;" - "&amp;Sim_Output[[#This Row],[WEEK]]&amp;" - "&amp;Sim_Output[[#This Row],[REGIME]]</f>
        <v>5 - 5 - 0</v>
      </c>
      <c r="G588" t="s">
        <v>56</v>
      </c>
      <c r="H588">
        <v>94</v>
      </c>
      <c r="I588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2</v>
      </c>
      <c r="J588" s="7">
        <f>Sim_Output[[#This Row],[VALUE]]/SUMIFS(Sim_Output[VALUE],Sim_Output[SIM_ID],Sim_Output[[#This Row],[SIM_ID]],Sim_Output[WEEK],Sim_Output[[#This Row],[WEEK]],Sim_Output[OUTPUT],"PRICE_0")-1</f>
        <v>4.4444444444444509E-2</v>
      </c>
      <c r="K588" s="4">
        <f ca="1">IF(Sim_Output[[#This Row],[OUTPUT]]="PRICE_0",0,_xlfn.RANK.EQ(Sim_Output[[#This Row],[WTD_RET]],OFFSET(Sim_Output[[#This Row],[WTD_RET]],-Sim_Output[[#This Row],[OBS]]+1,0,12)))</f>
        <v>4</v>
      </c>
      <c r="L588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0.40558585142550535</v>
      </c>
      <c r="M588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0.6333333333333333</v>
      </c>
      <c r="N588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-0.18965517241379315</v>
      </c>
    </row>
    <row r="589" spans="2:14" x14ac:dyDescent="0.25">
      <c r="B589">
        <v>5</v>
      </c>
      <c r="C589">
        <v>6</v>
      </c>
      <c r="D589">
        <f>VALUE(RIGHT(Sim_Output[[#This Row],[OUTPUT]],LEN(Sim_Output[[#This Row],[OUTPUT]])-6))</f>
        <v>0</v>
      </c>
      <c r="E589">
        <v>1</v>
      </c>
      <c r="F589" t="str">
        <f>Sim_Output[[#This Row],[SIM_ID]]&amp;" - "&amp;Sim_Output[[#This Row],[WEEK]]&amp;" - "&amp;Sim_Output[[#This Row],[REGIME]]</f>
        <v>5 - 6 - 1</v>
      </c>
      <c r="G589" t="s">
        <v>44</v>
      </c>
      <c r="H589">
        <v>107</v>
      </c>
      <c r="I589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589" s="7">
        <f>Sim_Output[[#This Row],[VALUE]]/SUMIFS(Sim_Output[VALUE],Sim_Output[SIM_ID],Sim_Output[[#This Row],[SIM_ID]],Sim_Output[WEEK],Sim_Output[[#This Row],[WEEK]],Sim_Output[OUTPUT],"PRICE_0")-1</f>
        <v>0</v>
      </c>
      <c r="K589" s="4">
        <f ca="1">IF(Sim_Output[[#This Row],[OUTPUT]]="PRICE_0",0,_xlfn.RANK.EQ(Sim_Output[[#This Row],[WTD_RET]],OFFSET(Sim_Output[[#This Row],[WTD_RET]],-Sim_Output[[#This Row],[OBS]]+1,0,12)))</f>
        <v>0</v>
      </c>
      <c r="L589" s="3" t="str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/>
      </c>
      <c r="M589" s="3" t="str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/>
      </c>
      <c r="N589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</v>
      </c>
    </row>
    <row r="590" spans="2:14" x14ac:dyDescent="0.25">
      <c r="B590">
        <v>5</v>
      </c>
      <c r="C590">
        <v>6</v>
      </c>
      <c r="D590">
        <f>VALUE(RIGHT(Sim_Output[[#This Row],[OUTPUT]],LEN(Sim_Output[[#This Row],[OUTPUT]])-6))</f>
        <v>1</v>
      </c>
      <c r="E590">
        <v>1</v>
      </c>
      <c r="F590" t="str">
        <f>Sim_Output[[#This Row],[SIM_ID]]&amp;" - "&amp;Sim_Output[[#This Row],[WEEK]]&amp;" - "&amp;Sim_Output[[#This Row],[REGIME]]</f>
        <v>5 - 6 - 1</v>
      </c>
      <c r="G590" t="s">
        <v>45</v>
      </c>
      <c r="H590">
        <v>96</v>
      </c>
      <c r="I590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590" s="7">
        <f>Sim_Output[[#This Row],[VALUE]]/SUMIFS(Sim_Output[VALUE],Sim_Output[SIM_ID],Sim_Output[[#This Row],[SIM_ID]],Sim_Output[WEEK],Sim_Output[[#This Row],[WEEK]],Sim_Output[OUTPUT],"PRICE_0")-1</f>
        <v>-0.10280373831775702</v>
      </c>
      <c r="K590" s="4">
        <f ca="1">IF(Sim_Output[[#This Row],[OUTPUT]]="PRICE_0",0,_xlfn.RANK.EQ(Sim_Output[[#This Row],[WTD_RET]],OFFSET(Sim_Output[[#This Row],[WTD_RET]],-Sim_Output[[#This Row],[OBS]]+1,0,12)))</f>
        <v>6</v>
      </c>
      <c r="L590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-0.40924700118252294</v>
      </c>
      <c r="M590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8.5106382978723402E-2</v>
      </c>
      <c r="N590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-0.10280373831775702</v>
      </c>
    </row>
    <row r="591" spans="2:14" x14ac:dyDescent="0.25">
      <c r="B591">
        <v>5</v>
      </c>
      <c r="C591">
        <v>6</v>
      </c>
      <c r="D591">
        <f>VALUE(RIGHT(Sim_Output[[#This Row],[OUTPUT]],LEN(Sim_Output[[#This Row],[OUTPUT]])-6))</f>
        <v>2</v>
      </c>
      <c r="E591">
        <v>1</v>
      </c>
      <c r="F591" t="str">
        <f>Sim_Output[[#This Row],[SIM_ID]]&amp;" - "&amp;Sim_Output[[#This Row],[WEEK]]&amp;" - "&amp;Sim_Output[[#This Row],[REGIME]]</f>
        <v>5 - 6 - 1</v>
      </c>
      <c r="G591" t="s">
        <v>46</v>
      </c>
      <c r="H591">
        <v>91</v>
      </c>
      <c r="I591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591" s="7">
        <f>Sim_Output[[#This Row],[VALUE]]/SUMIFS(Sim_Output[VALUE],Sim_Output[SIM_ID],Sim_Output[[#This Row],[SIM_ID]],Sim_Output[WEEK],Sim_Output[[#This Row],[WEEK]],Sim_Output[OUTPUT],"PRICE_0")-1</f>
        <v>-0.14953271028037385</v>
      </c>
      <c r="K591" s="4">
        <f ca="1">IF(Sim_Output[[#This Row],[OUTPUT]]="PRICE_0",0,_xlfn.RANK.EQ(Sim_Output[[#This Row],[WTD_RET]],OFFSET(Sim_Output[[#This Row],[WTD_RET]],-Sim_Output[[#This Row],[OBS]]+1,0,12)))</f>
        <v>7</v>
      </c>
      <c r="L591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-0.45309489416636473</v>
      </c>
      <c r="M591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7.3286052009456273E-2</v>
      </c>
      <c r="N591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-5.208333333333337E-2</v>
      </c>
    </row>
    <row r="592" spans="2:14" x14ac:dyDescent="0.25">
      <c r="B592">
        <v>5</v>
      </c>
      <c r="C592">
        <v>6</v>
      </c>
      <c r="D592">
        <f>VALUE(RIGHT(Sim_Output[[#This Row],[OUTPUT]],LEN(Sim_Output[[#This Row],[OUTPUT]])-6))</f>
        <v>3</v>
      </c>
      <c r="E592">
        <v>1</v>
      </c>
      <c r="F592" t="str">
        <f>Sim_Output[[#This Row],[SIM_ID]]&amp;" - "&amp;Sim_Output[[#This Row],[WEEK]]&amp;" - "&amp;Sim_Output[[#This Row],[REGIME]]</f>
        <v>5 - 6 - 1</v>
      </c>
      <c r="G592" t="s">
        <v>47</v>
      </c>
      <c r="H592">
        <v>87</v>
      </c>
      <c r="I592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592" s="7">
        <f>Sim_Output[[#This Row],[VALUE]]/SUMIFS(Sim_Output[VALUE],Sim_Output[SIM_ID],Sim_Output[[#This Row],[SIM_ID]],Sim_Output[WEEK],Sim_Output[[#This Row],[WEEK]],Sim_Output[OUTPUT],"PRICE_0")-1</f>
        <v>-0.18691588785046731</v>
      </c>
      <c r="K592" s="4">
        <f ca="1">IF(Sim_Output[[#This Row],[OUTPUT]]="PRICE_0",0,_xlfn.RANK.EQ(Sim_Output[[#This Row],[WTD_RET]],OFFSET(Sim_Output[[#This Row],[WTD_RET]],-Sim_Output[[#This Row],[OBS]]+1,0,12)))</f>
        <v>9</v>
      </c>
      <c r="L592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-0.48817320855343804</v>
      </c>
      <c r="M592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6.3829787234042548E-2</v>
      </c>
      <c r="N592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-4.3956043956043911E-2</v>
      </c>
    </row>
    <row r="593" spans="2:14" x14ac:dyDescent="0.25">
      <c r="B593">
        <v>5</v>
      </c>
      <c r="C593">
        <v>6</v>
      </c>
      <c r="D593">
        <f>VALUE(RIGHT(Sim_Output[[#This Row],[OUTPUT]],LEN(Sim_Output[[#This Row],[OUTPUT]])-6))</f>
        <v>4</v>
      </c>
      <c r="E593">
        <v>1</v>
      </c>
      <c r="F593" t="str">
        <f>Sim_Output[[#This Row],[SIM_ID]]&amp;" - "&amp;Sim_Output[[#This Row],[WEEK]]&amp;" - "&amp;Sim_Output[[#This Row],[REGIME]]</f>
        <v>5 - 6 - 1</v>
      </c>
      <c r="G593" t="s">
        <v>48</v>
      </c>
      <c r="H593">
        <v>83</v>
      </c>
      <c r="I593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593" s="7">
        <f>Sim_Output[[#This Row],[VALUE]]/SUMIFS(Sim_Output[VALUE],Sim_Output[SIM_ID],Sim_Output[[#This Row],[SIM_ID]],Sim_Output[WEEK],Sim_Output[[#This Row],[WEEK]],Sim_Output[OUTPUT],"PRICE_0")-1</f>
        <v>-0.22429906542056077</v>
      </c>
      <c r="K593" s="4">
        <f ca="1">IF(Sim_Output[[#This Row],[OUTPUT]]="PRICE_0",0,_xlfn.RANK.EQ(Sim_Output[[#This Row],[WTD_RET]],OFFSET(Sim_Output[[#This Row],[WTD_RET]],-Sim_Output[[#This Row],[OBS]]+1,0,12)))</f>
        <v>11</v>
      </c>
      <c r="L593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-0.52325152294051147</v>
      </c>
      <c r="M593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5.4373522458628844E-2</v>
      </c>
      <c r="N593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-4.5977011494252928E-2</v>
      </c>
    </row>
    <row r="594" spans="2:14" x14ac:dyDescent="0.25">
      <c r="B594">
        <v>5</v>
      </c>
      <c r="C594">
        <v>6</v>
      </c>
      <c r="D594">
        <f>VALUE(RIGHT(Sim_Output[[#This Row],[OUTPUT]],LEN(Sim_Output[[#This Row],[OUTPUT]])-6))</f>
        <v>5</v>
      </c>
      <c r="E594">
        <v>1</v>
      </c>
      <c r="F594" t="str">
        <f>Sim_Output[[#This Row],[SIM_ID]]&amp;" - "&amp;Sim_Output[[#This Row],[WEEK]]&amp;" - "&amp;Sim_Output[[#This Row],[REGIME]]</f>
        <v>5 - 6 - 1</v>
      </c>
      <c r="G594" t="s">
        <v>49</v>
      </c>
      <c r="H594">
        <v>134</v>
      </c>
      <c r="I594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594" s="7">
        <f>Sim_Output[[#This Row],[VALUE]]/SUMIFS(Sim_Output[VALUE],Sim_Output[SIM_ID],Sim_Output[[#This Row],[SIM_ID]],Sim_Output[WEEK],Sim_Output[[#This Row],[WEEK]],Sim_Output[OUTPUT],"PRICE_0")-1</f>
        <v>0.25233644859813076</v>
      </c>
      <c r="K594" s="4">
        <f ca="1">IF(Sim_Output[[#This Row],[OUTPUT]]="PRICE_0",0,_xlfn.RANK.EQ(Sim_Output[[#This Row],[WTD_RET]],OFFSET(Sim_Output[[#This Row],[WTD_RET]],-Sim_Output[[#This Row],[OBS]]+1,0,12)))</f>
        <v>5</v>
      </c>
      <c r="L594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-7.6003014505325747E-2</v>
      </c>
      <c r="M594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0.17494089834515364</v>
      </c>
      <c r="N594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0.6144578313253013</v>
      </c>
    </row>
    <row r="595" spans="2:14" x14ac:dyDescent="0.25">
      <c r="B595">
        <v>5</v>
      </c>
      <c r="C595">
        <v>6</v>
      </c>
      <c r="D595">
        <f>VALUE(RIGHT(Sim_Output[[#This Row],[OUTPUT]],LEN(Sim_Output[[#This Row],[OUTPUT]])-6))</f>
        <v>6</v>
      </c>
      <c r="E595">
        <v>1</v>
      </c>
      <c r="F595" t="str">
        <f>Sim_Output[[#This Row],[SIM_ID]]&amp;" - "&amp;Sim_Output[[#This Row],[WEEK]]&amp;" - "&amp;Sim_Output[[#This Row],[REGIME]]</f>
        <v>5 - 6 - 1</v>
      </c>
      <c r="G595" t="s">
        <v>50</v>
      </c>
      <c r="H595">
        <v>193</v>
      </c>
      <c r="I595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595" s="7">
        <f>Sim_Output[[#This Row],[VALUE]]/SUMIFS(Sim_Output[VALUE],Sim_Output[SIM_ID],Sim_Output[[#This Row],[SIM_ID]],Sim_Output[WEEK],Sim_Output[[#This Row],[WEEK]],Sim_Output[OUTPUT],"PRICE_0")-1</f>
        <v>0.80373831775700944</v>
      </c>
      <c r="K595" s="4">
        <f ca="1">IF(Sim_Output[[#This Row],[OUTPUT]]="PRICE_0",0,_xlfn.RANK.EQ(Sim_Output[[#This Row],[WTD_RET]],OFFSET(Sim_Output[[#This Row],[WTD_RET]],-Sim_Output[[#This Row],[OBS]]+1,0,12)))</f>
        <v>2</v>
      </c>
      <c r="L595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0.44140212270400703</v>
      </c>
      <c r="M595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0.31442080378250592</v>
      </c>
      <c r="N595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0.44029850746268662</v>
      </c>
    </row>
    <row r="596" spans="2:14" x14ac:dyDescent="0.25">
      <c r="B596">
        <v>5</v>
      </c>
      <c r="C596">
        <v>6</v>
      </c>
      <c r="D596">
        <f>VALUE(RIGHT(Sim_Output[[#This Row],[OUTPUT]],LEN(Sim_Output[[#This Row],[OUTPUT]])-6))</f>
        <v>7</v>
      </c>
      <c r="E596">
        <v>1</v>
      </c>
      <c r="F596" t="str">
        <f>Sim_Output[[#This Row],[SIM_ID]]&amp;" - "&amp;Sim_Output[[#This Row],[WEEK]]&amp;" - "&amp;Sim_Output[[#This Row],[REGIME]]</f>
        <v>5 - 6 - 1</v>
      </c>
      <c r="G596" t="s">
        <v>51</v>
      </c>
      <c r="H596">
        <v>483</v>
      </c>
      <c r="I596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596" s="7">
        <f>Sim_Output[[#This Row],[VALUE]]/SUMIFS(Sim_Output[VALUE],Sim_Output[SIM_ID],Sim_Output[[#This Row],[SIM_ID]],Sim_Output[WEEK],Sim_Output[[#This Row],[WEEK]],Sim_Output[OUTPUT],"PRICE_0")-1</f>
        <v>3.5140186915887854</v>
      </c>
      <c r="K596" s="4">
        <f ca="1">IF(Sim_Output[[#This Row],[OUTPUT]]="PRICE_0",0,_xlfn.RANK.EQ(Sim_Output[[#This Row],[WTD_RET]],OFFSET(Sim_Output[[#This Row],[WTD_RET]],-Sim_Output[[#This Row],[OBS]]+1,0,12)))</f>
        <v>1</v>
      </c>
      <c r="L596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2.9845799157668282</v>
      </c>
      <c r="M596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1</v>
      </c>
      <c r="N596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1.5025906735751295</v>
      </c>
    </row>
    <row r="597" spans="2:14" x14ac:dyDescent="0.25">
      <c r="B597">
        <v>5</v>
      </c>
      <c r="C597">
        <v>6</v>
      </c>
      <c r="D597">
        <f>VALUE(RIGHT(Sim_Output[[#This Row],[OUTPUT]],LEN(Sim_Output[[#This Row],[OUTPUT]])-6))</f>
        <v>8</v>
      </c>
      <c r="E597">
        <v>1</v>
      </c>
      <c r="F597" t="str">
        <f>Sim_Output[[#This Row],[SIM_ID]]&amp;" - "&amp;Sim_Output[[#This Row],[WEEK]]&amp;" - "&amp;Sim_Output[[#This Row],[REGIME]]</f>
        <v>5 - 6 - 1</v>
      </c>
      <c r="G597" t="s">
        <v>52</v>
      </c>
      <c r="H597">
        <v>162</v>
      </c>
      <c r="I597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597" s="7">
        <f>Sim_Output[[#This Row],[VALUE]]/SUMIFS(Sim_Output[VALUE],Sim_Output[SIM_ID],Sim_Output[[#This Row],[SIM_ID]],Sim_Output[WEEK],Sim_Output[[#This Row],[WEEK]],Sim_Output[OUTPUT],"PRICE_0")-1</f>
        <v>0.51401869158878499</v>
      </c>
      <c r="K597" s="4">
        <f ca="1">IF(Sim_Output[[#This Row],[OUTPUT]]="PRICE_0",0,_xlfn.RANK.EQ(Sim_Output[[#This Row],[WTD_RET]],OFFSET(Sim_Output[[#This Row],[WTD_RET]],-Sim_Output[[#This Row],[OBS]]+1,0,12)))</f>
        <v>3</v>
      </c>
      <c r="L597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0.16954518620418804</v>
      </c>
      <c r="M597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0.24113475177304963</v>
      </c>
      <c r="N597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-0.6645962732919255</v>
      </c>
    </row>
    <row r="598" spans="2:14" x14ac:dyDescent="0.25">
      <c r="B598">
        <v>5</v>
      </c>
      <c r="C598">
        <v>6</v>
      </c>
      <c r="D598">
        <f>VALUE(RIGHT(Sim_Output[[#This Row],[OUTPUT]],LEN(Sim_Output[[#This Row],[OUTPUT]])-6))</f>
        <v>9</v>
      </c>
      <c r="E598">
        <v>1</v>
      </c>
      <c r="F598" t="str">
        <f>Sim_Output[[#This Row],[SIM_ID]]&amp;" - "&amp;Sim_Output[[#This Row],[WEEK]]&amp;" - "&amp;Sim_Output[[#This Row],[REGIME]]</f>
        <v>5 - 6 - 1</v>
      </c>
      <c r="G598" t="s">
        <v>53</v>
      </c>
      <c r="H598">
        <v>146</v>
      </c>
      <c r="I598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598" s="7">
        <f>Sim_Output[[#This Row],[VALUE]]/SUMIFS(Sim_Output[VALUE],Sim_Output[SIM_ID],Sim_Output[[#This Row],[SIM_ID]],Sim_Output[WEEK],Sim_Output[[#This Row],[WEEK]],Sim_Output[OUTPUT],"PRICE_0")-1</f>
        <v>0.36448598130841114</v>
      </c>
      <c r="K598" s="4">
        <f ca="1">IF(Sim_Output[[#This Row],[OUTPUT]]="PRICE_0",0,_xlfn.RANK.EQ(Sim_Output[[#This Row],[WTD_RET]],OFFSET(Sim_Output[[#This Row],[WTD_RET]],-Sim_Output[[#This Row],[OBS]]+1,0,12)))</f>
        <v>4</v>
      </c>
      <c r="L598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2.9231928655894447E-2</v>
      </c>
      <c r="M598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0.20330969267139479</v>
      </c>
      <c r="N598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-9.8765432098765427E-2</v>
      </c>
    </row>
    <row r="599" spans="2:14" x14ac:dyDescent="0.25">
      <c r="B599">
        <v>5</v>
      </c>
      <c r="C599">
        <v>6</v>
      </c>
      <c r="D599">
        <f>VALUE(RIGHT(Sim_Output[[#This Row],[OUTPUT]],LEN(Sim_Output[[#This Row],[OUTPUT]])-6))</f>
        <v>10</v>
      </c>
      <c r="E599">
        <v>1</v>
      </c>
      <c r="F599" t="str">
        <f>Sim_Output[[#This Row],[SIM_ID]]&amp;" - "&amp;Sim_Output[[#This Row],[WEEK]]&amp;" - "&amp;Sim_Output[[#This Row],[REGIME]]</f>
        <v>5 - 6 - 1</v>
      </c>
      <c r="G599" t="s">
        <v>54</v>
      </c>
      <c r="H599">
        <v>87</v>
      </c>
      <c r="I599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599" s="7">
        <f>Sim_Output[[#This Row],[VALUE]]/SUMIFS(Sim_Output[VALUE],Sim_Output[SIM_ID],Sim_Output[[#This Row],[SIM_ID]],Sim_Output[WEEK],Sim_Output[[#This Row],[WEEK]],Sim_Output[OUTPUT],"PRICE_0")-1</f>
        <v>-0.18691588785046731</v>
      </c>
      <c r="K599" s="4">
        <f ca="1">IF(Sim_Output[[#This Row],[OUTPUT]]="PRICE_0",0,_xlfn.RANK.EQ(Sim_Output[[#This Row],[WTD_RET]],OFFSET(Sim_Output[[#This Row],[WTD_RET]],-Sim_Output[[#This Row],[OBS]]+1,0,12)))</f>
        <v>9</v>
      </c>
      <c r="L599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-0.48817320855343804</v>
      </c>
      <c r="M599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6.3829787234042548E-2</v>
      </c>
      <c r="N599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-0.40410958904109584</v>
      </c>
    </row>
    <row r="600" spans="2:14" x14ac:dyDescent="0.25">
      <c r="B600">
        <v>5</v>
      </c>
      <c r="C600">
        <v>6</v>
      </c>
      <c r="D600">
        <f>VALUE(RIGHT(Sim_Output[[#This Row],[OUTPUT]],LEN(Sim_Output[[#This Row],[OUTPUT]])-6))</f>
        <v>11</v>
      </c>
      <c r="E600">
        <v>1</v>
      </c>
      <c r="F600" t="str">
        <f>Sim_Output[[#This Row],[SIM_ID]]&amp;" - "&amp;Sim_Output[[#This Row],[WEEK]]&amp;" - "&amp;Sim_Output[[#This Row],[REGIME]]</f>
        <v>5 - 6 - 1</v>
      </c>
      <c r="G600" t="s">
        <v>55</v>
      </c>
      <c r="H600">
        <v>90</v>
      </c>
      <c r="I600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600" s="7">
        <f>Sim_Output[[#This Row],[VALUE]]/SUMIFS(Sim_Output[VALUE],Sim_Output[SIM_ID],Sim_Output[[#This Row],[SIM_ID]],Sim_Output[WEEK],Sim_Output[[#This Row],[WEEK]],Sim_Output[OUTPUT],"PRICE_0")-1</f>
        <v>-0.15887850467289721</v>
      </c>
      <c r="K600" s="4">
        <f ca="1">IF(Sim_Output[[#This Row],[OUTPUT]]="PRICE_0",0,_xlfn.RANK.EQ(Sim_Output[[#This Row],[WTD_RET]],OFFSET(Sim_Output[[#This Row],[WTD_RET]],-Sim_Output[[#This Row],[OBS]]+1,0,12)))</f>
        <v>8</v>
      </c>
      <c r="L600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-0.46186447276313308</v>
      </c>
      <c r="M600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7.0921985815602842E-2</v>
      </c>
      <c r="N600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3.4482758620689724E-2</v>
      </c>
    </row>
    <row r="601" spans="2:14" x14ac:dyDescent="0.25">
      <c r="B601">
        <v>5</v>
      </c>
      <c r="C601">
        <v>6</v>
      </c>
      <c r="D601">
        <f>VALUE(RIGHT(Sim_Output[[#This Row],[OUTPUT]],LEN(Sim_Output[[#This Row],[OUTPUT]])-6))</f>
        <v>12</v>
      </c>
      <c r="E601">
        <v>1</v>
      </c>
      <c r="F601" t="str">
        <f>Sim_Output[[#This Row],[SIM_ID]]&amp;" - "&amp;Sim_Output[[#This Row],[WEEK]]&amp;" - "&amp;Sim_Output[[#This Row],[REGIME]]</f>
        <v>5 - 6 - 1</v>
      </c>
      <c r="G601" t="s">
        <v>56</v>
      </c>
      <c r="H601">
        <v>60</v>
      </c>
      <c r="I601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0</v>
      </c>
      <c r="J601" s="7">
        <f>Sim_Output[[#This Row],[VALUE]]/SUMIFS(Sim_Output[VALUE],Sim_Output[SIM_ID],Sim_Output[[#This Row],[SIM_ID]],Sim_Output[WEEK],Sim_Output[[#This Row],[WEEK]],Sim_Output[OUTPUT],"PRICE_0")-1</f>
        <v>-0.43925233644859818</v>
      </c>
      <c r="K601" s="4">
        <f ca="1">IF(Sim_Output[[#This Row],[OUTPUT]]="PRICE_0",0,_xlfn.RANK.EQ(Sim_Output[[#This Row],[WTD_RET]],OFFSET(Sim_Output[[#This Row],[WTD_RET]],-Sim_Output[[#This Row],[OBS]]+1,0,12)))</f>
        <v>12</v>
      </c>
      <c r="L601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-0.72495183066618363</v>
      </c>
      <c r="M601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</v>
      </c>
      <c r="N601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-0.33333333333333337</v>
      </c>
    </row>
    <row r="602" spans="2:14" x14ac:dyDescent="0.25">
      <c r="B602">
        <v>5</v>
      </c>
      <c r="C602">
        <v>7</v>
      </c>
      <c r="D602">
        <f>VALUE(RIGHT(Sim_Output[[#This Row],[OUTPUT]],LEN(Sim_Output[[#This Row],[OUTPUT]])-6))</f>
        <v>0</v>
      </c>
      <c r="E602">
        <v>1</v>
      </c>
      <c r="F602" t="str">
        <f>Sim_Output[[#This Row],[SIM_ID]]&amp;" - "&amp;Sim_Output[[#This Row],[WEEK]]&amp;" - "&amp;Sim_Output[[#This Row],[REGIME]]</f>
        <v>5 - 7 - 1</v>
      </c>
      <c r="G602" t="s">
        <v>44</v>
      </c>
      <c r="H602">
        <v>109</v>
      </c>
      <c r="I602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602" s="7">
        <f>Sim_Output[[#This Row],[VALUE]]/SUMIFS(Sim_Output[VALUE],Sim_Output[SIM_ID],Sim_Output[[#This Row],[SIM_ID]],Sim_Output[WEEK],Sim_Output[[#This Row],[WEEK]],Sim_Output[OUTPUT],"PRICE_0")-1</f>
        <v>0</v>
      </c>
      <c r="K602" s="4">
        <f ca="1">IF(Sim_Output[[#This Row],[OUTPUT]]="PRICE_0",0,_xlfn.RANK.EQ(Sim_Output[[#This Row],[WTD_RET]],OFFSET(Sim_Output[[#This Row],[WTD_RET]],-Sim_Output[[#This Row],[OBS]]+1,0,12)))</f>
        <v>0</v>
      </c>
      <c r="L602" s="3" t="str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/>
      </c>
      <c r="M602" s="3" t="str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/>
      </c>
      <c r="N602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</v>
      </c>
    </row>
    <row r="603" spans="2:14" x14ac:dyDescent="0.25">
      <c r="B603">
        <v>5</v>
      </c>
      <c r="C603">
        <v>7</v>
      </c>
      <c r="D603">
        <f>VALUE(RIGHT(Sim_Output[[#This Row],[OUTPUT]],LEN(Sim_Output[[#This Row],[OUTPUT]])-6))</f>
        <v>1</v>
      </c>
      <c r="E603">
        <v>1</v>
      </c>
      <c r="F603" t="str">
        <f>Sim_Output[[#This Row],[SIM_ID]]&amp;" - "&amp;Sim_Output[[#This Row],[WEEK]]&amp;" - "&amp;Sim_Output[[#This Row],[REGIME]]</f>
        <v>5 - 7 - 1</v>
      </c>
      <c r="G603" t="s">
        <v>45</v>
      </c>
      <c r="H603">
        <v>95</v>
      </c>
      <c r="I603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603" s="7">
        <f>Sim_Output[[#This Row],[VALUE]]/SUMIFS(Sim_Output[VALUE],Sim_Output[SIM_ID],Sim_Output[[#This Row],[SIM_ID]],Sim_Output[WEEK],Sim_Output[[#This Row],[WEEK]],Sim_Output[OUTPUT],"PRICE_0")-1</f>
        <v>-0.12844036697247707</v>
      </c>
      <c r="K603" s="4">
        <f ca="1">IF(Sim_Output[[#This Row],[OUTPUT]]="PRICE_0",0,_xlfn.RANK.EQ(Sim_Output[[#This Row],[WTD_RET]],OFFSET(Sim_Output[[#This Row],[WTD_RET]],-Sim_Output[[#This Row],[OBS]]+1,0,12)))</f>
        <v>6</v>
      </c>
      <c r="L603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-0.46327710240665126</v>
      </c>
      <c r="M603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0.15841584158415842</v>
      </c>
      <c r="N603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-0.12844036697247707</v>
      </c>
    </row>
    <row r="604" spans="2:14" x14ac:dyDescent="0.25">
      <c r="B604">
        <v>5</v>
      </c>
      <c r="C604">
        <v>7</v>
      </c>
      <c r="D604">
        <f>VALUE(RIGHT(Sim_Output[[#This Row],[OUTPUT]],LEN(Sim_Output[[#This Row],[OUTPUT]])-6))</f>
        <v>2</v>
      </c>
      <c r="E604">
        <v>1</v>
      </c>
      <c r="F604" t="str">
        <f>Sim_Output[[#This Row],[SIM_ID]]&amp;" - "&amp;Sim_Output[[#This Row],[WEEK]]&amp;" - "&amp;Sim_Output[[#This Row],[REGIME]]</f>
        <v>5 - 7 - 1</v>
      </c>
      <c r="G604" t="s">
        <v>46</v>
      </c>
      <c r="H604">
        <v>91</v>
      </c>
      <c r="I604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604" s="7">
        <f>Sim_Output[[#This Row],[VALUE]]/SUMIFS(Sim_Output[VALUE],Sim_Output[SIM_ID],Sim_Output[[#This Row],[SIM_ID]],Sim_Output[WEEK],Sim_Output[[#This Row],[WEEK]],Sim_Output[OUTPUT],"PRICE_0")-1</f>
        <v>-0.16513761467889909</v>
      </c>
      <c r="K604" s="4">
        <f ca="1">IF(Sim_Output[[#This Row],[OUTPUT]]="PRICE_0",0,_xlfn.RANK.EQ(Sim_Output[[#This Row],[WTD_RET]],OFFSET(Sim_Output[[#This Row],[WTD_RET]],-Sim_Output[[#This Row],[OBS]]+1,0,12)))</f>
        <v>7</v>
      </c>
      <c r="L604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-0.52521944478971327</v>
      </c>
      <c r="M604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0.13861386138613863</v>
      </c>
      <c r="N604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-4.2105263157894757E-2</v>
      </c>
    </row>
    <row r="605" spans="2:14" x14ac:dyDescent="0.25">
      <c r="B605">
        <v>5</v>
      </c>
      <c r="C605">
        <v>7</v>
      </c>
      <c r="D605">
        <f>VALUE(RIGHT(Sim_Output[[#This Row],[OUTPUT]],LEN(Sim_Output[[#This Row],[OUTPUT]])-6))</f>
        <v>3</v>
      </c>
      <c r="E605">
        <v>1</v>
      </c>
      <c r="F605" t="str">
        <f>Sim_Output[[#This Row],[SIM_ID]]&amp;" - "&amp;Sim_Output[[#This Row],[WEEK]]&amp;" - "&amp;Sim_Output[[#This Row],[REGIME]]</f>
        <v>5 - 7 - 1</v>
      </c>
      <c r="G605" t="s">
        <v>47</v>
      </c>
      <c r="H605">
        <v>86</v>
      </c>
      <c r="I605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605" s="7">
        <f>Sim_Output[[#This Row],[VALUE]]/SUMIFS(Sim_Output[VALUE],Sim_Output[SIM_ID],Sim_Output[[#This Row],[SIM_ID]],Sim_Output[WEEK],Sim_Output[[#This Row],[WEEK]],Sim_Output[OUTPUT],"PRICE_0")-1</f>
        <v>-0.21100917431192656</v>
      </c>
      <c r="K605" s="4">
        <f ca="1">IF(Sim_Output[[#This Row],[OUTPUT]]="PRICE_0",0,_xlfn.RANK.EQ(Sim_Output[[#This Row],[WTD_RET]],OFFSET(Sim_Output[[#This Row],[WTD_RET]],-Sim_Output[[#This Row],[OBS]]+1,0,12)))</f>
        <v>8</v>
      </c>
      <c r="L605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-0.60264737276854075</v>
      </c>
      <c r="M605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0.11386138613861389</v>
      </c>
      <c r="N605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-5.4945054945054972E-2</v>
      </c>
    </row>
    <row r="606" spans="2:14" x14ac:dyDescent="0.25">
      <c r="B606">
        <v>5</v>
      </c>
      <c r="C606">
        <v>7</v>
      </c>
      <c r="D606">
        <f>VALUE(RIGHT(Sim_Output[[#This Row],[OUTPUT]],LEN(Sim_Output[[#This Row],[OUTPUT]])-6))</f>
        <v>4</v>
      </c>
      <c r="E606">
        <v>1</v>
      </c>
      <c r="F606" t="str">
        <f>Sim_Output[[#This Row],[SIM_ID]]&amp;" - "&amp;Sim_Output[[#This Row],[WEEK]]&amp;" - "&amp;Sim_Output[[#This Row],[REGIME]]</f>
        <v>5 - 7 - 1</v>
      </c>
      <c r="G606" t="s">
        <v>48</v>
      </c>
      <c r="H606">
        <v>81</v>
      </c>
      <c r="I606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606" s="7">
        <f>Sim_Output[[#This Row],[VALUE]]/SUMIFS(Sim_Output[VALUE],Sim_Output[SIM_ID],Sim_Output[[#This Row],[SIM_ID]],Sim_Output[WEEK],Sim_Output[[#This Row],[WEEK]],Sim_Output[OUTPUT],"PRICE_0")-1</f>
        <v>-0.25688073394495414</v>
      </c>
      <c r="K606" s="4">
        <f ca="1">IF(Sim_Output[[#This Row],[OUTPUT]]="PRICE_0",0,_xlfn.RANK.EQ(Sim_Output[[#This Row],[WTD_RET]],OFFSET(Sim_Output[[#This Row],[WTD_RET]],-Sim_Output[[#This Row],[OBS]]+1,0,12)))</f>
        <v>10</v>
      </c>
      <c r="L606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-0.68007530074736833</v>
      </c>
      <c r="M606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8.9108910891089119E-2</v>
      </c>
      <c r="N606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-5.8139534883720922E-2</v>
      </c>
    </row>
    <row r="607" spans="2:14" x14ac:dyDescent="0.25">
      <c r="B607">
        <v>5</v>
      </c>
      <c r="C607">
        <v>7</v>
      </c>
      <c r="D607">
        <f>VALUE(RIGHT(Sim_Output[[#This Row],[OUTPUT]],LEN(Sim_Output[[#This Row],[OUTPUT]])-6))</f>
        <v>5</v>
      </c>
      <c r="E607">
        <v>1</v>
      </c>
      <c r="F607" t="str">
        <f>Sim_Output[[#This Row],[SIM_ID]]&amp;" - "&amp;Sim_Output[[#This Row],[WEEK]]&amp;" - "&amp;Sim_Output[[#This Row],[REGIME]]</f>
        <v>5 - 7 - 1</v>
      </c>
      <c r="G607" t="s">
        <v>49</v>
      </c>
      <c r="H607">
        <v>77</v>
      </c>
      <c r="I607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607" s="7">
        <f>Sim_Output[[#This Row],[VALUE]]/SUMIFS(Sim_Output[VALUE],Sim_Output[SIM_ID],Sim_Output[[#This Row],[SIM_ID]],Sim_Output[WEEK],Sim_Output[[#This Row],[WEEK]],Sim_Output[OUTPUT],"PRICE_0")-1</f>
        <v>-0.29357798165137616</v>
      </c>
      <c r="K607" s="4">
        <f ca="1">IF(Sim_Output[[#This Row],[OUTPUT]]="PRICE_0",0,_xlfn.RANK.EQ(Sim_Output[[#This Row],[WTD_RET]],OFFSET(Sim_Output[[#This Row],[WTD_RET]],-Sim_Output[[#This Row],[OBS]]+1,0,12)))</f>
        <v>11</v>
      </c>
      <c r="L607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-0.74201764313043039</v>
      </c>
      <c r="M607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6.9306930693069313E-2</v>
      </c>
      <c r="N607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-4.9382716049382713E-2</v>
      </c>
    </row>
    <row r="608" spans="2:14" x14ac:dyDescent="0.25">
      <c r="B608">
        <v>5</v>
      </c>
      <c r="C608">
        <v>7</v>
      </c>
      <c r="D608">
        <f>VALUE(RIGHT(Sim_Output[[#This Row],[OUTPUT]],LEN(Sim_Output[[#This Row],[OUTPUT]])-6))</f>
        <v>6</v>
      </c>
      <c r="E608">
        <v>1</v>
      </c>
      <c r="F608" t="str">
        <f>Sim_Output[[#This Row],[SIM_ID]]&amp;" - "&amp;Sim_Output[[#This Row],[WEEK]]&amp;" - "&amp;Sim_Output[[#This Row],[REGIME]]</f>
        <v>5 - 7 - 1</v>
      </c>
      <c r="G608" t="s">
        <v>50</v>
      </c>
      <c r="H608">
        <v>143</v>
      </c>
      <c r="I608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608" s="7">
        <f>Sim_Output[[#This Row],[VALUE]]/SUMIFS(Sim_Output[VALUE],Sim_Output[SIM_ID],Sim_Output[[#This Row],[SIM_ID]],Sim_Output[WEEK],Sim_Output[[#This Row],[WEEK]],Sim_Output[OUTPUT],"PRICE_0")-1</f>
        <v>0.31192660550458706</v>
      </c>
      <c r="K608" s="4">
        <f ca="1">IF(Sim_Output[[#This Row],[OUTPUT]]="PRICE_0",0,_xlfn.RANK.EQ(Sim_Output[[#This Row],[WTD_RET]],OFFSET(Sim_Output[[#This Row],[WTD_RET]],-Sim_Output[[#This Row],[OBS]]+1,0,12)))</f>
        <v>4</v>
      </c>
      <c r="L608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0.2800310061900928</v>
      </c>
      <c r="M608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0.396039603960396</v>
      </c>
      <c r="N608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0.85714285714285721</v>
      </c>
    </row>
    <row r="609" spans="2:14" x14ac:dyDescent="0.25">
      <c r="B609">
        <v>5</v>
      </c>
      <c r="C609">
        <v>7</v>
      </c>
      <c r="D609">
        <f>VALUE(RIGHT(Sim_Output[[#This Row],[OUTPUT]],LEN(Sim_Output[[#This Row],[OUTPUT]])-6))</f>
        <v>7</v>
      </c>
      <c r="E609">
        <v>1</v>
      </c>
      <c r="F609" t="str">
        <f>Sim_Output[[#This Row],[SIM_ID]]&amp;" - "&amp;Sim_Output[[#This Row],[WEEK]]&amp;" - "&amp;Sim_Output[[#This Row],[REGIME]]</f>
        <v>5 - 7 - 1</v>
      </c>
      <c r="G609" t="s">
        <v>51</v>
      </c>
      <c r="H609">
        <v>203</v>
      </c>
      <c r="I609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609" s="7">
        <f>Sim_Output[[#This Row],[VALUE]]/SUMIFS(Sim_Output[VALUE],Sim_Output[SIM_ID],Sim_Output[[#This Row],[SIM_ID]],Sim_Output[WEEK],Sim_Output[[#This Row],[WEEK]],Sim_Output[OUTPUT],"PRICE_0")-1</f>
        <v>0.86238532110091737</v>
      </c>
      <c r="K609" s="4">
        <f ca="1">IF(Sim_Output[[#This Row],[OUTPUT]]="PRICE_0",0,_xlfn.RANK.EQ(Sim_Output[[#This Row],[WTD_RET]],OFFSET(Sim_Output[[#This Row],[WTD_RET]],-Sim_Output[[#This Row],[OBS]]+1,0,12)))</f>
        <v>3</v>
      </c>
      <c r="L609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1.2091661419360233</v>
      </c>
      <c r="M609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0.69306930693069302</v>
      </c>
      <c r="N609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0.41958041958041958</v>
      </c>
    </row>
    <row r="610" spans="2:14" x14ac:dyDescent="0.25">
      <c r="B610">
        <v>5</v>
      </c>
      <c r="C610">
        <v>7</v>
      </c>
      <c r="D610">
        <f>VALUE(RIGHT(Sim_Output[[#This Row],[OUTPUT]],LEN(Sim_Output[[#This Row],[OUTPUT]])-6))</f>
        <v>8</v>
      </c>
      <c r="E610">
        <v>1</v>
      </c>
      <c r="F610" t="str">
        <f>Sim_Output[[#This Row],[SIM_ID]]&amp;" - "&amp;Sim_Output[[#This Row],[WEEK]]&amp;" - "&amp;Sim_Output[[#This Row],[REGIME]]</f>
        <v>5 - 7 - 1</v>
      </c>
      <c r="G610" t="s">
        <v>52</v>
      </c>
      <c r="H610">
        <v>265</v>
      </c>
      <c r="I610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610" s="7">
        <f>Sim_Output[[#This Row],[VALUE]]/SUMIFS(Sim_Output[VALUE],Sim_Output[SIM_ID],Sim_Output[[#This Row],[SIM_ID]],Sim_Output[WEEK],Sim_Output[[#This Row],[WEEK]],Sim_Output[OUTPUT],"PRICE_0")-1</f>
        <v>1.4311926605504586</v>
      </c>
      <c r="K610" s="4">
        <f ca="1">IF(Sim_Output[[#This Row],[OUTPUT]]="PRICE_0",0,_xlfn.RANK.EQ(Sim_Output[[#This Row],[WTD_RET]],OFFSET(Sim_Output[[#This Row],[WTD_RET]],-Sim_Output[[#This Row],[OBS]]+1,0,12)))</f>
        <v>1</v>
      </c>
      <c r="L610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2.1692724488734845</v>
      </c>
      <c r="M610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1</v>
      </c>
      <c r="N610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0.30541871921182273</v>
      </c>
    </row>
    <row r="611" spans="2:14" x14ac:dyDescent="0.25">
      <c r="B611">
        <v>5</v>
      </c>
      <c r="C611">
        <v>7</v>
      </c>
      <c r="D611">
        <f>VALUE(RIGHT(Sim_Output[[#This Row],[OUTPUT]],LEN(Sim_Output[[#This Row],[OUTPUT]])-6))</f>
        <v>9</v>
      </c>
      <c r="E611">
        <v>1</v>
      </c>
      <c r="F611" t="str">
        <f>Sim_Output[[#This Row],[SIM_ID]]&amp;" - "&amp;Sim_Output[[#This Row],[WEEK]]&amp;" - "&amp;Sim_Output[[#This Row],[REGIME]]</f>
        <v>5 - 7 - 1</v>
      </c>
      <c r="G611" t="s">
        <v>53</v>
      </c>
      <c r="H611">
        <v>204</v>
      </c>
      <c r="I611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611" s="7">
        <f>Sim_Output[[#This Row],[VALUE]]/SUMIFS(Sim_Output[VALUE],Sim_Output[SIM_ID],Sim_Output[[#This Row],[SIM_ID]],Sim_Output[WEEK],Sim_Output[[#This Row],[WEEK]],Sim_Output[OUTPUT],"PRICE_0")-1</f>
        <v>0.87155963302752304</v>
      </c>
      <c r="K611" s="4">
        <f ca="1">IF(Sim_Output[[#This Row],[OUTPUT]]="PRICE_0",0,_xlfn.RANK.EQ(Sim_Output[[#This Row],[WTD_RET]],OFFSET(Sim_Output[[#This Row],[WTD_RET]],-Sim_Output[[#This Row],[OBS]]+1,0,12)))</f>
        <v>2</v>
      </c>
      <c r="L611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1.224651727531789</v>
      </c>
      <c r="M611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0.69801980198019808</v>
      </c>
      <c r="N611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-0.23018867924528297</v>
      </c>
    </row>
    <row r="612" spans="2:14" x14ac:dyDescent="0.25">
      <c r="B612">
        <v>5</v>
      </c>
      <c r="C612">
        <v>7</v>
      </c>
      <c r="D612">
        <f>VALUE(RIGHT(Sim_Output[[#This Row],[OUTPUT]],LEN(Sim_Output[[#This Row],[OUTPUT]])-6))</f>
        <v>10</v>
      </c>
      <c r="E612">
        <v>1</v>
      </c>
      <c r="F612" t="str">
        <f>Sim_Output[[#This Row],[SIM_ID]]&amp;" - "&amp;Sim_Output[[#This Row],[WEEK]]&amp;" - "&amp;Sim_Output[[#This Row],[REGIME]]</f>
        <v>5 - 7 - 1</v>
      </c>
      <c r="G612" t="s">
        <v>54</v>
      </c>
      <c r="H612">
        <v>106</v>
      </c>
      <c r="I612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612" s="7">
        <f>Sim_Output[[#This Row],[VALUE]]/SUMIFS(Sim_Output[VALUE],Sim_Output[SIM_ID],Sim_Output[[#This Row],[SIM_ID]],Sim_Output[WEEK],Sim_Output[[#This Row],[WEEK]],Sim_Output[OUTPUT],"PRICE_0")-1</f>
        <v>-2.752293577981646E-2</v>
      </c>
      <c r="K612" s="4">
        <f ca="1">IF(Sim_Output[[#This Row],[OUTPUT]]="PRICE_0",0,_xlfn.RANK.EQ(Sim_Output[[#This Row],[WTD_RET]],OFFSET(Sim_Output[[#This Row],[WTD_RET]],-Sim_Output[[#This Row],[OBS]]+1,0,12)))</f>
        <v>5</v>
      </c>
      <c r="L612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-0.29293566085323064</v>
      </c>
      <c r="M612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0.21287128712871292</v>
      </c>
      <c r="N612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-0.48039215686274506</v>
      </c>
    </row>
    <row r="613" spans="2:14" x14ac:dyDescent="0.25">
      <c r="B613">
        <v>5</v>
      </c>
      <c r="C613">
        <v>7</v>
      </c>
      <c r="D613">
        <f>VALUE(RIGHT(Sim_Output[[#This Row],[OUTPUT]],LEN(Sim_Output[[#This Row],[OUTPUT]])-6))</f>
        <v>11</v>
      </c>
      <c r="E613">
        <v>1</v>
      </c>
      <c r="F613" t="str">
        <f>Sim_Output[[#This Row],[SIM_ID]]&amp;" - "&amp;Sim_Output[[#This Row],[WEEK]]&amp;" - "&amp;Sim_Output[[#This Row],[REGIME]]</f>
        <v>5 - 7 - 1</v>
      </c>
      <c r="G613" t="s">
        <v>55</v>
      </c>
      <c r="H613">
        <v>63</v>
      </c>
      <c r="I613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613" s="7">
        <f>Sim_Output[[#This Row],[VALUE]]/SUMIFS(Sim_Output[VALUE],Sim_Output[SIM_ID],Sim_Output[[#This Row],[SIM_ID]],Sim_Output[WEEK],Sim_Output[[#This Row],[WEEK]],Sim_Output[OUTPUT],"PRICE_0")-1</f>
        <v>-0.42201834862385323</v>
      </c>
      <c r="K613" s="4">
        <f ca="1">IF(Sim_Output[[#This Row],[OUTPUT]]="PRICE_0",0,_xlfn.RANK.EQ(Sim_Output[[#This Row],[WTD_RET]],OFFSET(Sim_Output[[#This Row],[WTD_RET]],-Sim_Output[[#This Row],[OBS]]+1,0,12)))</f>
        <v>12</v>
      </c>
      <c r="L613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-0.95881584147114751</v>
      </c>
      <c r="M613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</v>
      </c>
      <c r="N613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-0.40566037735849059</v>
      </c>
    </row>
    <row r="614" spans="2:14" x14ac:dyDescent="0.25">
      <c r="B614">
        <v>5</v>
      </c>
      <c r="C614">
        <v>7</v>
      </c>
      <c r="D614">
        <f>VALUE(RIGHT(Sim_Output[[#This Row],[OUTPUT]],LEN(Sim_Output[[#This Row],[OUTPUT]])-6))</f>
        <v>12</v>
      </c>
      <c r="E614">
        <v>1</v>
      </c>
      <c r="F614" t="str">
        <f>Sim_Output[[#This Row],[SIM_ID]]&amp;" - "&amp;Sim_Output[[#This Row],[WEEK]]&amp;" - "&amp;Sim_Output[[#This Row],[REGIME]]</f>
        <v>5 - 7 - 1</v>
      </c>
      <c r="G614" t="s">
        <v>56</v>
      </c>
      <c r="H614">
        <v>85</v>
      </c>
      <c r="I614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614" s="7">
        <f>Sim_Output[[#This Row],[VALUE]]/SUMIFS(Sim_Output[VALUE],Sim_Output[SIM_ID],Sim_Output[[#This Row],[SIM_ID]],Sim_Output[WEEK],Sim_Output[[#This Row],[WEEK]],Sim_Output[OUTPUT],"PRICE_0")-1</f>
        <v>-0.22018348623853212</v>
      </c>
      <c r="K614" s="4">
        <f ca="1">IF(Sim_Output[[#This Row],[OUTPUT]]="PRICE_0",0,_xlfn.RANK.EQ(Sim_Output[[#This Row],[WTD_RET]],OFFSET(Sim_Output[[#This Row],[WTD_RET]],-Sim_Output[[#This Row],[OBS]]+1,0,12)))</f>
        <v>9</v>
      </c>
      <c r="L614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-0.61813295836430637</v>
      </c>
      <c r="M614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0.10891089108910891</v>
      </c>
      <c r="N614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0.3492063492063493</v>
      </c>
    </row>
    <row r="615" spans="2:14" x14ac:dyDescent="0.25">
      <c r="B615">
        <v>5</v>
      </c>
      <c r="C615">
        <v>8</v>
      </c>
      <c r="D615">
        <f>VALUE(RIGHT(Sim_Output[[#This Row],[OUTPUT]],LEN(Sim_Output[[#This Row],[OUTPUT]])-6))</f>
        <v>0</v>
      </c>
      <c r="E615">
        <v>3</v>
      </c>
      <c r="F615" t="str">
        <f>Sim_Output[[#This Row],[SIM_ID]]&amp;" - "&amp;Sim_Output[[#This Row],[WEEK]]&amp;" - "&amp;Sim_Output[[#This Row],[REGIME]]</f>
        <v>5 - 8 - 3</v>
      </c>
      <c r="G615" t="s">
        <v>44</v>
      </c>
      <c r="H615">
        <v>110</v>
      </c>
      <c r="I615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615" s="7">
        <f>Sim_Output[[#This Row],[VALUE]]/SUMIFS(Sim_Output[VALUE],Sim_Output[SIM_ID],Sim_Output[[#This Row],[SIM_ID]],Sim_Output[WEEK],Sim_Output[[#This Row],[WEEK]],Sim_Output[OUTPUT],"PRICE_0")-1</f>
        <v>0</v>
      </c>
      <c r="K615" s="4">
        <f ca="1">IF(Sim_Output[[#This Row],[OUTPUT]]="PRICE_0",0,_xlfn.RANK.EQ(Sim_Output[[#This Row],[WTD_RET]],OFFSET(Sim_Output[[#This Row],[WTD_RET]],-Sim_Output[[#This Row],[OBS]]+1,0,12)))</f>
        <v>0</v>
      </c>
      <c r="L615" s="3" t="str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/>
      </c>
      <c r="M615" s="3" t="str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/>
      </c>
      <c r="N615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</v>
      </c>
    </row>
    <row r="616" spans="2:14" x14ac:dyDescent="0.25">
      <c r="B616">
        <v>5</v>
      </c>
      <c r="C616">
        <v>8</v>
      </c>
      <c r="D616">
        <f>VALUE(RIGHT(Sim_Output[[#This Row],[OUTPUT]],LEN(Sim_Output[[#This Row],[OUTPUT]])-6))</f>
        <v>1</v>
      </c>
      <c r="E616">
        <v>3</v>
      </c>
      <c r="F616" t="str">
        <f>Sim_Output[[#This Row],[SIM_ID]]&amp;" - "&amp;Sim_Output[[#This Row],[WEEK]]&amp;" - "&amp;Sim_Output[[#This Row],[REGIME]]</f>
        <v>5 - 8 - 3</v>
      </c>
      <c r="G616" t="s">
        <v>45</v>
      </c>
      <c r="H616">
        <v>98</v>
      </c>
      <c r="I616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616" s="7">
        <f>Sim_Output[[#This Row],[VALUE]]/SUMIFS(Sim_Output[VALUE],Sim_Output[SIM_ID],Sim_Output[[#This Row],[SIM_ID]],Sim_Output[WEEK],Sim_Output[[#This Row],[WEEK]],Sim_Output[OUTPUT],"PRICE_0")-1</f>
        <v>-0.10909090909090913</v>
      </c>
      <c r="K616" s="4">
        <f ca="1">IF(Sim_Output[[#This Row],[OUTPUT]]="PRICE_0",0,_xlfn.RANK.EQ(Sim_Output[[#This Row],[WTD_RET]],OFFSET(Sim_Output[[#This Row],[WTD_RET]],-Sim_Output[[#This Row],[OBS]]+1,0,12)))</f>
        <v>4</v>
      </c>
      <c r="L616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-0.22225519999472343</v>
      </c>
      <c r="M616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0.15441176470588236</v>
      </c>
      <c r="N616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-0.10909090909090913</v>
      </c>
    </row>
    <row r="617" spans="2:14" x14ac:dyDescent="0.25">
      <c r="B617">
        <v>5</v>
      </c>
      <c r="C617">
        <v>8</v>
      </c>
      <c r="D617">
        <f>VALUE(RIGHT(Sim_Output[[#This Row],[OUTPUT]],LEN(Sim_Output[[#This Row],[OUTPUT]])-6))</f>
        <v>2</v>
      </c>
      <c r="E617">
        <v>3</v>
      </c>
      <c r="F617" t="str">
        <f>Sim_Output[[#This Row],[SIM_ID]]&amp;" - "&amp;Sim_Output[[#This Row],[WEEK]]&amp;" - "&amp;Sim_Output[[#This Row],[REGIME]]</f>
        <v>5 - 8 - 3</v>
      </c>
      <c r="G617" t="s">
        <v>46</v>
      </c>
      <c r="H617">
        <v>93</v>
      </c>
      <c r="I617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617" s="7">
        <f>Sim_Output[[#This Row],[VALUE]]/SUMIFS(Sim_Output[VALUE],Sim_Output[SIM_ID],Sim_Output[[#This Row],[SIM_ID]],Sim_Output[WEEK],Sim_Output[[#This Row],[WEEK]],Sim_Output[OUTPUT],"PRICE_0")-1</f>
        <v>-0.15454545454545454</v>
      </c>
      <c r="K617" s="4">
        <f ca="1">IF(Sim_Output[[#This Row],[OUTPUT]]="PRICE_0",0,_xlfn.RANK.EQ(Sim_Output[[#This Row],[WTD_RET]],OFFSET(Sim_Output[[#This Row],[WTD_RET]],-Sim_Output[[#This Row],[OBS]]+1,0,12)))</f>
        <v>6</v>
      </c>
      <c r="L617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-0.34688428410391409</v>
      </c>
      <c r="M617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0.11764705882352945</v>
      </c>
      <c r="N617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-5.1020408163265252E-2</v>
      </c>
    </row>
    <row r="618" spans="2:14" x14ac:dyDescent="0.25">
      <c r="B618">
        <v>5</v>
      </c>
      <c r="C618">
        <v>8</v>
      </c>
      <c r="D618">
        <f>VALUE(RIGHT(Sim_Output[[#This Row],[OUTPUT]],LEN(Sim_Output[[#This Row],[OUTPUT]])-6))</f>
        <v>3</v>
      </c>
      <c r="E618">
        <v>3</v>
      </c>
      <c r="F618" t="str">
        <f>Sim_Output[[#This Row],[SIM_ID]]&amp;" - "&amp;Sim_Output[[#This Row],[WEEK]]&amp;" - "&amp;Sim_Output[[#This Row],[REGIME]]</f>
        <v>5 - 8 - 3</v>
      </c>
      <c r="G618" t="s">
        <v>47</v>
      </c>
      <c r="H618">
        <v>149</v>
      </c>
      <c r="I618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618" s="7">
        <f>Sim_Output[[#This Row],[VALUE]]/SUMIFS(Sim_Output[VALUE],Sim_Output[SIM_ID],Sim_Output[[#This Row],[SIM_ID]],Sim_Output[WEEK],Sim_Output[[#This Row],[WEEK]],Sim_Output[OUTPUT],"PRICE_0")-1</f>
        <v>0.3545454545454545</v>
      </c>
      <c r="K618" s="4">
        <f ca="1">IF(Sim_Output[[#This Row],[OUTPUT]]="PRICE_0",0,_xlfn.RANK.EQ(Sim_Output[[#This Row],[WTD_RET]],OFFSET(Sim_Output[[#This Row],[WTD_RET]],-Sim_Output[[#This Row],[OBS]]+1,0,12)))</f>
        <v>2</v>
      </c>
      <c r="L618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1.0489614579190216</v>
      </c>
      <c r="M618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0.52941176470588236</v>
      </c>
      <c r="N618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0.60215053763440851</v>
      </c>
    </row>
    <row r="619" spans="2:14" x14ac:dyDescent="0.25">
      <c r="B619">
        <v>5</v>
      </c>
      <c r="C619">
        <v>8</v>
      </c>
      <c r="D619">
        <f>VALUE(RIGHT(Sim_Output[[#This Row],[OUTPUT]],LEN(Sim_Output[[#This Row],[OUTPUT]])-6))</f>
        <v>4</v>
      </c>
      <c r="E619">
        <v>3</v>
      </c>
      <c r="F619" t="str">
        <f>Sim_Output[[#This Row],[SIM_ID]]&amp;" - "&amp;Sim_Output[[#This Row],[WEEK]]&amp;" - "&amp;Sim_Output[[#This Row],[REGIME]]</f>
        <v>5 - 8 - 3</v>
      </c>
      <c r="G619" t="s">
        <v>48</v>
      </c>
      <c r="H619">
        <v>134</v>
      </c>
      <c r="I619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619" s="7">
        <f>Sim_Output[[#This Row],[VALUE]]/SUMIFS(Sim_Output[VALUE],Sim_Output[SIM_ID],Sim_Output[[#This Row],[SIM_ID]],Sim_Output[WEEK],Sim_Output[[#This Row],[WEEK]],Sim_Output[OUTPUT],"PRICE_0")-1</f>
        <v>0.21818181818181825</v>
      </c>
      <c r="K619" s="4">
        <f ca="1">IF(Sim_Output[[#This Row],[OUTPUT]]="PRICE_0",0,_xlfn.RANK.EQ(Sim_Output[[#This Row],[WTD_RET]],OFFSET(Sim_Output[[#This Row],[WTD_RET]],-Sim_Output[[#This Row],[OBS]]+1,0,12)))</f>
        <v>3</v>
      </c>
      <c r="L619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0.67507420559144982</v>
      </c>
      <c r="M619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0.41911764705882365</v>
      </c>
      <c r="N619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-0.10067114093959728</v>
      </c>
    </row>
    <row r="620" spans="2:14" x14ac:dyDescent="0.25">
      <c r="B620">
        <v>5</v>
      </c>
      <c r="C620">
        <v>8</v>
      </c>
      <c r="D620">
        <f>VALUE(RIGHT(Sim_Output[[#This Row],[OUTPUT]],LEN(Sim_Output[[#This Row],[OUTPUT]])-6))</f>
        <v>5</v>
      </c>
      <c r="E620">
        <v>3</v>
      </c>
      <c r="F620" t="str">
        <f>Sim_Output[[#This Row],[SIM_ID]]&amp;" - "&amp;Sim_Output[[#This Row],[WEEK]]&amp;" - "&amp;Sim_Output[[#This Row],[REGIME]]</f>
        <v>5 - 8 - 3</v>
      </c>
      <c r="G620" t="s">
        <v>49</v>
      </c>
      <c r="H620">
        <v>81</v>
      </c>
      <c r="I620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620" s="7">
        <f>Sim_Output[[#This Row],[VALUE]]/SUMIFS(Sim_Output[VALUE],Sim_Output[SIM_ID],Sim_Output[[#This Row],[SIM_ID]],Sim_Output[WEEK],Sim_Output[[#This Row],[WEEK]],Sim_Output[OUTPUT],"PRICE_0")-1</f>
        <v>-0.26363636363636367</v>
      </c>
      <c r="K620" s="4">
        <f ca="1">IF(Sim_Output[[#This Row],[OUTPUT]]="PRICE_0",0,_xlfn.RANK.EQ(Sim_Output[[#This Row],[WTD_RET]],OFFSET(Sim_Output[[#This Row],[WTD_RET]],-Sim_Output[[#This Row],[OBS]]+1,0,12)))</f>
        <v>10</v>
      </c>
      <c r="L620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-0.64599408596597185</v>
      </c>
      <c r="M620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2.9411764705882363E-2</v>
      </c>
      <c r="N620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-0.39552238805970152</v>
      </c>
    </row>
    <row r="621" spans="2:14" x14ac:dyDescent="0.25">
      <c r="B621">
        <v>5</v>
      </c>
      <c r="C621">
        <v>8</v>
      </c>
      <c r="D621">
        <f>VALUE(RIGHT(Sim_Output[[#This Row],[OUTPUT]],LEN(Sim_Output[[#This Row],[OUTPUT]])-6))</f>
        <v>6</v>
      </c>
      <c r="E621">
        <v>3</v>
      </c>
      <c r="F621" t="str">
        <f>Sim_Output[[#This Row],[SIM_ID]]&amp;" - "&amp;Sim_Output[[#This Row],[WEEK]]&amp;" - "&amp;Sim_Output[[#This Row],[REGIME]]</f>
        <v>5 - 8 - 3</v>
      </c>
      <c r="G621" t="s">
        <v>50</v>
      </c>
      <c r="H621">
        <v>213</v>
      </c>
      <c r="I621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621" s="7">
        <f>Sim_Output[[#This Row],[VALUE]]/SUMIFS(Sim_Output[VALUE],Sim_Output[SIM_ID],Sim_Output[[#This Row],[SIM_ID]],Sim_Output[WEEK],Sim_Output[[#This Row],[WEEK]],Sim_Output[OUTPUT],"PRICE_0")-1</f>
        <v>0.93636363636363629</v>
      </c>
      <c r="K621" s="4">
        <f ca="1">IF(Sim_Output[[#This Row],[OUTPUT]]="PRICE_0",0,_xlfn.RANK.EQ(Sim_Output[[#This Row],[WTD_RET]],OFFSET(Sim_Output[[#This Row],[WTD_RET]],-Sim_Output[[#This Row],[OBS]]+1,0,12)))</f>
        <v>1</v>
      </c>
      <c r="L621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2.6442137345166628</v>
      </c>
      <c r="M621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1</v>
      </c>
      <c r="N621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1.6296296296296298</v>
      </c>
    </row>
    <row r="622" spans="2:14" x14ac:dyDescent="0.25">
      <c r="B622">
        <v>5</v>
      </c>
      <c r="C622">
        <v>8</v>
      </c>
      <c r="D622">
        <f>VALUE(RIGHT(Sim_Output[[#This Row],[OUTPUT]],LEN(Sim_Output[[#This Row],[OUTPUT]])-6))</f>
        <v>7</v>
      </c>
      <c r="E622">
        <v>3</v>
      </c>
      <c r="F622" t="str">
        <f>Sim_Output[[#This Row],[SIM_ID]]&amp;" - "&amp;Sim_Output[[#This Row],[WEEK]]&amp;" - "&amp;Sim_Output[[#This Row],[REGIME]]</f>
        <v>5 - 8 - 3</v>
      </c>
      <c r="G622" t="s">
        <v>51</v>
      </c>
      <c r="H622">
        <v>77</v>
      </c>
      <c r="I622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622" s="7">
        <f>Sim_Output[[#This Row],[VALUE]]/SUMIFS(Sim_Output[VALUE],Sim_Output[SIM_ID],Sim_Output[[#This Row],[SIM_ID]],Sim_Output[WEEK],Sim_Output[[#This Row],[WEEK]],Sim_Output[OUTPUT],"PRICE_0")-1</f>
        <v>-0.30000000000000004</v>
      </c>
      <c r="K622" s="4">
        <f ca="1">IF(Sim_Output[[#This Row],[OUTPUT]]="PRICE_0",0,_xlfn.RANK.EQ(Sim_Output[[#This Row],[WTD_RET]],OFFSET(Sim_Output[[#This Row],[WTD_RET]],-Sim_Output[[#This Row],[OBS]]+1,0,12)))</f>
        <v>12</v>
      </c>
      <c r="L622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-0.74569735325332431</v>
      </c>
      <c r="M622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</v>
      </c>
      <c r="N622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-0.63849765258215962</v>
      </c>
    </row>
    <row r="623" spans="2:14" x14ac:dyDescent="0.25">
      <c r="B623">
        <v>5</v>
      </c>
      <c r="C623">
        <v>8</v>
      </c>
      <c r="D623">
        <f>VALUE(RIGHT(Sim_Output[[#This Row],[OUTPUT]],LEN(Sim_Output[[#This Row],[OUTPUT]])-6))</f>
        <v>8</v>
      </c>
      <c r="E623">
        <v>3</v>
      </c>
      <c r="F623" t="str">
        <f>Sim_Output[[#This Row],[SIM_ID]]&amp;" - "&amp;Sim_Output[[#This Row],[WEEK]]&amp;" - "&amp;Sim_Output[[#This Row],[REGIME]]</f>
        <v>5 - 8 - 3</v>
      </c>
      <c r="G623" t="s">
        <v>52</v>
      </c>
      <c r="H623">
        <v>98</v>
      </c>
      <c r="I623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623" s="7">
        <f>Sim_Output[[#This Row],[VALUE]]/SUMIFS(Sim_Output[VALUE],Sim_Output[SIM_ID],Sim_Output[[#This Row],[SIM_ID]],Sim_Output[WEEK],Sim_Output[[#This Row],[WEEK]],Sim_Output[OUTPUT],"PRICE_0")-1</f>
        <v>-0.10909090909090913</v>
      </c>
      <c r="K623" s="4">
        <f ca="1">IF(Sim_Output[[#This Row],[OUTPUT]]="PRICE_0",0,_xlfn.RANK.EQ(Sim_Output[[#This Row],[WTD_RET]],OFFSET(Sim_Output[[#This Row],[WTD_RET]],-Sim_Output[[#This Row],[OBS]]+1,0,12)))</f>
        <v>4</v>
      </c>
      <c r="L623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-0.22225519999472343</v>
      </c>
      <c r="M623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0.15441176470588236</v>
      </c>
      <c r="N623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0.27272727272727271</v>
      </c>
    </row>
    <row r="624" spans="2:14" x14ac:dyDescent="0.25">
      <c r="B624">
        <v>5</v>
      </c>
      <c r="C624">
        <v>8</v>
      </c>
      <c r="D624">
        <f>VALUE(RIGHT(Sim_Output[[#This Row],[OUTPUT]],LEN(Sim_Output[[#This Row],[OUTPUT]])-6))</f>
        <v>9</v>
      </c>
      <c r="E624">
        <v>3</v>
      </c>
      <c r="F624" t="str">
        <f>Sim_Output[[#This Row],[SIM_ID]]&amp;" - "&amp;Sim_Output[[#This Row],[WEEK]]&amp;" - "&amp;Sim_Output[[#This Row],[REGIME]]</f>
        <v>5 - 8 - 3</v>
      </c>
      <c r="G624" t="s">
        <v>53</v>
      </c>
      <c r="H624">
        <v>92</v>
      </c>
      <c r="I624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624" s="7">
        <f>Sim_Output[[#This Row],[VALUE]]/SUMIFS(Sim_Output[VALUE],Sim_Output[SIM_ID],Sim_Output[[#This Row],[SIM_ID]],Sim_Output[WEEK],Sim_Output[[#This Row],[WEEK]],Sim_Output[OUTPUT],"PRICE_0")-1</f>
        <v>-0.16363636363636369</v>
      </c>
      <c r="K624" s="4">
        <f ca="1">IF(Sim_Output[[#This Row],[OUTPUT]]="PRICE_0",0,_xlfn.RANK.EQ(Sim_Output[[#This Row],[WTD_RET]],OFFSET(Sim_Output[[#This Row],[WTD_RET]],-Sim_Output[[#This Row],[OBS]]+1,0,12)))</f>
        <v>7</v>
      </c>
      <c r="L624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-0.37181010092575234</v>
      </c>
      <c r="M624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0.11029411764705882</v>
      </c>
      <c r="N624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-6.1224489795918324E-2</v>
      </c>
    </row>
    <row r="625" spans="2:14" x14ac:dyDescent="0.25">
      <c r="B625">
        <v>5</v>
      </c>
      <c r="C625">
        <v>8</v>
      </c>
      <c r="D625">
        <f>VALUE(RIGHT(Sim_Output[[#This Row],[OUTPUT]],LEN(Sim_Output[[#This Row],[OUTPUT]])-6))</f>
        <v>10</v>
      </c>
      <c r="E625">
        <v>3</v>
      </c>
      <c r="F625" t="str">
        <f>Sim_Output[[#This Row],[SIM_ID]]&amp;" - "&amp;Sim_Output[[#This Row],[WEEK]]&amp;" - "&amp;Sim_Output[[#This Row],[REGIME]]</f>
        <v>5 - 8 - 3</v>
      </c>
      <c r="G625" t="s">
        <v>54</v>
      </c>
      <c r="H625">
        <v>87</v>
      </c>
      <c r="I625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625" s="7">
        <f>Sim_Output[[#This Row],[VALUE]]/SUMIFS(Sim_Output[VALUE],Sim_Output[SIM_ID],Sim_Output[[#This Row],[SIM_ID]],Sim_Output[WEEK],Sim_Output[[#This Row],[WEEK]],Sim_Output[OUTPUT],"PRICE_0")-1</f>
        <v>-0.20909090909090911</v>
      </c>
      <c r="K625" s="4">
        <f ca="1">IF(Sim_Output[[#This Row],[OUTPUT]]="PRICE_0",0,_xlfn.RANK.EQ(Sim_Output[[#This Row],[WTD_RET]],OFFSET(Sim_Output[[#This Row],[WTD_RET]],-Sim_Output[[#This Row],[OBS]]+1,0,12)))</f>
        <v>8</v>
      </c>
      <c r="L625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-0.49643918503494294</v>
      </c>
      <c r="M625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7.3529411764705913E-2</v>
      </c>
      <c r="N625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-5.4347826086956541E-2</v>
      </c>
    </row>
    <row r="626" spans="2:14" x14ac:dyDescent="0.25">
      <c r="B626">
        <v>5</v>
      </c>
      <c r="C626">
        <v>8</v>
      </c>
      <c r="D626">
        <f>VALUE(RIGHT(Sim_Output[[#This Row],[OUTPUT]],LEN(Sim_Output[[#This Row],[OUTPUT]])-6))</f>
        <v>11</v>
      </c>
      <c r="E626">
        <v>3</v>
      </c>
      <c r="F626" t="str">
        <f>Sim_Output[[#This Row],[SIM_ID]]&amp;" - "&amp;Sim_Output[[#This Row],[WEEK]]&amp;" - "&amp;Sim_Output[[#This Row],[REGIME]]</f>
        <v>5 - 8 - 3</v>
      </c>
      <c r="G626" t="s">
        <v>55</v>
      </c>
      <c r="H626">
        <v>83</v>
      </c>
      <c r="I626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626" s="7">
        <f>Sim_Output[[#This Row],[VALUE]]/SUMIFS(Sim_Output[VALUE],Sim_Output[SIM_ID],Sim_Output[[#This Row],[SIM_ID]],Sim_Output[WEEK],Sim_Output[[#This Row],[WEEK]],Sim_Output[OUTPUT],"PRICE_0")-1</f>
        <v>-0.24545454545454548</v>
      </c>
      <c r="K626" s="4">
        <f ca="1">IF(Sim_Output[[#This Row],[OUTPUT]]="PRICE_0",0,_xlfn.RANK.EQ(Sim_Output[[#This Row],[WTD_RET]],OFFSET(Sim_Output[[#This Row],[WTD_RET]],-Sim_Output[[#This Row],[OBS]]+1,0,12)))</f>
        <v>9</v>
      </c>
      <c r="L626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-0.59614245232229557</v>
      </c>
      <c r="M626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4.4117647058823546E-2</v>
      </c>
      <c r="N626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-4.5977011494252928E-2</v>
      </c>
    </row>
    <row r="627" spans="2:14" x14ac:dyDescent="0.25">
      <c r="B627">
        <v>5</v>
      </c>
      <c r="C627">
        <v>8</v>
      </c>
      <c r="D627">
        <f>VALUE(RIGHT(Sim_Output[[#This Row],[OUTPUT]],LEN(Sim_Output[[#This Row],[OUTPUT]])-6))</f>
        <v>12</v>
      </c>
      <c r="E627">
        <v>3</v>
      </c>
      <c r="F627" t="str">
        <f>Sim_Output[[#This Row],[SIM_ID]]&amp;" - "&amp;Sim_Output[[#This Row],[WEEK]]&amp;" - "&amp;Sim_Output[[#This Row],[REGIME]]</f>
        <v>5 - 8 - 3</v>
      </c>
      <c r="G627" t="s">
        <v>56</v>
      </c>
      <c r="H627">
        <v>78</v>
      </c>
      <c r="I627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1</v>
      </c>
      <c r="J627" s="7">
        <f>Sim_Output[[#This Row],[VALUE]]/SUMIFS(Sim_Output[VALUE],Sim_Output[SIM_ID],Sim_Output[[#This Row],[SIM_ID]],Sim_Output[WEEK],Sim_Output[[#This Row],[WEEK]],Sim_Output[OUTPUT],"PRICE_0")-1</f>
        <v>-0.29090909090909089</v>
      </c>
      <c r="K627" s="4">
        <f ca="1">IF(Sim_Output[[#This Row],[OUTPUT]]="PRICE_0",0,_xlfn.RANK.EQ(Sim_Output[[#This Row],[WTD_RET]],OFFSET(Sim_Output[[#This Row],[WTD_RET]],-Sim_Output[[#This Row],[OBS]]+1,0,12)))</f>
        <v>11</v>
      </c>
      <c r="L627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-0.72077153643148606</v>
      </c>
      <c r="M627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7.3529411764706358E-3</v>
      </c>
      <c r="N627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-6.0240963855421659E-2</v>
      </c>
    </row>
    <row r="628" spans="2:14" x14ac:dyDescent="0.25">
      <c r="B628">
        <v>5</v>
      </c>
      <c r="C628">
        <v>9</v>
      </c>
      <c r="D628">
        <f>VALUE(RIGHT(Sim_Output[[#This Row],[OUTPUT]],LEN(Sim_Output[[#This Row],[OUTPUT]])-6))</f>
        <v>0</v>
      </c>
      <c r="E628">
        <v>3</v>
      </c>
      <c r="F628" t="str">
        <f>Sim_Output[[#This Row],[SIM_ID]]&amp;" - "&amp;Sim_Output[[#This Row],[WEEK]]&amp;" - "&amp;Sim_Output[[#This Row],[REGIME]]</f>
        <v>5 - 9 - 3</v>
      </c>
      <c r="G628" t="s">
        <v>44</v>
      </c>
      <c r="H628">
        <v>94</v>
      </c>
      <c r="I628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628" s="7">
        <f>Sim_Output[[#This Row],[VALUE]]/SUMIFS(Sim_Output[VALUE],Sim_Output[SIM_ID],Sim_Output[[#This Row],[SIM_ID]],Sim_Output[WEEK],Sim_Output[[#This Row],[WEEK]],Sim_Output[OUTPUT],"PRICE_0")-1</f>
        <v>0</v>
      </c>
      <c r="K628" s="4">
        <f ca="1">IF(Sim_Output[[#This Row],[OUTPUT]]="PRICE_0",0,_xlfn.RANK.EQ(Sim_Output[[#This Row],[WTD_RET]],OFFSET(Sim_Output[[#This Row],[WTD_RET]],-Sim_Output[[#This Row],[OBS]]+1,0,12)))</f>
        <v>0</v>
      </c>
      <c r="L628" s="3" t="str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/>
      </c>
      <c r="M628" s="3" t="str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/>
      </c>
      <c r="N628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</v>
      </c>
    </row>
    <row r="629" spans="2:14" x14ac:dyDescent="0.25">
      <c r="B629">
        <v>5</v>
      </c>
      <c r="C629">
        <v>9</v>
      </c>
      <c r="D629">
        <f>VALUE(RIGHT(Sim_Output[[#This Row],[OUTPUT]],LEN(Sim_Output[[#This Row],[OUTPUT]])-6))</f>
        <v>1</v>
      </c>
      <c r="E629">
        <v>3</v>
      </c>
      <c r="F629" t="str">
        <f>Sim_Output[[#This Row],[SIM_ID]]&amp;" - "&amp;Sim_Output[[#This Row],[WEEK]]&amp;" - "&amp;Sim_Output[[#This Row],[REGIME]]</f>
        <v>5 - 9 - 3</v>
      </c>
      <c r="G629" t="s">
        <v>45</v>
      </c>
      <c r="H629">
        <v>47</v>
      </c>
      <c r="I629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629" s="7">
        <f>Sim_Output[[#This Row],[VALUE]]/SUMIFS(Sim_Output[VALUE],Sim_Output[SIM_ID],Sim_Output[[#This Row],[SIM_ID]],Sim_Output[WEEK],Sim_Output[[#This Row],[WEEK]],Sim_Output[OUTPUT],"PRICE_0")-1</f>
        <v>-0.5</v>
      </c>
      <c r="K629" s="4">
        <f ca="1">IF(Sim_Output[[#This Row],[OUTPUT]]="PRICE_0",0,_xlfn.RANK.EQ(Sim_Output[[#This Row],[WTD_RET]],OFFSET(Sim_Output[[#This Row],[WTD_RET]],-Sim_Output[[#This Row],[OBS]]+1,0,12)))</f>
        <v>5</v>
      </c>
      <c r="L629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-0.31920395002822888</v>
      </c>
      <c r="M629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0.13533834586466162</v>
      </c>
      <c r="N629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-0.5</v>
      </c>
    </row>
    <row r="630" spans="2:14" x14ac:dyDescent="0.25">
      <c r="B630">
        <v>5</v>
      </c>
      <c r="C630">
        <v>9</v>
      </c>
      <c r="D630">
        <f>VALUE(RIGHT(Sim_Output[[#This Row],[OUTPUT]],LEN(Sim_Output[[#This Row],[OUTPUT]])-6))</f>
        <v>2</v>
      </c>
      <c r="E630">
        <v>3</v>
      </c>
      <c r="F630" t="str">
        <f>Sim_Output[[#This Row],[SIM_ID]]&amp;" - "&amp;Sim_Output[[#This Row],[WEEK]]&amp;" - "&amp;Sim_Output[[#This Row],[REGIME]]</f>
        <v>5 - 9 - 3</v>
      </c>
      <c r="G630" t="s">
        <v>46</v>
      </c>
      <c r="H630">
        <v>87</v>
      </c>
      <c r="I630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630" s="7">
        <f>Sim_Output[[#This Row],[VALUE]]/SUMIFS(Sim_Output[VALUE],Sim_Output[SIM_ID],Sim_Output[[#This Row],[SIM_ID]],Sim_Output[WEEK],Sim_Output[[#This Row],[WEEK]],Sim_Output[OUTPUT],"PRICE_0")-1</f>
        <v>-7.4468085106383031E-2</v>
      </c>
      <c r="K630" s="4">
        <f ca="1">IF(Sim_Output[[#This Row],[OUTPUT]]="PRICE_0",0,_xlfn.RANK.EQ(Sim_Output[[#This Row],[WTD_RET]],OFFSET(Sim_Output[[#This Row],[WTD_RET]],-Sim_Output[[#This Row],[OBS]]+1,0,12)))</f>
        <v>2</v>
      </c>
      <c r="L630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0.7448092167325342</v>
      </c>
      <c r="M630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0.43609022556390975</v>
      </c>
      <c r="N630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0.85106382978723394</v>
      </c>
    </row>
    <row r="631" spans="2:14" x14ac:dyDescent="0.25">
      <c r="B631">
        <v>5</v>
      </c>
      <c r="C631">
        <v>9</v>
      </c>
      <c r="D631">
        <f>VALUE(RIGHT(Sim_Output[[#This Row],[OUTPUT]],LEN(Sim_Output[[#This Row],[OUTPUT]])-6))</f>
        <v>3</v>
      </c>
      <c r="E631">
        <v>3</v>
      </c>
      <c r="F631" t="str">
        <f>Sim_Output[[#This Row],[SIM_ID]]&amp;" - "&amp;Sim_Output[[#This Row],[WEEK]]&amp;" - "&amp;Sim_Output[[#This Row],[REGIME]]</f>
        <v>5 - 9 - 3</v>
      </c>
      <c r="G631" t="s">
        <v>47</v>
      </c>
      <c r="H631">
        <v>85</v>
      </c>
      <c r="I631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631" s="7">
        <f>Sim_Output[[#This Row],[VALUE]]/SUMIFS(Sim_Output[VALUE],Sim_Output[SIM_ID],Sim_Output[[#This Row],[SIM_ID]],Sim_Output[WEEK],Sim_Output[[#This Row],[WEEK]],Sim_Output[OUTPUT],"PRICE_0")-1</f>
        <v>-9.5744680851063801E-2</v>
      </c>
      <c r="K631" s="4">
        <f ca="1">IF(Sim_Output[[#This Row],[OUTPUT]]="PRICE_0",0,_xlfn.RANK.EQ(Sim_Output[[#This Row],[WTD_RET]],OFFSET(Sim_Output[[#This Row],[WTD_RET]],-Sim_Output[[#This Row],[OBS]]+1,0,12)))</f>
        <v>3</v>
      </c>
      <c r="L631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0.69160855839449631</v>
      </c>
      <c r="M631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0.4210526315789474</v>
      </c>
      <c r="N631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-2.2988505747126409E-2</v>
      </c>
    </row>
    <row r="632" spans="2:14" x14ac:dyDescent="0.25">
      <c r="B632">
        <v>5</v>
      </c>
      <c r="C632">
        <v>9</v>
      </c>
      <c r="D632">
        <f>VALUE(RIGHT(Sim_Output[[#This Row],[OUTPUT]],LEN(Sim_Output[[#This Row],[OUTPUT]])-6))</f>
        <v>4</v>
      </c>
      <c r="E632">
        <v>3</v>
      </c>
      <c r="F632" t="str">
        <f>Sim_Output[[#This Row],[SIM_ID]]&amp;" - "&amp;Sim_Output[[#This Row],[WEEK]]&amp;" - "&amp;Sim_Output[[#This Row],[REGIME]]</f>
        <v>5 - 9 - 3</v>
      </c>
      <c r="G632" t="s">
        <v>48</v>
      </c>
      <c r="H632">
        <v>61</v>
      </c>
      <c r="I632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632" s="7">
        <f>Sim_Output[[#This Row],[VALUE]]/SUMIFS(Sim_Output[VALUE],Sim_Output[SIM_ID],Sim_Output[[#This Row],[SIM_ID]],Sim_Output[WEEK],Sim_Output[[#This Row],[WEEK]],Sim_Output[OUTPUT],"PRICE_0")-1</f>
        <v>-0.35106382978723405</v>
      </c>
      <c r="K632" s="4">
        <f ca="1">IF(Sim_Output[[#This Row],[OUTPUT]]="PRICE_0",0,_xlfn.RANK.EQ(Sim_Output[[#This Row],[WTD_RET]],OFFSET(Sim_Output[[#This Row],[WTD_RET]],-Sim_Output[[#This Row],[OBS]]+1,0,12)))</f>
        <v>4</v>
      </c>
      <c r="L632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5.3200658338038241E-2</v>
      </c>
      <c r="M632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0.24060150375939848</v>
      </c>
      <c r="N632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-0.28235294117647058</v>
      </c>
    </row>
    <row r="633" spans="2:14" x14ac:dyDescent="0.25">
      <c r="B633">
        <v>5</v>
      </c>
      <c r="C633">
        <v>9</v>
      </c>
      <c r="D633">
        <f>VALUE(RIGHT(Sim_Output[[#This Row],[OUTPUT]],LEN(Sim_Output[[#This Row],[OUTPUT]])-6))</f>
        <v>5</v>
      </c>
      <c r="E633">
        <v>3</v>
      </c>
      <c r="F633" t="str">
        <f>Sim_Output[[#This Row],[SIM_ID]]&amp;" - "&amp;Sim_Output[[#This Row],[WEEK]]&amp;" - "&amp;Sim_Output[[#This Row],[REGIME]]</f>
        <v>5 - 9 - 3</v>
      </c>
      <c r="G633" t="s">
        <v>49</v>
      </c>
      <c r="H633">
        <v>162</v>
      </c>
      <c r="I633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633" s="7">
        <f>Sim_Output[[#This Row],[VALUE]]/SUMIFS(Sim_Output[VALUE],Sim_Output[SIM_ID],Sim_Output[[#This Row],[SIM_ID]],Sim_Output[WEEK],Sim_Output[[#This Row],[WEEK]],Sim_Output[OUTPUT],"PRICE_0")-1</f>
        <v>0.72340425531914887</v>
      </c>
      <c r="K633" s="4">
        <f ca="1">IF(Sim_Output[[#This Row],[OUTPUT]]="PRICE_0",0,_xlfn.RANK.EQ(Sim_Output[[#This Row],[WTD_RET]],OFFSET(Sim_Output[[#This Row],[WTD_RET]],-Sim_Output[[#This Row],[OBS]]+1,0,12)))</f>
        <v>1</v>
      </c>
      <c r="L633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2.7398339044089655</v>
      </c>
      <c r="M633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1</v>
      </c>
      <c r="N633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1.6557377049180326</v>
      </c>
    </row>
    <row r="634" spans="2:14" x14ac:dyDescent="0.25">
      <c r="B634">
        <v>5</v>
      </c>
      <c r="C634">
        <v>9</v>
      </c>
      <c r="D634">
        <f>VALUE(RIGHT(Sim_Output[[#This Row],[OUTPUT]],LEN(Sim_Output[[#This Row],[OUTPUT]])-6))</f>
        <v>6</v>
      </c>
      <c r="E634">
        <v>3</v>
      </c>
      <c r="F634" t="str">
        <f>Sim_Output[[#This Row],[SIM_ID]]&amp;" - "&amp;Sim_Output[[#This Row],[WEEK]]&amp;" - "&amp;Sim_Output[[#This Row],[REGIME]]</f>
        <v>5 - 9 - 3</v>
      </c>
      <c r="G634" t="s">
        <v>50</v>
      </c>
      <c r="H634">
        <v>41</v>
      </c>
      <c r="I634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634" s="7">
        <f>Sim_Output[[#This Row],[VALUE]]/SUMIFS(Sim_Output[VALUE],Sim_Output[SIM_ID],Sim_Output[[#This Row],[SIM_ID]],Sim_Output[WEEK],Sim_Output[[#This Row],[WEEK]],Sim_Output[OUTPUT],"PRICE_0")-1</f>
        <v>-0.56382978723404253</v>
      </c>
      <c r="K634" s="4">
        <f ca="1">IF(Sim_Output[[#This Row],[OUTPUT]]="PRICE_0",0,_xlfn.RANK.EQ(Sim_Output[[#This Row],[WTD_RET]],OFFSET(Sim_Output[[#This Row],[WTD_RET]],-Sim_Output[[#This Row],[OBS]]+1,0,12)))</f>
        <v>8</v>
      </c>
      <c r="L634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-0.47880592504234332</v>
      </c>
      <c r="M634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9.0225563909774417E-2</v>
      </c>
      <c r="N634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-0.74691358024691357</v>
      </c>
    </row>
    <row r="635" spans="2:14" x14ac:dyDescent="0.25">
      <c r="B635">
        <v>5</v>
      </c>
      <c r="C635">
        <v>9</v>
      </c>
      <c r="D635">
        <f>VALUE(RIGHT(Sim_Output[[#This Row],[OUTPUT]],LEN(Sim_Output[[#This Row],[OUTPUT]])-6))</f>
        <v>7</v>
      </c>
      <c r="E635">
        <v>3</v>
      </c>
      <c r="F635" t="str">
        <f>Sim_Output[[#This Row],[SIM_ID]]&amp;" - "&amp;Sim_Output[[#This Row],[WEEK]]&amp;" - "&amp;Sim_Output[[#This Row],[REGIME]]</f>
        <v>5 - 9 - 3</v>
      </c>
      <c r="G635" t="s">
        <v>51</v>
      </c>
      <c r="H635">
        <v>47</v>
      </c>
      <c r="I635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635" s="7">
        <f>Sim_Output[[#This Row],[VALUE]]/SUMIFS(Sim_Output[VALUE],Sim_Output[SIM_ID],Sim_Output[[#This Row],[SIM_ID]],Sim_Output[WEEK],Sim_Output[[#This Row],[WEEK]],Sim_Output[OUTPUT],"PRICE_0")-1</f>
        <v>-0.5</v>
      </c>
      <c r="K635" s="4">
        <f ca="1">IF(Sim_Output[[#This Row],[OUTPUT]]="PRICE_0",0,_xlfn.RANK.EQ(Sim_Output[[#This Row],[WTD_RET]],OFFSET(Sim_Output[[#This Row],[WTD_RET]],-Sim_Output[[#This Row],[OBS]]+1,0,12)))</f>
        <v>5</v>
      </c>
      <c r="L635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-0.31920395002822888</v>
      </c>
      <c r="M635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0.13533834586466162</v>
      </c>
      <c r="N635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0.14634146341463405</v>
      </c>
    </row>
    <row r="636" spans="2:14" x14ac:dyDescent="0.25">
      <c r="B636">
        <v>5</v>
      </c>
      <c r="C636">
        <v>9</v>
      </c>
      <c r="D636">
        <f>VALUE(RIGHT(Sim_Output[[#This Row],[OUTPUT]],LEN(Sim_Output[[#This Row],[OUTPUT]])-6))</f>
        <v>8</v>
      </c>
      <c r="E636">
        <v>3</v>
      </c>
      <c r="F636" t="str">
        <f>Sim_Output[[#This Row],[SIM_ID]]&amp;" - "&amp;Sim_Output[[#This Row],[WEEK]]&amp;" - "&amp;Sim_Output[[#This Row],[REGIME]]</f>
        <v>5 - 9 - 3</v>
      </c>
      <c r="G636" t="s">
        <v>52</v>
      </c>
      <c r="H636">
        <v>43</v>
      </c>
      <c r="I636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636" s="7">
        <f>Sim_Output[[#This Row],[VALUE]]/SUMIFS(Sim_Output[VALUE],Sim_Output[SIM_ID],Sim_Output[[#This Row],[SIM_ID]],Sim_Output[WEEK],Sim_Output[[#This Row],[WEEK]],Sim_Output[OUTPUT],"PRICE_0")-1</f>
        <v>-0.54255319148936176</v>
      </c>
      <c r="K636" s="4">
        <f ca="1">IF(Sim_Output[[#This Row],[OUTPUT]]="PRICE_0",0,_xlfn.RANK.EQ(Sim_Output[[#This Row],[WTD_RET]],OFFSET(Sim_Output[[#This Row],[WTD_RET]],-Sim_Output[[#This Row],[OBS]]+1,0,12)))</f>
        <v>7</v>
      </c>
      <c r="L636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-0.42560526670430537</v>
      </c>
      <c r="M636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0.10526315789473677</v>
      </c>
      <c r="N636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-8.5106382978723416E-2</v>
      </c>
    </row>
    <row r="637" spans="2:14" x14ac:dyDescent="0.25">
      <c r="B637">
        <v>5</v>
      </c>
      <c r="C637">
        <v>9</v>
      </c>
      <c r="D637">
        <f>VALUE(RIGHT(Sim_Output[[#This Row],[OUTPUT]],LEN(Sim_Output[[#This Row],[OUTPUT]])-6))</f>
        <v>9</v>
      </c>
      <c r="E637">
        <v>3</v>
      </c>
      <c r="F637" t="str">
        <f>Sim_Output[[#This Row],[SIM_ID]]&amp;" - "&amp;Sim_Output[[#This Row],[WEEK]]&amp;" - "&amp;Sim_Output[[#This Row],[REGIME]]</f>
        <v>5 - 9 - 3</v>
      </c>
      <c r="G637" t="s">
        <v>53</v>
      </c>
      <c r="H637">
        <v>39</v>
      </c>
      <c r="I637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637" s="7">
        <f>Sim_Output[[#This Row],[VALUE]]/SUMIFS(Sim_Output[VALUE],Sim_Output[SIM_ID],Sim_Output[[#This Row],[SIM_ID]],Sim_Output[WEEK],Sim_Output[[#This Row],[WEEK]],Sim_Output[OUTPUT],"PRICE_0")-1</f>
        <v>-0.58510638297872342</v>
      </c>
      <c r="K637" s="4">
        <f ca="1">IF(Sim_Output[[#This Row],[OUTPUT]]="PRICE_0",0,_xlfn.RANK.EQ(Sim_Output[[#This Row],[WTD_RET]],OFFSET(Sim_Output[[#This Row],[WTD_RET]],-Sim_Output[[#This Row],[OBS]]+1,0,12)))</f>
        <v>9</v>
      </c>
      <c r="L637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-0.53200658338038154</v>
      </c>
      <c r="M637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7.5187969924811984E-2</v>
      </c>
      <c r="N637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-9.3023255813953543E-2</v>
      </c>
    </row>
    <row r="638" spans="2:14" x14ac:dyDescent="0.25">
      <c r="B638">
        <v>5</v>
      </c>
      <c r="C638">
        <v>9</v>
      </c>
      <c r="D638">
        <f>VALUE(RIGHT(Sim_Output[[#This Row],[OUTPUT]],LEN(Sim_Output[[#This Row],[OUTPUT]])-6))</f>
        <v>10</v>
      </c>
      <c r="E638">
        <v>3</v>
      </c>
      <c r="F638" t="str">
        <f>Sim_Output[[#This Row],[SIM_ID]]&amp;" - "&amp;Sim_Output[[#This Row],[WEEK]]&amp;" - "&amp;Sim_Output[[#This Row],[REGIME]]</f>
        <v>5 - 9 - 3</v>
      </c>
      <c r="G638" t="s">
        <v>54</v>
      </c>
      <c r="H638">
        <v>35</v>
      </c>
      <c r="I638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638" s="7">
        <f>Sim_Output[[#This Row],[VALUE]]/SUMIFS(Sim_Output[VALUE],Sim_Output[SIM_ID],Sim_Output[[#This Row],[SIM_ID]],Sim_Output[WEEK],Sim_Output[[#This Row],[WEEK]],Sim_Output[OUTPUT],"PRICE_0")-1</f>
        <v>-0.62765957446808507</v>
      </c>
      <c r="K638" s="4">
        <f ca="1">IF(Sim_Output[[#This Row],[OUTPUT]]="PRICE_0",0,_xlfn.RANK.EQ(Sim_Output[[#This Row],[WTD_RET]],OFFSET(Sim_Output[[#This Row],[WTD_RET]],-Sim_Output[[#This Row],[OBS]]+1,0,12)))</f>
        <v>10</v>
      </c>
      <c r="L638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-0.63840790005645776</v>
      </c>
      <c r="M638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4.5112781954887209E-2</v>
      </c>
      <c r="N638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-0.10256410256410253</v>
      </c>
    </row>
    <row r="639" spans="2:14" x14ac:dyDescent="0.25">
      <c r="B639">
        <v>5</v>
      </c>
      <c r="C639">
        <v>9</v>
      </c>
      <c r="D639">
        <f>VALUE(RIGHT(Sim_Output[[#This Row],[OUTPUT]],LEN(Sim_Output[[#This Row],[OUTPUT]])-6))</f>
        <v>11</v>
      </c>
      <c r="E639">
        <v>3</v>
      </c>
      <c r="F639" t="str">
        <f>Sim_Output[[#This Row],[SIM_ID]]&amp;" - "&amp;Sim_Output[[#This Row],[WEEK]]&amp;" - "&amp;Sim_Output[[#This Row],[REGIME]]</f>
        <v>5 - 9 - 3</v>
      </c>
      <c r="G639" t="s">
        <v>55</v>
      </c>
      <c r="H639">
        <v>32</v>
      </c>
      <c r="I639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639" s="7">
        <f>Sim_Output[[#This Row],[VALUE]]/SUMIFS(Sim_Output[VALUE],Sim_Output[SIM_ID],Sim_Output[[#This Row],[SIM_ID]],Sim_Output[WEEK],Sim_Output[[#This Row],[WEEK]],Sim_Output[OUTPUT],"PRICE_0")-1</f>
        <v>-0.65957446808510634</v>
      </c>
      <c r="K639" s="4">
        <f ca="1">IF(Sim_Output[[#This Row],[OUTPUT]]="PRICE_0",0,_xlfn.RANK.EQ(Sim_Output[[#This Row],[WTD_RET]],OFFSET(Sim_Output[[#This Row],[WTD_RET]],-Sim_Output[[#This Row],[OBS]]+1,0,12)))</f>
        <v>11</v>
      </c>
      <c r="L639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-0.71820888756351497</v>
      </c>
      <c r="M639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2.2556390977443604E-2</v>
      </c>
      <c r="N639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-8.5714285714285743E-2</v>
      </c>
    </row>
    <row r="640" spans="2:14" x14ac:dyDescent="0.25">
      <c r="B640">
        <v>5</v>
      </c>
      <c r="C640">
        <v>9</v>
      </c>
      <c r="D640">
        <f>VALUE(RIGHT(Sim_Output[[#This Row],[OUTPUT]],LEN(Sim_Output[[#This Row],[OUTPUT]])-6))</f>
        <v>12</v>
      </c>
      <c r="E640">
        <v>3</v>
      </c>
      <c r="F640" t="str">
        <f>Sim_Output[[#This Row],[SIM_ID]]&amp;" - "&amp;Sim_Output[[#This Row],[WEEK]]&amp;" - "&amp;Sim_Output[[#This Row],[REGIME]]</f>
        <v>5 - 9 - 3</v>
      </c>
      <c r="G640" t="s">
        <v>56</v>
      </c>
      <c r="H640">
        <v>29</v>
      </c>
      <c r="I640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640" s="7">
        <f>Sim_Output[[#This Row],[VALUE]]/SUMIFS(Sim_Output[VALUE],Sim_Output[SIM_ID],Sim_Output[[#This Row],[SIM_ID]],Sim_Output[WEEK],Sim_Output[[#This Row],[WEEK]],Sim_Output[OUTPUT],"PRICE_0")-1</f>
        <v>-0.6914893617021276</v>
      </c>
      <c r="K640" s="4">
        <f ca="1">IF(Sim_Output[[#This Row],[OUTPUT]]="PRICE_0",0,_xlfn.RANK.EQ(Sim_Output[[#This Row],[WTD_RET]],OFFSET(Sim_Output[[#This Row],[WTD_RET]],-Sim_Output[[#This Row],[OBS]]+1,0,12)))</f>
        <v>12</v>
      </c>
      <c r="L640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-0.79800987507057219</v>
      </c>
      <c r="M640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</v>
      </c>
      <c r="N640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-9.375E-2</v>
      </c>
    </row>
    <row r="641" spans="2:14" x14ac:dyDescent="0.25">
      <c r="B641">
        <v>5</v>
      </c>
      <c r="C641">
        <v>10</v>
      </c>
      <c r="D641">
        <f>VALUE(RIGHT(Sim_Output[[#This Row],[OUTPUT]],LEN(Sim_Output[[#This Row],[OUTPUT]])-6))</f>
        <v>0</v>
      </c>
      <c r="E641">
        <v>0</v>
      </c>
      <c r="F641" t="str">
        <f>Sim_Output[[#This Row],[SIM_ID]]&amp;" - "&amp;Sim_Output[[#This Row],[WEEK]]&amp;" - "&amp;Sim_Output[[#This Row],[REGIME]]</f>
        <v>5 - 10 - 0</v>
      </c>
      <c r="G641" t="s">
        <v>44</v>
      </c>
      <c r="H641">
        <v>100</v>
      </c>
      <c r="I641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641" s="7">
        <f>Sim_Output[[#This Row],[VALUE]]/SUMIFS(Sim_Output[VALUE],Sim_Output[SIM_ID],Sim_Output[[#This Row],[SIM_ID]],Sim_Output[WEEK],Sim_Output[[#This Row],[WEEK]],Sim_Output[OUTPUT],"PRICE_0")-1</f>
        <v>0</v>
      </c>
      <c r="K641" s="4">
        <f ca="1">IF(Sim_Output[[#This Row],[OUTPUT]]="PRICE_0",0,_xlfn.RANK.EQ(Sim_Output[[#This Row],[WTD_RET]],OFFSET(Sim_Output[[#This Row],[WTD_RET]],-Sim_Output[[#This Row],[OBS]]+1,0,12)))</f>
        <v>0</v>
      </c>
      <c r="L641" s="3" t="str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/>
      </c>
      <c r="M641" s="3" t="str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/>
      </c>
      <c r="N641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</v>
      </c>
    </row>
    <row r="642" spans="2:14" x14ac:dyDescent="0.25">
      <c r="B642">
        <v>5</v>
      </c>
      <c r="C642">
        <v>10</v>
      </c>
      <c r="D642">
        <f>VALUE(RIGHT(Sim_Output[[#This Row],[OUTPUT]],LEN(Sim_Output[[#This Row],[OUTPUT]])-6))</f>
        <v>1</v>
      </c>
      <c r="E642">
        <v>0</v>
      </c>
      <c r="F642" t="str">
        <f>Sim_Output[[#This Row],[SIM_ID]]&amp;" - "&amp;Sim_Output[[#This Row],[WEEK]]&amp;" - "&amp;Sim_Output[[#This Row],[REGIME]]</f>
        <v>5 - 10 - 0</v>
      </c>
      <c r="G642" t="s">
        <v>45</v>
      </c>
      <c r="H642">
        <v>73</v>
      </c>
      <c r="I642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642" s="7">
        <f>Sim_Output[[#This Row],[VALUE]]/SUMIFS(Sim_Output[VALUE],Sim_Output[SIM_ID],Sim_Output[[#This Row],[SIM_ID]],Sim_Output[WEEK],Sim_Output[[#This Row],[WEEK]],Sim_Output[OUTPUT],"PRICE_0")-1</f>
        <v>-0.27</v>
      </c>
      <c r="K642" s="4">
        <f ca="1">IF(Sim_Output[[#This Row],[OUTPUT]]="PRICE_0",0,_xlfn.RANK.EQ(Sim_Output[[#This Row],[WTD_RET]],OFFSET(Sim_Output[[#This Row],[WTD_RET]],-Sim_Output[[#This Row],[OBS]]+1,0,12)))</f>
        <v>8</v>
      </c>
      <c r="L642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-0.76999239630537286</v>
      </c>
      <c r="M642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0.2368421052631578</v>
      </c>
      <c r="N642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-0.27</v>
      </c>
    </row>
    <row r="643" spans="2:14" x14ac:dyDescent="0.25">
      <c r="B643">
        <v>5</v>
      </c>
      <c r="C643">
        <v>10</v>
      </c>
      <c r="D643">
        <f>VALUE(RIGHT(Sim_Output[[#This Row],[OUTPUT]],LEN(Sim_Output[[#This Row],[OUTPUT]])-6))</f>
        <v>2</v>
      </c>
      <c r="E643">
        <v>0</v>
      </c>
      <c r="F643" t="str">
        <f>Sim_Output[[#This Row],[SIM_ID]]&amp;" - "&amp;Sim_Output[[#This Row],[WEEK]]&amp;" - "&amp;Sim_Output[[#This Row],[REGIME]]</f>
        <v>5 - 10 - 0</v>
      </c>
      <c r="G643" t="s">
        <v>46</v>
      </c>
      <c r="H643">
        <v>66</v>
      </c>
      <c r="I643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643" s="7">
        <f>Sim_Output[[#This Row],[VALUE]]/SUMIFS(Sim_Output[VALUE],Sim_Output[SIM_ID],Sim_Output[[#This Row],[SIM_ID]],Sim_Output[WEEK],Sim_Output[[#This Row],[WEEK]],Sim_Output[OUTPUT],"PRICE_0")-1</f>
        <v>-0.33999999999999997</v>
      </c>
      <c r="K643" s="4">
        <f ca="1">IF(Sim_Output[[#This Row],[OUTPUT]]="PRICE_0",0,_xlfn.RANK.EQ(Sim_Output[[#This Row],[WTD_RET]],OFFSET(Sim_Output[[#This Row],[WTD_RET]],-Sim_Output[[#This Row],[OBS]]+1,0,12)))</f>
        <v>10</v>
      </c>
      <c r="L643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-1.0329166291901342</v>
      </c>
      <c r="M643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0.14473684210526314</v>
      </c>
      <c r="N643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-9.589041095890416E-2</v>
      </c>
    </row>
    <row r="644" spans="2:14" x14ac:dyDescent="0.25">
      <c r="B644">
        <v>5</v>
      </c>
      <c r="C644">
        <v>10</v>
      </c>
      <c r="D644">
        <f>VALUE(RIGHT(Sim_Output[[#This Row],[OUTPUT]],LEN(Sim_Output[[#This Row],[OUTPUT]])-6))</f>
        <v>3</v>
      </c>
      <c r="E644">
        <v>0</v>
      </c>
      <c r="F644" t="str">
        <f>Sim_Output[[#This Row],[SIM_ID]]&amp;" - "&amp;Sim_Output[[#This Row],[WEEK]]&amp;" - "&amp;Sim_Output[[#This Row],[REGIME]]</f>
        <v>5 - 10 - 0</v>
      </c>
      <c r="G644" t="s">
        <v>47</v>
      </c>
      <c r="H644">
        <v>107</v>
      </c>
      <c r="I644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644" s="7">
        <f>Sim_Output[[#This Row],[VALUE]]/SUMIFS(Sim_Output[VALUE],Sim_Output[SIM_ID],Sim_Output[[#This Row],[SIM_ID]],Sim_Output[WEEK],Sim_Output[[#This Row],[WEEK]],Sim_Output[OUTPUT],"PRICE_0")-1</f>
        <v>7.0000000000000062E-2</v>
      </c>
      <c r="K644" s="4">
        <f ca="1">IF(Sim_Output[[#This Row],[OUTPUT]]="PRICE_0",0,_xlfn.RANK.EQ(Sim_Output[[#This Row],[WTD_RET]],OFFSET(Sim_Output[[#This Row],[WTD_RET]],-Sim_Output[[#This Row],[OBS]]+1,0,12)))</f>
        <v>6</v>
      </c>
      <c r="L644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0.50706816342061145</v>
      </c>
      <c r="M644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0.68421052631578949</v>
      </c>
      <c r="N644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0.6212121212121211</v>
      </c>
    </row>
    <row r="645" spans="2:14" x14ac:dyDescent="0.25">
      <c r="B645">
        <v>5</v>
      </c>
      <c r="C645">
        <v>10</v>
      </c>
      <c r="D645">
        <f>VALUE(RIGHT(Sim_Output[[#This Row],[OUTPUT]],LEN(Sim_Output[[#This Row],[OUTPUT]])-6))</f>
        <v>4</v>
      </c>
      <c r="E645">
        <v>0</v>
      </c>
      <c r="F645" t="str">
        <f>Sim_Output[[#This Row],[SIM_ID]]&amp;" - "&amp;Sim_Output[[#This Row],[WEEK]]&amp;" - "&amp;Sim_Output[[#This Row],[REGIME]]</f>
        <v>5 - 10 - 0</v>
      </c>
      <c r="G645" t="s">
        <v>48</v>
      </c>
      <c r="H645">
        <v>92</v>
      </c>
      <c r="I645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645" s="7">
        <f>Sim_Output[[#This Row],[VALUE]]/SUMIFS(Sim_Output[VALUE],Sim_Output[SIM_ID],Sim_Output[[#This Row],[SIM_ID]],Sim_Output[WEEK],Sim_Output[[#This Row],[WEEK]],Sim_Output[OUTPUT],"PRICE_0")-1</f>
        <v>-7.999999999999996E-2</v>
      </c>
      <c r="K645" s="4">
        <f ca="1">IF(Sim_Output[[#This Row],[OUTPUT]]="PRICE_0",0,_xlfn.RANK.EQ(Sim_Output[[#This Row],[WTD_RET]],OFFSET(Sim_Output[[#This Row],[WTD_RET]],-Sim_Output[[#This Row],[OBS]]+1,0,12)))</f>
        <v>7</v>
      </c>
      <c r="L645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-5.6340907046734535E-2</v>
      </c>
      <c r="M645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0.48684210526315791</v>
      </c>
      <c r="N645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-0.14018691588785048</v>
      </c>
    </row>
    <row r="646" spans="2:14" x14ac:dyDescent="0.25">
      <c r="B646">
        <v>5</v>
      </c>
      <c r="C646">
        <v>10</v>
      </c>
      <c r="D646">
        <f>VALUE(RIGHT(Sim_Output[[#This Row],[OUTPUT]],LEN(Sim_Output[[#This Row],[OUTPUT]])-6))</f>
        <v>5</v>
      </c>
      <c r="E646">
        <v>0</v>
      </c>
      <c r="F646" t="str">
        <f>Sim_Output[[#This Row],[SIM_ID]]&amp;" - "&amp;Sim_Output[[#This Row],[WEEK]]&amp;" - "&amp;Sim_Output[[#This Row],[REGIME]]</f>
        <v>5 - 10 - 0</v>
      </c>
      <c r="G646" t="s">
        <v>49</v>
      </c>
      <c r="H646">
        <v>131</v>
      </c>
      <c r="I646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646" s="7">
        <f>Sim_Output[[#This Row],[VALUE]]/SUMIFS(Sim_Output[VALUE],Sim_Output[SIM_ID],Sim_Output[[#This Row],[SIM_ID]],Sim_Output[WEEK],Sim_Output[[#This Row],[WEEK]],Sim_Output[OUTPUT],"PRICE_0")-1</f>
        <v>0.31000000000000005</v>
      </c>
      <c r="K646" s="4">
        <f ca="1">IF(Sim_Output[[#This Row],[OUTPUT]]="PRICE_0",0,_xlfn.RANK.EQ(Sim_Output[[#This Row],[WTD_RET]],OFFSET(Sim_Output[[#This Row],[WTD_RET]],-Sim_Output[[#This Row],[OBS]]+1,0,12)))</f>
        <v>1</v>
      </c>
      <c r="L646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1.4085226761683647</v>
      </c>
      <c r="M646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1</v>
      </c>
      <c r="N646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0.42391304347826098</v>
      </c>
    </row>
    <row r="647" spans="2:14" x14ac:dyDescent="0.25">
      <c r="B647">
        <v>5</v>
      </c>
      <c r="C647">
        <v>10</v>
      </c>
      <c r="D647">
        <f>VALUE(RIGHT(Sim_Output[[#This Row],[OUTPUT]],LEN(Sim_Output[[#This Row],[OUTPUT]])-6))</f>
        <v>6</v>
      </c>
      <c r="E647">
        <v>0</v>
      </c>
      <c r="F647" t="str">
        <f>Sim_Output[[#This Row],[SIM_ID]]&amp;" - "&amp;Sim_Output[[#This Row],[WEEK]]&amp;" - "&amp;Sim_Output[[#This Row],[REGIME]]</f>
        <v>5 - 10 - 0</v>
      </c>
      <c r="G647" t="s">
        <v>50</v>
      </c>
      <c r="H647">
        <v>114</v>
      </c>
      <c r="I647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647" s="7">
        <f>Sim_Output[[#This Row],[VALUE]]/SUMIFS(Sim_Output[VALUE],Sim_Output[SIM_ID],Sim_Output[[#This Row],[SIM_ID]],Sim_Output[WEEK],Sim_Output[[#This Row],[WEEK]],Sim_Output[OUTPUT],"PRICE_0")-1</f>
        <v>0.1399999999999999</v>
      </c>
      <c r="K647" s="4">
        <f ca="1">IF(Sim_Output[[#This Row],[OUTPUT]]="PRICE_0",0,_xlfn.RANK.EQ(Sim_Output[[#This Row],[WTD_RET]],OFFSET(Sim_Output[[#This Row],[WTD_RET]],-Sim_Output[[#This Row],[OBS]]+1,0,12)))</f>
        <v>3</v>
      </c>
      <c r="L647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0.76999239630537231</v>
      </c>
      <c r="M647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0.77631578947368396</v>
      </c>
      <c r="N647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-0.12977099236641221</v>
      </c>
    </row>
    <row r="648" spans="2:14" x14ac:dyDescent="0.25">
      <c r="B648">
        <v>5</v>
      </c>
      <c r="C648">
        <v>10</v>
      </c>
      <c r="D648">
        <f>VALUE(RIGHT(Sim_Output[[#This Row],[OUTPUT]],LEN(Sim_Output[[#This Row],[OUTPUT]])-6))</f>
        <v>7</v>
      </c>
      <c r="E648">
        <v>0</v>
      </c>
      <c r="F648" t="str">
        <f>Sim_Output[[#This Row],[SIM_ID]]&amp;" - "&amp;Sim_Output[[#This Row],[WEEK]]&amp;" - "&amp;Sim_Output[[#This Row],[REGIME]]</f>
        <v>5 - 10 - 0</v>
      </c>
      <c r="G648" t="s">
        <v>51</v>
      </c>
      <c r="H648">
        <v>108</v>
      </c>
      <c r="I648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648" s="7">
        <f>Sim_Output[[#This Row],[VALUE]]/SUMIFS(Sim_Output[VALUE],Sim_Output[SIM_ID],Sim_Output[[#This Row],[SIM_ID]],Sim_Output[WEEK],Sim_Output[[#This Row],[WEEK]],Sim_Output[OUTPUT],"PRICE_0")-1</f>
        <v>8.0000000000000071E-2</v>
      </c>
      <c r="K648" s="4">
        <f ca="1">IF(Sim_Output[[#This Row],[OUTPUT]]="PRICE_0",0,_xlfn.RANK.EQ(Sim_Output[[#This Row],[WTD_RET]],OFFSET(Sim_Output[[#This Row],[WTD_RET]],-Sim_Output[[#This Row],[OBS]]+1,0,12)))</f>
        <v>5</v>
      </c>
      <c r="L648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0.54462876811843453</v>
      </c>
      <c r="M648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0.69736842105263164</v>
      </c>
      <c r="N648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-5.2631578947368474E-2</v>
      </c>
    </row>
    <row r="649" spans="2:14" x14ac:dyDescent="0.25">
      <c r="B649">
        <v>5</v>
      </c>
      <c r="C649">
        <v>10</v>
      </c>
      <c r="D649">
        <f>VALUE(RIGHT(Sim_Output[[#This Row],[OUTPUT]],LEN(Sim_Output[[#This Row],[OUTPUT]])-6))</f>
        <v>8</v>
      </c>
      <c r="E649">
        <v>0</v>
      </c>
      <c r="F649" t="str">
        <f>Sim_Output[[#This Row],[SIM_ID]]&amp;" - "&amp;Sim_Output[[#This Row],[WEEK]]&amp;" - "&amp;Sim_Output[[#This Row],[REGIME]]</f>
        <v>5 - 10 - 0</v>
      </c>
      <c r="G649" t="s">
        <v>52</v>
      </c>
      <c r="H649">
        <v>129</v>
      </c>
      <c r="I649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649" s="7">
        <f>Sim_Output[[#This Row],[VALUE]]/SUMIFS(Sim_Output[VALUE],Sim_Output[SIM_ID],Sim_Output[[#This Row],[SIM_ID]],Sim_Output[WEEK],Sim_Output[[#This Row],[WEEK]],Sim_Output[OUTPUT],"PRICE_0")-1</f>
        <v>0.29000000000000004</v>
      </c>
      <c r="K649" s="4">
        <f ca="1">IF(Sim_Output[[#This Row],[OUTPUT]]="PRICE_0",0,_xlfn.RANK.EQ(Sim_Output[[#This Row],[WTD_RET]],OFFSET(Sim_Output[[#This Row],[WTD_RET]],-Sim_Output[[#This Row],[OBS]]+1,0,12)))</f>
        <v>2</v>
      </c>
      <c r="L649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1.3334014667727185</v>
      </c>
      <c r="M649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0.97368421052631582</v>
      </c>
      <c r="N649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0.19444444444444442</v>
      </c>
    </row>
    <row r="650" spans="2:14" x14ac:dyDescent="0.25">
      <c r="B650">
        <v>5</v>
      </c>
      <c r="C650">
        <v>10</v>
      </c>
      <c r="D650">
        <f>VALUE(RIGHT(Sim_Output[[#This Row],[OUTPUT]],LEN(Sim_Output[[#This Row],[OUTPUT]])-6))</f>
        <v>9</v>
      </c>
      <c r="E650">
        <v>0</v>
      </c>
      <c r="F650" t="str">
        <f>Sim_Output[[#This Row],[SIM_ID]]&amp;" - "&amp;Sim_Output[[#This Row],[WEEK]]&amp;" - "&amp;Sim_Output[[#This Row],[REGIME]]</f>
        <v>5 - 10 - 0</v>
      </c>
      <c r="G650" t="s">
        <v>53</v>
      </c>
      <c r="H650">
        <v>73</v>
      </c>
      <c r="I650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650" s="7">
        <f>Sim_Output[[#This Row],[VALUE]]/SUMIFS(Sim_Output[VALUE],Sim_Output[SIM_ID],Sim_Output[[#This Row],[SIM_ID]],Sim_Output[WEEK],Sim_Output[[#This Row],[WEEK]],Sim_Output[OUTPUT],"PRICE_0")-1</f>
        <v>-0.27</v>
      </c>
      <c r="K650" s="4">
        <f ca="1">IF(Sim_Output[[#This Row],[OUTPUT]]="PRICE_0",0,_xlfn.RANK.EQ(Sim_Output[[#This Row],[WTD_RET]],OFFSET(Sim_Output[[#This Row],[WTD_RET]],-Sim_Output[[#This Row],[OBS]]+1,0,12)))</f>
        <v>8</v>
      </c>
      <c r="L650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-0.76999239630537286</v>
      </c>
      <c r="M650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0.2368421052631578</v>
      </c>
      <c r="N650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-0.43410852713178294</v>
      </c>
    </row>
    <row r="651" spans="2:14" x14ac:dyDescent="0.25">
      <c r="B651">
        <v>5</v>
      </c>
      <c r="C651">
        <v>10</v>
      </c>
      <c r="D651">
        <f>VALUE(RIGHT(Sim_Output[[#This Row],[OUTPUT]],LEN(Sim_Output[[#This Row],[OUTPUT]])-6))</f>
        <v>10</v>
      </c>
      <c r="E651">
        <v>0</v>
      </c>
      <c r="F651" t="str">
        <f>Sim_Output[[#This Row],[SIM_ID]]&amp;" - "&amp;Sim_Output[[#This Row],[WEEK]]&amp;" - "&amp;Sim_Output[[#This Row],[REGIME]]</f>
        <v>5 - 10 - 0</v>
      </c>
      <c r="G651" t="s">
        <v>54</v>
      </c>
      <c r="H651">
        <v>63</v>
      </c>
      <c r="I651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651" s="7">
        <f>Sim_Output[[#This Row],[VALUE]]/SUMIFS(Sim_Output[VALUE],Sim_Output[SIM_ID],Sim_Output[[#This Row],[SIM_ID]],Sim_Output[WEEK],Sim_Output[[#This Row],[WEEK]],Sim_Output[OUTPUT],"PRICE_0")-1</f>
        <v>-0.37</v>
      </c>
      <c r="K651" s="4">
        <f ca="1">IF(Sim_Output[[#This Row],[OUTPUT]]="PRICE_0",0,_xlfn.RANK.EQ(Sim_Output[[#This Row],[WTD_RET]],OFFSET(Sim_Output[[#This Row],[WTD_RET]],-Sim_Output[[#This Row],[OBS]]+1,0,12)))</f>
        <v>11</v>
      </c>
      <c r="L651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-1.1455984432836035</v>
      </c>
      <c r="M651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0.10526315789473679</v>
      </c>
      <c r="N651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-0.13698630136986301</v>
      </c>
    </row>
    <row r="652" spans="2:14" x14ac:dyDescent="0.25">
      <c r="B652">
        <v>5</v>
      </c>
      <c r="C652">
        <v>10</v>
      </c>
      <c r="D652">
        <f>VALUE(RIGHT(Sim_Output[[#This Row],[OUTPUT]],LEN(Sim_Output[[#This Row],[OUTPUT]])-6))</f>
        <v>11</v>
      </c>
      <c r="E652">
        <v>0</v>
      </c>
      <c r="F652" t="str">
        <f>Sim_Output[[#This Row],[SIM_ID]]&amp;" - "&amp;Sim_Output[[#This Row],[WEEK]]&amp;" - "&amp;Sim_Output[[#This Row],[REGIME]]</f>
        <v>5 - 10 - 0</v>
      </c>
      <c r="G652" t="s">
        <v>55</v>
      </c>
      <c r="H652">
        <v>55</v>
      </c>
      <c r="I652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652" s="7">
        <f>Sim_Output[[#This Row],[VALUE]]/SUMIFS(Sim_Output[VALUE],Sim_Output[SIM_ID],Sim_Output[[#This Row],[SIM_ID]],Sim_Output[WEEK],Sim_Output[[#This Row],[WEEK]],Sim_Output[OUTPUT],"PRICE_0")-1</f>
        <v>-0.44999999999999996</v>
      </c>
      <c r="K652" s="4">
        <f ca="1">IF(Sim_Output[[#This Row],[OUTPUT]]="PRICE_0",0,_xlfn.RANK.EQ(Sim_Output[[#This Row],[WTD_RET]],OFFSET(Sim_Output[[#This Row],[WTD_RET]],-Sim_Output[[#This Row],[OBS]]+1,0,12)))</f>
        <v>12</v>
      </c>
      <c r="L652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-1.4460832808661879</v>
      </c>
      <c r="M652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</v>
      </c>
      <c r="N652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-0.12698412698412698</v>
      </c>
    </row>
    <row r="653" spans="2:14" x14ac:dyDescent="0.25">
      <c r="B653">
        <v>5</v>
      </c>
      <c r="C653">
        <v>10</v>
      </c>
      <c r="D653">
        <f>VALUE(RIGHT(Sim_Output[[#This Row],[OUTPUT]],LEN(Sim_Output[[#This Row],[OUTPUT]])-6))</f>
        <v>12</v>
      </c>
      <c r="E653">
        <v>0</v>
      </c>
      <c r="F653" t="str">
        <f>Sim_Output[[#This Row],[SIM_ID]]&amp;" - "&amp;Sim_Output[[#This Row],[WEEK]]&amp;" - "&amp;Sim_Output[[#This Row],[REGIME]]</f>
        <v>5 - 10 - 0</v>
      </c>
      <c r="G653" t="s">
        <v>56</v>
      </c>
      <c r="H653">
        <v>111</v>
      </c>
      <c r="I653">
        <f>IF(Sim_Output[[#This Row],[WEEK]]=1,Sim_Output[[#This Row],[REGIME]],SUMIFS(Sim_Output[REGIME],Sim_Output[SIM_ID],Sim_Output[[#This Row],[SIM_ID]],Sim_Output[WEEK],Sim_Output[[#This Row],[WEEK]]-1,Sim_Output[OUTPUT],Sim_Output[[#This Row],[OUTPUT]]))</f>
        <v>3</v>
      </c>
      <c r="J653" s="7">
        <f>Sim_Output[[#This Row],[VALUE]]/SUMIFS(Sim_Output[VALUE],Sim_Output[SIM_ID],Sim_Output[[#This Row],[SIM_ID]],Sim_Output[WEEK],Sim_Output[[#This Row],[WEEK]],Sim_Output[OUTPUT],"PRICE_0")-1</f>
        <v>0.1100000000000001</v>
      </c>
      <c r="K653" s="4">
        <f ca="1">IF(Sim_Output[[#This Row],[OUTPUT]]="PRICE_0",0,_xlfn.RANK.EQ(Sim_Output[[#This Row],[WTD_RET]],OFFSET(Sim_Output[[#This Row],[WTD_RET]],-Sim_Output[[#This Row],[OBS]]+1,0,12)))</f>
        <v>4</v>
      </c>
      <c r="L653" s="3">
        <f ca="1">IF(Sim_Output[[#This Row],[OUTPUT]]="PRICE_0","",(Sim_Output[[#This Row],[WTD_RET]]-AVERAGE(OFFSET(Sim_Output[[#This Row],[WTD_RET]],-Sim_Output[[#This Row],[OBS]]+1,0,12)))/_xlfn.STDEV.S(OFFSET(Sim_Output[[#This Row],[WTD_RET]],-Sim_Output[[#This Row],[OBS]]+1,0,12)))</f>
        <v>0.65731058221190386</v>
      </c>
      <c r="M653" s="3">
        <f ca="1">IF(Sim_Output[[#This Row],[OUTPUT]]="PRICE_0","",(Sim_Output[[#This Row],[WTD_RET]]-MIN(OFFSET(Sim_Output[[#This Row],[WTD_RET]],-Sim_Output[[#This Row],[OBS]]+1,0,12)))/(MAX(OFFSET(Sim_Output[[#This Row],[WTD_RET]],-Sim_Output[[#This Row],[OBS]]+1,0,12))-MIN(OFFSET(Sim_Output[[#This Row],[WTD_RET]],-Sim_Output[[#This Row],[OBS]]+1,0,12))))</f>
        <v>0.73684210526315796</v>
      </c>
      <c r="N653" s="7">
        <f>IF(Sim_Output[[#This Row],[OBS]]=0,0,Sim_Output[[#This Row],[VALUE]]/SUMIFS(Sim_Output[VALUE],Sim_Output[SIM_ID],Sim_Output[[#This Row],[SIM_ID]],Sim_Output[WEEK],Sim_Output[[#This Row],[WEEK]],Sim_Output[OBS],Sim_Output[[#This Row],[OBS]]-1)-1)</f>
        <v>1.0181818181818181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autoPageBreaks="0"/>
  </sheetPr>
  <dimension ref="B3:G144"/>
  <sheetViews>
    <sheetView showGridLines="0" topLeftCell="B1" zoomScale="55" zoomScaleNormal="55" workbookViewId="0">
      <selection activeCell="K630" sqref="K630"/>
    </sheetView>
  </sheetViews>
  <sheetFormatPr defaultRowHeight="15" x14ac:dyDescent="0.25"/>
  <cols>
    <col min="2" max="2" width="19.85546875" bestFit="1" customWidth="1"/>
    <col min="3" max="3" width="23.5703125" bestFit="1" customWidth="1"/>
    <col min="4" max="7" width="5.5703125" bestFit="1" customWidth="1"/>
    <col min="8" max="8" width="9" customWidth="1"/>
    <col min="9" max="10" width="10" customWidth="1"/>
    <col min="11" max="11" width="9" customWidth="1"/>
    <col min="12" max="12" width="10" customWidth="1"/>
    <col min="13" max="15" width="9" customWidth="1"/>
    <col min="16" max="16" width="8" customWidth="1"/>
    <col min="17" max="20" width="10" customWidth="1"/>
    <col min="21" max="21" width="9" customWidth="1"/>
    <col min="22" max="22" width="8" customWidth="1"/>
    <col min="23" max="23" width="9" customWidth="1"/>
    <col min="24" max="24" width="10" customWidth="1"/>
    <col min="25" max="26" width="10" bestFit="1" customWidth="1"/>
    <col min="27" max="28" width="9" customWidth="1"/>
    <col min="29" max="29" width="8" customWidth="1"/>
    <col min="30" max="30" width="10" customWidth="1"/>
    <col min="31" max="32" width="9" customWidth="1"/>
    <col min="33" max="34" width="10" customWidth="1"/>
    <col min="35" max="36" width="10" bestFit="1" customWidth="1"/>
    <col min="37" max="39" width="9" customWidth="1"/>
    <col min="40" max="41" width="10" customWidth="1"/>
    <col min="42" max="42" width="8" customWidth="1"/>
    <col min="43" max="43" width="10" bestFit="1" customWidth="1"/>
    <col min="44" max="44" width="10" customWidth="1"/>
    <col min="45" max="45" width="9" customWidth="1"/>
    <col min="46" max="46" width="10" customWidth="1"/>
    <col min="47" max="54" width="9" customWidth="1"/>
    <col min="55" max="55" width="8" customWidth="1"/>
    <col min="56" max="57" width="9" customWidth="1"/>
    <col min="58" max="58" width="8" customWidth="1"/>
    <col min="59" max="62" width="9" customWidth="1"/>
    <col min="63" max="63" width="10" customWidth="1"/>
    <col min="64" max="64" width="9" customWidth="1"/>
    <col min="65" max="65" width="10" customWidth="1"/>
    <col min="66" max="67" width="9" customWidth="1"/>
    <col min="68" max="68" width="8" customWidth="1"/>
    <col min="69" max="75" width="9" customWidth="1"/>
    <col min="76" max="76" width="8" customWidth="1"/>
    <col min="77" max="80" width="9" customWidth="1"/>
    <col min="81" max="81" width="8" customWidth="1"/>
    <col min="82" max="84" width="9" customWidth="1"/>
    <col min="85" max="85" width="8" customWidth="1"/>
    <col min="86" max="87" width="9" customWidth="1"/>
    <col min="88" max="92" width="10" customWidth="1"/>
    <col min="93" max="93" width="9" customWidth="1"/>
    <col min="94" max="94" width="8" customWidth="1"/>
    <col min="95" max="96" width="10" bestFit="1" customWidth="1"/>
    <col min="97" max="106" width="9" customWidth="1"/>
    <col min="107" max="107" width="8" customWidth="1"/>
    <col min="108" max="110" width="10" customWidth="1"/>
    <col min="111" max="112" width="9" customWidth="1"/>
    <col min="113" max="113" width="10" customWidth="1"/>
    <col min="114" max="115" width="9" customWidth="1"/>
    <col min="116" max="116" width="8" customWidth="1"/>
    <col min="117" max="118" width="9" customWidth="1"/>
    <col min="119" max="119" width="10" customWidth="1"/>
    <col min="120" max="120" width="8" customWidth="1"/>
    <col min="121" max="122" width="9" customWidth="1"/>
    <col min="123" max="123" width="8" customWidth="1"/>
    <col min="124" max="124" width="9" customWidth="1"/>
    <col min="125" max="128" width="8" customWidth="1"/>
    <col min="129" max="133" width="9" customWidth="1"/>
    <col min="134" max="137" width="8" customWidth="1"/>
    <col min="138" max="141" width="9" customWidth="1"/>
    <col min="142" max="142" width="10" bestFit="1" customWidth="1"/>
  </cols>
  <sheetData>
    <row r="3" spans="2:7" x14ac:dyDescent="0.25">
      <c r="B3" s="9" t="s">
        <v>60</v>
      </c>
      <c r="C3" s="9" t="s">
        <v>62</v>
      </c>
    </row>
    <row r="4" spans="2:7" x14ac:dyDescent="0.25">
      <c r="B4" s="9" t="s">
        <v>61</v>
      </c>
      <c r="C4">
        <v>1</v>
      </c>
      <c r="D4">
        <v>2</v>
      </c>
      <c r="E4">
        <v>3</v>
      </c>
      <c r="F4">
        <v>4</v>
      </c>
      <c r="G4">
        <v>5</v>
      </c>
    </row>
    <row r="5" spans="2:7" x14ac:dyDescent="0.25">
      <c r="B5" s="10">
        <v>1</v>
      </c>
      <c r="C5" s="8"/>
      <c r="D5" s="8"/>
      <c r="E5" s="8"/>
      <c r="F5" s="8"/>
      <c r="G5" s="8"/>
    </row>
    <row r="6" spans="2:7" x14ac:dyDescent="0.25">
      <c r="B6" s="11" t="s">
        <v>44</v>
      </c>
      <c r="C6" s="8">
        <v>97</v>
      </c>
      <c r="D6" s="8">
        <v>105</v>
      </c>
      <c r="E6" s="8">
        <v>110</v>
      </c>
      <c r="F6" s="8">
        <v>102</v>
      </c>
      <c r="G6" s="8">
        <v>105</v>
      </c>
    </row>
    <row r="7" spans="2:7" x14ac:dyDescent="0.25">
      <c r="B7" s="11" t="s">
        <v>45</v>
      </c>
      <c r="C7" s="8">
        <v>77</v>
      </c>
      <c r="D7" s="8">
        <v>59</v>
      </c>
      <c r="E7" s="8">
        <v>60</v>
      </c>
      <c r="F7" s="8">
        <v>88</v>
      </c>
      <c r="G7" s="8">
        <v>56</v>
      </c>
    </row>
    <row r="8" spans="2:7" x14ac:dyDescent="0.25">
      <c r="B8" s="11" t="s">
        <v>46</v>
      </c>
      <c r="C8" s="8">
        <v>73</v>
      </c>
      <c r="D8" s="8">
        <v>53</v>
      </c>
      <c r="E8" s="8">
        <v>55</v>
      </c>
      <c r="F8" s="8">
        <v>132</v>
      </c>
      <c r="G8" s="8">
        <v>52</v>
      </c>
    </row>
    <row r="9" spans="2:7" x14ac:dyDescent="0.25">
      <c r="B9" s="11" t="s">
        <v>47</v>
      </c>
      <c r="C9" s="8">
        <v>70</v>
      </c>
      <c r="D9" s="8">
        <v>50</v>
      </c>
      <c r="E9" s="8">
        <v>51</v>
      </c>
      <c r="F9" s="8">
        <v>112</v>
      </c>
      <c r="G9" s="8">
        <v>101</v>
      </c>
    </row>
    <row r="10" spans="2:7" x14ac:dyDescent="0.25">
      <c r="B10" s="11" t="s">
        <v>48</v>
      </c>
      <c r="C10" s="8">
        <v>66</v>
      </c>
      <c r="D10" s="8">
        <v>46</v>
      </c>
      <c r="E10" s="8">
        <v>47</v>
      </c>
      <c r="F10" s="8">
        <v>47</v>
      </c>
      <c r="G10" s="8">
        <v>121</v>
      </c>
    </row>
    <row r="11" spans="2:7" x14ac:dyDescent="0.25">
      <c r="B11" s="11" t="s">
        <v>49</v>
      </c>
      <c r="C11" s="8">
        <v>63</v>
      </c>
      <c r="D11" s="8">
        <v>126</v>
      </c>
      <c r="E11" s="8">
        <v>121</v>
      </c>
      <c r="F11" s="8">
        <v>158</v>
      </c>
      <c r="G11" s="8">
        <v>45</v>
      </c>
    </row>
    <row r="12" spans="2:7" x14ac:dyDescent="0.25">
      <c r="B12" s="11" t="s">
        <v>50</v>
      </c>
      <c r="C12" s="8">
        <v>111</v>
      </c>
      <c r="D12" s="8">
        <v>145</v>
      </c>
      <c r="E12" s="8">
        <v>150</v>
      </c>
      <c r="F12" s="8">
        <v>47</v>
      </c>
      <c r="G12" s="8">
        <v>153</v>
      </c>
    </row>
    <row r="13" spans="2:7" x14ac:dyDescent="0.25">
      <c r="B13" s="11" t="s">
        <v>51</v>
      </c>
      <c r="C13" s="8">
        <v>101</v>
      </c>
      <c r="D13" s="8">
        <v>55</v>
      </c>
      <c r="E13" s="8">
        <v>45</v>
      </c>
      <c r="F13" s="8">
        <v>88</v>
      </c>
      <c r="G13" s="8">
        <v>43</v>
      </c>
    </row>
    <row r="14" spans="2:7" x14ac:dyDescent="0.25">
      <c r="B14" s="11" t="s">
        <v>52</v>
      </c>
      <c r="C14" s="8">
        <v>57</v>
      </c>
      <c r="D14" s="8">
        <v>160</v>
      </c>
      <c r="E14" s="8">
        <v>159</v>
      </c>
      <c r="F14" s="8">
        <v>83</v>
      </c>
      <c r="G14" s="8">
        <v>56</v>
      </c>
    </row>
    <row r="15" spans="2:7" x14ac:dyDescent="0.25">
      <c r="B15" s="11" t="s">
        <v>53</v>
      </c>
      <c r="C15" s="8">
        <v>162</v>
      </c>
      <c r="D15" s="8">
        <v>54</v>
      </c>
      <c r="E15" s="8">
        <v>47</v>
      </c>
      <c r="F15" s="8">
        <v>78</v>
      </c>
      <c r="G15" s="8">
        <v>53</v>
      </c>
    </row>
    <row r="16" spans="2:7" x14ac:dyDescent="0.25">
      <c r="B16" s="11" t="s">
        <v>54</v>
      </c>
      <c r="C16" s="8">
        <v>60</v>
      </c>
      <c r="D16" s="8">
        <v>59</v>
      </c>
      <c r="E16" s="8">
        <v>60</v>
      </c>
      <c r="F16" s="8">
        <v>73</v>
      </c>
      <c r="G16" s="8">
        <v>48</v>
      </c>
    </row>
    <row r="17" spans="2:7" x14ac:dyDescent="0.25">
      <c r="B17" s="11" t="s">
        <v>55</v>
      </c>
      <c r="C17" s="8">
        <v>77</v>
      </c>
      <c r="D17" s="8">
        <v>54</v>
      </c>
      <c r="E17" s="8">
        <v>56</v>
      </c>
      <c r="F17" s="8">
        <v>68</v>
      </c>
      <c r="G17" s="8">
        <v>43</v>
      </c>
    </row>
    <row r="18" spans="2:7" x14ac:dyDescent="0.25">
      <c r="B18" s="11" t="s">
        <v>56</v>
      </c>
      <c r="C18" s="8">
        <v>74</v>
      </c>
      <c r="D18" s="8">
        <v>51</v>
      </c>
      <c r="E18" s="8">
        <v>53</v>
      </c>
      <c r="F18" s="8">
        <v>65</v>
      </c>
      <c r="G18" s="8">
        <v>38</v>
      </c>
    </row>
    <row r="19" spans="2:7" x14ac:dyDescent="0.25">
      <c r="B19" s="10">
        <v>2</v>
      </c>
      <c r="C19" s="8"/>
      <c r="D19" s="8"/>
      <c r="E19" s="8"/>
      <c r="F19" s="8"/>
      <c r="G19" s="8"/>
    </row>
    <row r="20" spans="2:7" x14ac:dyDescent="0.25">
      <c r="B20" s="11" t="s">
        <v>44</v>
      </c>
      <c r="C20" s="8">
        <v>93</v>
      </c>
      <c r="D20" s="8">
        <v>106</v>
      </c>
      <c r="E20" s="8">
        <v>92</v>
      </c>
      <c r="F20" s="8">
        <v>102</v>
      </c>
      <c r="G20" s="8">
        <v>94</v>
      </c>
    </row>
    <row r="21" spans="2:7" x14ac:dyDescent="0.25">
      <c r="B21" s="11" t="s">
        <v>45</v>
      </c>
      <c r="C21" s="8">
        <v>113</v>
      </c>
      <c r="D21" s="8">
        <v>91</v>
      </c>
      <c r="E21" s="8">
        <v>48</v>
      </c>
      <c r="F21" s="8">
        <v>65</v>
      </c>
      <c r="G21" s="8">
        <v>38</v>
      </c>
    </row>
    <row r="22" spans="2:7" x14ac:dyDescent="0.25">
      <c r="B22" s="11" t="s">
        <v>46</v>
      </c>
      <c r="C22" s="8">
        <v>102</v>
      </c>
      <c r="D22" s="8">
        <v>86</v>
      </c>
      <c r="E22" s="8">
        <v>45</v>
      </c>
      <c r="F22" s="8">
        <v>57</v>
      </c>
      <c r="G22" s="8">
        <v>35</v>
      </c>
    </row>
    <row r="23" spans="2:7" x14ac:dyDescent="0.25">
      <c r="B23" s="11" t="s">
        <v>47</v>
      </c>
      <c r="C23" s="8">
        <v>130</v>
      </c>
      <c r="D23" s="8">
        <v>115</v>
      </c>
      <c r="E23" s="8">
        <v>41</v>
      </c>
      <c r="F23" s="8">
        <v>115</v>
      </c>
      <c r="G23" s="8">
        <v>123</v>
      </c>
    </row>
    <row r="24" spans="2:7" x14ac:dyDescent="0.25">
      <c r="B24" s="11" t="s">
        <v>48</v>
      </c>
      <c r="C24" s="8">
        <v>104</v>
      </c>
      <c r="D24" s="8">
        <v>209</v>
      </c>
      <c r="E24" s="8">
        <v>106</v>
      </c>
      <c r="F24" s="8">
        <v>111</v>
      </c>
      <c r="G24" s="8">
        <v>91</v>
      </c>
    </row>
    <row r="25" spans="2:7" x14ac:dyDescent="0.25">
      <c r="B25" s="11" t="s">
        <v>49</v>
      </c>
      <c r="C25" s="8">
        <v>119</v>
      </c>
      <c r="D25" s="8">
        <v>474</v>
      </c>
      <c r="E25" s="8">
        <v>123</v>
      </c>
      <c r="F25" s="8">
        <v>128</v>
      </c>
      <c r="G25" s="8">
        <v>54</v>
      </c>
    </row>
    <row r="26" spans="2:7" x14ac:dyDescent="0.25">
      <c r="B26" s="11" t="s">
        <v>50</v>
      </c>
      <c r="C26" s="8">
        <v>98</v>
      </c>
      <c r="D26" s="8">
        <v>206</v>
      </c>
      <c r="E26" s="8">
        <v>47</v>
      </c>
      <c r="F26" s="8">
        <v>120</v>
      </c>
      <c r="G26" s="8">
        <v>180</v>
      </c>
    </row>
    <row r="27" spans="2:7" x14ac:dyDescent="0.25">
      <c r="B27" s="11" t="s">
        <v>51</v>
      </c>
      <c r="C27" s="8">
        <v>63</v>
      </c>
      <c r="D27" s="8">
        <v>115</v>
      </c>
      <c r="E27" s="8">
        <v>154</v>
      </c>
      <c r="F27" s="8">
        <v>93</v>
      </c>
      <c r="G27" s="8">
        <v>40</v>
      </c>
    </row>
    <row r="28" spans="2:7" x14ac:dyDescent="0.25">
      <c r="B28" s="11" t="s">
        <v>52</v>
      </c>
      <c r="C28" s="8">
        <v>56</v>
      </c>
      <c r="D28" s="8">
        <v>60</v>
      </c>
      <c r="E28" s="8">
        <v>40</v>
      </c>
      <c r="F28" s="8">
        <v>97</v>
      </c>
      <c r="G28" s="8">
        <v>38</v>
      </c>
    </row>
    <row r="29" spans="2:7" x14ac:dyDescent="0.25">
      <c r="B29" s="11" t="s">
        <v>53</v>
      </c>
      <c r="C29" s="8">
        <v>91</v>
      </c>
      <c r="D29" s="8">
        <v>90</v>
      </c>
      <c r="E29" s="8">
        <v>48</v>
      </c>
      <c r="F29" s="8">
        <v>65</v>
      </c>
      <c r="G29" s="8">
        <v>35</v>
      </c>
    </row>
    <row r="30" spans="2:7" x14ac:dyDescent="0.25">
      <c r="B30" s="11" t="s">
        <v>54</v>
      </c>
      <c r="C30" s="8">
        <v>63</v>
      </c>
      <c r="D30" s="8">
        <v>90</v>
      </c>
      <c r="E30" s="8">
        <v>45</v>
      </c>
      <c r="F30" s="8">
        <v>61</v>
      </c>
      <c r="G30" s="8">
        <v>31</v>
      </c>
    </row>
    <row r="31" spans="2:7" x14ac:dyDescent="0.25">
      <c r="B31" s="11" t="s">
        <v>55</v>
      </c>
      <c r="C31" s="8">
        <v>55</v>
      </c>
      <c r="D31" s="8">
        <v>67</v>
      </c>
      <c r="E31" s="8">
        <v>42</v>
      </c>
      <c r="F31" s="8">
        <v>54</v>
      </c>
      <c r="G31" s="8">
        <v>28</v>
      </c>
    </row>
    <row r="32" spans="2:7" x14ac:dyDescent="0.25">
      <c r="B32" s="11" t="s">
        <v>56</v>
      </c>
      <c r="C32" s="8">
        <v>46</v>
      </c>
      <c r="D32" s="8">
        <v>64</v>
      </c>
      <c r="E32" s="8">
        <v>38</v>
      </c>
      <c r="F32" s="8">
        <v>134</v>
      </c>
      <c r="G32" s="8">
        <v>24</v>
      </c>
    </row>
    <row r="33" spans="2:7" x14ac:dyDescent="0.25">
      <c r="B33" s="10">
        <v>3</v>
      </c>
      <c r="C33" s="8"/>
      <c r="D33" s="8"/>
      <c r="E33" s="8"/>
      <c r="F33" s="8"/>
      <c r="G33" s="8"/>
    </row>
    <row r="34" spans="2:7" x14ac:dyDescent="0.25">
      <c r="B34" s="11" t="s">
        <v>44</v>
      </c>
      <c r="C34" s="8">
        <v>108</v>
      </c>
      <c r="D34" s="8">
        <v>102</v>
      </c>
      <c r="E34" s="8">
        <v>99</v>
      </c>
      <c r="F34" s="8">
        <v>90</v>
      </c>
      <c r="G34" s="8">
        <v>93</v>
      </c>
    </row>
    <row r="35" spans="2:7" x14ac:dyDescent="0.25">
      <c r="B35" s="11" t="s">
        <v>45</v>
      </c>
      <c r="C35" s="8">
        <v>147</v>
      </c>
      <c r="D35" s="8">
        <v>123</v>
      </c>
      <c r="E35" s="8">
        <v>114</v>
      </c>
      <c r="F35" s="8">
        <v>80</v>
      </c>
      <c r="G35" s="8">
        <v>113</v>
      </c>
    </row>
    <row r="36" spans="2:7" x14ac:dyDescent="0.25">
      <c r="B36" s="11" t="s">
        <v>46</v>
      </c>
      <c r="C36" s="8">
        <v>80</v>
      </c>
      <c r="D36" s="8">
        <v>104</v>
      </c>
      <c r="E36" s="8">
        <v>123</v>
      </c>
      <c r="F36" s="8">
        <v>77</v>
      </c>
      <c r="G36" s="8">
        <v>66</v>
      </c>
    </row>
    <row r="37" spans="2:7" x14ac:dyDescent="0.25">
      <c r="B37" s="11" t="s">
        <v>47</v>
      </c>
      <c r="C37" s="8">
        <v>74</v>
      </c>
      <c r="D37" s="8">
        <v>113</v>
      </c>
      <c r="E37" s="8">
        <v>122</v>
      </c>
      <c r="F37" s="8">
        <v>73</v>
      </c>
      <c r="G37" s="8">
        <v>58</v>
      </c>
    </row>
    <row r="38" spans="2:7" x14ac:dyDescent="0.25">
      <c r="B38" s="11" t="s">
        <v>48</v>
      </c>
      <c r="C38" s="8">
        <v>69</v>
      </c>
      <c r="D38" s="8">
        <v>135</v>
      </c>
      <c r="E38" s="8">
        <v>92</v>
      </c>
      <c r="F38" s="8">
        <v>69</v>
      </c>
      <c r="G38" s="8">
        <v>54</v>
      </c>
    </row>
    <row r="39" spans="2:7" x14ac:dyDescent="0.25">
      <c r="B39" s="11" t="s">
        <v>49</v>
      </c>
      <c r="C39" s="8">
        <v>104</v>
      </c>
      <c r="D39" s="8">
        <v>116</v>
      </c>
      <c r="E39" s="8">
        <v>94</v>
      </c>
      <c r="F39" s="8">
        <v>66</v>
      </c>
      <c r="G39" s="8">
        <v>89</v>
      </c>
    </row>
    <row r="40" spans="2:7" x14ac:dyDescent="0.25">
      <c r="B40" s="11" t="s">
        <v>50</v>
      </c>
      <c r="C40" s="8">
        <v>149</v>
      </c>
      <c r="D40" s="8">
        <v>67</v>
      </c>
      <c r="E40" s="8">
        <v>116</v>
      </c>
      <c r="F40" s="8">
        <v>63</v>
      </c>
      <c r="G40" s="8">
        <v>125</v>
      </c>
    </row>
    <row r="41" spans="2:7" x14ac:dyDescent="0.25">
      <c r="B41" s="11" t="s">
        <v>51</v>
      </c>
      <c r="C41" s="8">
        <v>118</v>
      </c>
      <c r="D41" s="8">
        <v>60</v>
      </c>
      <c r="E41" s="8">
        <v>70</v>
      </c>
      <c r="F41" s="8">
        <v>60</v>
      </c>
      <c r="G41" s="8">
        <v>111</v>
      </c>
    </row>
    <row r="42" spans="2:7" x14ac:dyDescent="0.25">
      <c r="B42" s="11" t="s">
        <v>52</v>
      </c>
      <c r="C42" s="8">
        <v>149</v>
      </c>
      <c r="D42" s="8">
        <v>54</v>
      </c>
      <c r="E42" s="8">
        <v>65</v>
      </c>
      <c r="F42" s="8">
        <v>56</v>
      </c>
      <c r="G42" s="8">
        <v>66</v>
      </c>
    </row>
    <row r="43" spans="2:7" x14ac:dyDescent="0.25">
      <c r="B43" s="11" t="s">
        <v>53</v>
      </c>
      <c r="C43" s="8">
        <v>80</v>
      </c>
      <c r="D43" s="8">
        <v>125</v>
      </c>
      <c r="E43" s="8">
        <v>59</v>
      </c>
      <c r="F43" s="8">
        <v>52</v>
      </c>
      <c r="G43" s="8">
        <v>58</v>
      </c>
    </row>
    <row r="44" spans="2:7" x14ac:dyDescent="0.25">
      <c r="B44" s="11" t="s">
        <v>54</v>
      </c>
      <c r="C44" s="8">
        <v>75</v>
      </c>
      <c r="D44" s="8">
        <v>67</v>
      </c>
      <c r="E44" s="8">
        <v>94</v>
      </c>
      <c r="F44" s="8">
        <v>49</v>
      </c>
      <c r="G44" s="8">
        <v>86</v>
      </c>
    </row>
    <row r="45" spans="2:7" x14ac:dyDescent="0.25">
      <c r="B45" s="11" t="s">
        <v>55</v>
      </c>
      <c r="C45" s="8">
        <v>114</v>
      </c>
      <c r="D45" s="8">
        <v>57</v>
      </c>
      <c r="E45" s="8">
        <v>70</v>
      </c>
      <c r="F45" s="8">
        <v>46</v>
      </c>
      <c r="G45" s="8">
        <v>119</v>
      </c>
    </row>
    <row r="46" spans="2:7" x14ac:dyDescent="0.25">
      <c r="B46" s="11" t="s">
        <v>56</v>
      </c>
      <c r="C46" s="8">
        <v>122</v>
      </c>
      <c r="D46" s="8">
        <v>111</v>
      </c>
      <c r="E46" s="8">
        <v>60</v>
      </c>
      <c r="F46" s="8">
        <v>43</v>
      </c>
      <c r="G46" s="8">
        <v>104</v>
      </c>
    </row>
    <row r="47" spans="2:7" x14ac:dyDescent="0.25">
      <c r="B47" s="10">
        <v>4</v>
      </c>
      <c r="C47" s="8"/>
      <c r="D47" s="8"/>
      <c r="E47" s="8"/>
      <c r="F47" s="8"/>
      <c r="G47" s="8"/>
    </row>
    <row r="48" spans="2:7" x14ac:dyDescent="0.25">
      <c r="B48" s="11" t="s">
        <v>44</v>
      </c>
      <c r="C48" s="8">
        <v>109</v>
      </c>
      <c r="D48" s="8">
        <v>98</v>
      </c>
      <c r="E48" s="8">
        <v>93</v>
      </c>
      <c r="F48" s="8">
        <v>106</v>
      </c>
      <c r="G48" s="8">
        <v>96</v>
      </c>
    </row>
    <row r="49" spans="2:7" x14ac:dyDescent="0.25">
      <c r="B49" s="11" t="s">
        <v>45</v>
      </c>
      <c r="C49" s="8">
        <v>133</v>
      </c>
      <c r="D49" s="8">
        <v>84</v>
      </c>
      <c r="E49" s="8">
        <v>61</v>
      </c>
      <c r="F49" s="8">
        <v>94</v>
      </c>
      <c r="G49" s="8">
        <v>82</v>
      </c>
    </row>
    <row r="50" spans="2:7" x14ac:dyDescent="0.25">
      <c r="B50" s="11" t="s">
        <v>46</v>
      </c>
      <c r="C50" s="8">
        <v>152</v>
      </c>
      <c r="D50" s="8">
        <v>80</v>
      </c>
      <c r="E50" s="8">
        <v>58</v>
      </c>
      <c r="F50" s="8">
        <v>90</v>
      </c>
      <c r="G50" s="8">
        <v>78</v>
      </c>
    </row>
    <row r="51" spans="2:7" x14ac:dyDescent="0.25">
      <c r="B51" s="11" t="s">
        <v>47</v>
      </c>
      <c r="C51" s="8">
        <v>50</v>
      </c>
      <c r="D51" s="8">
        <v>77</v>
      </c>
      <c r="E51" s="8">
        <v>53</v>
      </c>
      <c r="F51" s="8">
        <v>85</v>
      </c>
      <c r="G51" s="8">
        <v>73</v>
      </c>
    </row>
    <row r="52" spans="2:7" x14ac:dyDescent="0.25">
      <c r="B52" s="11" t="s">
        <v>48</v>
      </c>
      <c r="C52" s="8">
        <v>169</v>
      </c>
      <c r="D52" s="8">
        <v>118</v>
      </c>
      <c r="E52" s="8">
        <v>127</v>
      </c>
      <c r="F52" s="8">
        <v>81</v>
      </c>
      <c r="G52" s="8">
        <v>69</v>
      </c>
    </row>
    <row r="53" spans="2:7" x14ac:dyDescent="0.25">
      <c r="B53" s="11" t="s">
        <v>49</v>
      </c>
      <c r="C53" s="8">
        <v>47</v>
      </c>
      <c r="D53" s="8">
        <v>110</v>
      </c>
      <c r="E53" s="8">
        <v>93</v>
      </c>
      <c r="F53" s="8">
        <v>76</v>
      </c>
      <c r="G53" s="8">
        <v>65</v>
      </c>
    </row>
    <row r="54" spans="2:7" x14ac:dyDescent="0.25">
      <c r="B54" s="11" t="s">
        <v>50</v>
      </c>
      <c r="C54" s="8">
        <v>49</v>
      </c>
      <c r="D54" s="8">
        <v>65</v>
      </c>
      <c r="E54" s="8">
        <v>48</v>
      </c>
      <c r="F54" s="8">
        <v>105</v>
      </c>
      <c r="G54" s="8">
        <v>61</v>
      </c>
    </row>
    <row r="55" spans="2:7" x14ac:dyDescent="0.25">
      <c r="B55" s="11" t="s">
        <v>51</v>
      </c>
      <c r="C55" s="8">
        <v>44</v>
      </c>
      <c r="D55" s="8">
        <v>176</v>
      </c>
      <c r="E55" s="8">
        <v>158</v>
      </c>
      <c r="F55" s="8">
        <v>151</v>
      </c>
      <c r="G55" s="8">
        <v>58</v>
      </c>
    </row>
    <row r="56" spans="2:7" x14ac:dyDescent="0.25">
      <c r="B56" s="11" t="s">
        <v>52</v>
      </c>
      <c r="C56" s="8">
        <v>39</v>
      </c>
      <c r="D56" s="8">
        <v>51</v>
      </c>
      <c r="E56" s="8">
        <v>38</v>
      </c>
      <c r="F56" s="8">
        <v>417</v>
      </c>
      <c r="G56" s="8">
        <v>54</v>
      </c>
    </row>
    <row r="57" spans="2:7" x14ac:dyDescent="0.25">
      <c r="B57" s="11" t="s">
        <v>53</v>
      </c>
      <c r="C57" s="8">
        <v>35</v>
      </c>
      <c r="D57" s="8">
        <v>84</v>
      </c>
      <c r="E57" s="8">
        <v>61</v>
      </c>
      <c r="F57" s="8">
        <v>195</v>
      </c>
      <c r="G57" s="8">
        <v>49</v>
      </c>
    </row>
    <row r="58" spans="2:7" x14ac:dyDescent="0.25">
      <c r="B58" s="11" t="s">
        <v>54</v>
      </c>
      <c r="C58" s="8">
        <v>30</v>
      </c>
      <c r="D58" s="8">
        <v>80</v>
      </c>
      <c r="E58" s="8">
        <v>57</v>
      </c>
      <c r="F58" s="8">
        <v>130</v>
      </c>
      <c r="G58" s="8">
        <v>46</v>
      </c>
    </row>
    <row r="59" spans="2:7" x14ac:dyDescent="0.25">
      <c r="B59" s="11" t="s">
        <v>55</v>
      </c>
      <c r="C59" s="8">
        <v>26</v>
      </c>
      <c r="D59" s="8">
        <v>76</v>
      </c>
      <c r="E59" s="8">
        <v>53</v>
      </c>
      <c r="F59" s="8">
        <v>83</v>
      </c>
      <c r="G59" s="8">
        <v>42</v>
      </c>
    </row>
    <row r="60" spans="2:7" x14ac:dyDescent="0.25">
      <c r="B60" s="11" t="s">
        <v>56</v>
      </c>
      <c r="C60" s="8">
        <v>22</v>
      </c>
      <c r="D60" s="8">
        <v>73</v>
      </c>
      <c r="E60" s="8">
        <v>49</v>
      </c>
      <c r="F60" s="8">
        <v>49</v>
      </c>
      <c r="G60" s="8">
        <v>38</v>
      </c>
    </row>
    <row r="61" spans="2:7" x14ac:dyDescent="0.25">
      <c r="B61" s="10">
        <v>5</v>
      </c>
      <c r="C61" s="8"/>
      <c r="D61" s="8"/>
      <c r="E61" s="8"/>
      <c r="F61" s="8"/>
      <c r="G61" s="8"/>
    </row>
    <row r="62" spans="2:7" x14ac:dyDescent="0.25">
      <c r="B62" s="11" t="s">
        <v>44</v>
      </c>
      <c r="C62" s="8">
        <v>102</v>
      </c>
      <c r="D62" s="8">
        <v>93</v>
      </c>
      <c r="E62" s="8">
        <v>91</v>
      </c>
      <c r="F62" s="8">
        <v>100</v>
      </c>
      <c r="G62" s="8">
        <v>90</v>
      </c>
    </row>
    <row r="63" spans="2:7" x14ac:dyDescent="0.25">
      <c r="B63" s="11" t="s">
        <v>45</v>
      </c>
      <c r="C63" s="8">
        <v>56</v>
      </c>
      <c r="D63" s="8">
        <v>83</v>
      </c>
      <c r="E63" s="8">
        <v>120</v>
      </c>
      <c r="F63" s="8">
        <v>89</v>
      </c>
      <c r="G63" s="8">
        <v>69</v>
      </c>
    </row>
    <row r="64" spans="2:7" x14ac:dyDescent="0.25">
      <c r="B64" s="11" t="s">
        <v>46</v>
      </c>
      <c r="C64" s="8">
        <v>51</v>
      </c>
      <c r="D64" s="8">
        <v>79</v>
      </c>
      <c r="E64" s="8">
        <v>93</v>
      </c>
      <c r="F64" s="8">
        <v>84</v>
      </c>
      <c r="G64" s="8">
        <v>64</v>
      </c>
    </row>
    <row r="65" spans="2:7" x14ac:dyDescent="0.25">
      <c r="B65" s="11" t="s">
        <v>47</v>
      </c>
      <c r="C65" s="8">
        <v>48</v>
      </c>
      <c r="D65" s="8">
        <v>122</v>
      </c>
      <c r="E65" s="8">
        <v>87</v>
      </c>
      <c r="F65" s="8">
        <v>80</v>
      </c>
      <c r="G65" s="8">
        <v>56</v>
      </c>
    </row>
    <row r="66" spans="2:7" x14ac:dyDescent="0.25">
      <c r="B66" s="11" t="s">
        <v>48</v>
      </c>
      <c r="C66" s="8">
        <v>43</v>
      </c>
      <c r="D66" s="8">
        <v>174</v>
      </c>
      <c r="E66" s="8">
        <v>58</v>
      </c>
      <c r="F66" s="8">
        <v>77</v>
      </c>
      <c r="G66" s="8">
        <v>84</v>
      </c>
    </row>
    <row r="67" spans="2:7" x14ac:dyDescent="0.25">
      <c r="B67" s="11" t="s">
        <v>49</v>
      </c>
      <c r="C67" s="8">
        <v>39</v>
      </c>
      <c r="D67" s="8">
        <v>238</v>
      </c>
      <c r="E67" s="8">
        <v>55</v>
      </c>
      <c r="F67" s="8">
        <v>73</v>
      </c>
      <c r="G67" s="8">
        <v>115</v>
      </c>
    </row>
    <row r="68" spans="2:7" x14ac:dyDescent="0.25">
      <c r="B68" s="11" t="s">
        <v>50</v>
      </c>
      <c r="C68" s="8">
        <v>34</v>
      </c>
      <c r="D68" s="8">
        <v>185</v>
      </c>
      <c r="E68" s="8">
        <v>51</v>
      </c>
      <c r="F68" s="8">
        <v>69</v>
      </c>
      <c r="G68" s="8">
        <v>85</v>
      </c>
    </row>
    <row r="69" spans="2:7" x14ac:dyDescent="0.25">
      <c r="B69" s="11" t="s">
        <v>51</v>
      </c>
      <c r="C69" s="8">
        <v>96</v>
      </c>
      <c r="D69" s="8">
        <v>111</v>
      </c>
      <c r="E69" s="8">
        <v>122</v>
      </c>
      <c r="F69" s="8">
        <v>65</v>
      </c>
      <c r="G69" s="8">
        <v>91</v>
      </c>
    </row>
    <row r="70" spans="2:7" x14ac:dyDescent="0.25">
      <c r="B70" s="11" t="s">
        <v>52</v>
      </c>
      <c r="C70" s="8">
        <v>107</v>
      </c>
      <c r="D70" s="8">
        <v>76</v>
      </c>
      <c r="E70" s="8">
        <v>58</v>
      </c>
      <c r="F70" s="8">
        <v>60</v>
      </c>
      <c r="G70" s="8">
        <v>116</v>
      </c>
    </row>
    <row r="71" spans="2:7" x14ac:dyDescent="0.25">
      <c r="B71" s="11" t="s">
        <v>53</v>
      </c>
      <c r="C71" s="8">
        <v>72</v>
      </c>
      <c r="D71" s="8">
        <v>55</v>
      </c>
      <c r="E71" s="8">
        <v>52</v>
      </c>
      <c r="F71" s="8">
        <v>57</v>
      </c>
      <c r="G71" s="8">
        <v>69</v>
      </c>
    </row>
    <row r="72" spans="2:7" x14ac:dyDescent="0.25">
      <c r="B72" s="11" t="s">
        <v>54</v>
      </c>
      <c r="C72" s="8">
        <v>186</v>
      </c>
      <c r="D72" s="8">
        <v>61</v>
      </c>
      <c r="E72" s="8">
        <v>100</v>
      </c>
      <c r="F72" s="8">
        <v>53</v>
      </c>
      <c r="G72" s="8">
        <v>63</v>
      </c>
    </row>
    <row r="73" spans="2:7" x14ac:dyDescent="0.25">
      <c r="B73" s="11" t="s">
        <v>55</v>
      </c>
      <c r="C73" s="8">
        <v>52</v>
      </c>
      <c r="D73" s="8">
        <v>48</v>
      </c>
      <c r="E73" s="8">
        <v>99</v>
      </c>
      <c r="F73" s="8">
        <v>49</v>
      </c>
      <c r="G73" s="8">
        <v>116</v>
      </c>
    </row>
    <row r="74" spans="2:7" x14ac:dyDescent="0.25">
      <c r="B74" s="11" t="s">
        <v>56</v>
      </c>
      <c r="C74" s="8">
        <v>56</v>
      </c>
      <c r="D74" s="8">
        <v>65</v>
      </c>
      <c r="E74" s="8">
        <v>86</v>
      </c>
      <c r="F74" s="8">
        <v>46</v>
      </c>
      <c r="G74" s="8">
        <v>94</v>
      </c>
    </row>
    <row r="75" spans="2:7" x14ac:dyDescent="0.25">
      <c r="B75" s="10">
        <v>6</v>
      </c>
      <c r="C75" s="8"/>
      <c r="D75" s="8"/>
      <c r="E75" s="8"/>
      <c r="F75" s="8"/>
      <c r="G75" s="8"/>
    </row>
    <row r="76" spans="2:7" x14ac:dyDescent="0.25">
      <c r="B76" s="11" t="s">
        <v>44</v>
      </c>
      <c r="C76" s="8">
        <v>101</v>
      </c>
      <c r="D76" s="8">
        <v>107</v>
      </c>
      <c r="E76" s="8">
        <v>98</v>
      </c>
      <c r="F76" s="8">
        <v>109</v>
      </c>
      <c r="G76" s="8">
        <v>107</v>
      </c>
    </row>
    <row r="77" spans="2:7" x14ac:dyDescent="0.25">
      <c r="B77" s="11" t="s">
        <v>45</v>
      </c>
      <c r="C77" s="8">
        <v>91</v>
      </c>
      <c r="D77" s="8">
        <v>82</v>
      </c>
      <c r="E77" s="8">
        <v>98</v>
      </c>
      <c r="F77" s="8">
        <v>94</v>
      </c>
      <c r="G77" s="8">
        <v>96</v>
      </c>
    </row>
    <row r="78" spans="2:7" x14ac:dyDescent="0.25">
      <c r="B78" s="11" t="s">
        <v>46</v>
      </c>
      <c r="C78" s="8">
        <v>86</v>
      </c>
      <c r="D78" s="8">
        <v>72</v>
      </c>
      <c r="E78" s="8">
        <v>103</v>
      </c>
      <c r="F78" s="8">
        <v>89</v>
      </c>
      <c r="G78" s="8">
        <v>91</v>
      </c>
    </row>
    <row r="79" spans="2:7" x14ac:dyDescent="0.25">
      <c r="B79" s="11" t="s">
        <v>47</v>
      </c>
      <c r="C79" s="8">
        <v>82</v>
      </c>
      <c r="D79" s="8">
        <v>138</v>
      </c>
      <c r="E79" s="8">
        <v>66</v>
      </c>
      <c r="F79" s="8">
        <v>85</v>
      </c>
      <c r="G79" s="8">
        <v>87</v>
      </c>
    </row>
    <row r="80" spans="2:7" x14ac:dyDescent="0.25">
      <c r="B80" s="11" t="s">
        <v>48</v>
      </c>
      <c r="C80" s="8">
        <v>77</v>
      </c>
      <c r="D80" s="8">
        <v>136</v>
      </c>
      <c r="E80" s="8">
        <v>58</v>
      </c>
      <c r="F80" s="8">
        <v>111</v>
      </c>
      <c r="G80" s="8">
        <v>83</v>
      </c>
    </row>
    <row r="81" spans="2:7" x14ac:dyDescent="0.25">
      <c r="B81" s="11" t="s">
        <v>49</v>
      </c>
      <c r="C81" s="8">
        <v>73</v>
      </c>
      <c r="D81" s="8">
        <v>125</v>
      </c>
      <c r="E81" s="8">
        <v>52</v>
      </c>
      <c r="F81" s="8">
        <v>194</v>
      </c>
      <c r="G81" s="8">
        <v>134</v>
      </c>
    </row>
    <row r="82" spans="2:7" x14ac:dyDescent="0.25">
      <c r="B82" s="11" t="s">
        <v>50</v>
      </c>
      <c r="C82" s="8">
        <v>69</v>
      </c>
      <c r="D82" s="8">
        <v>142</v>
      </c>
      <c r="E82" s="8">
        <v>125</v>
      </c>
      <c r="F82" s="8">
        <v>525</v>
      </c>
      <c r="G82" s="8">
        <v>193</v>
      </c>
    </row>
    <row r="83" spans="2:7" x14ac:dyDescent="0.25">
      <c r="B83" s="11" t="s">
        <v>51</v>
      </c>
      <c r="C83" s="8">
        <v>66</v>
      </c>
      <c r="D83" s="8">
        <v>137</v>
      </c>
      <c r="E83" s="8">
        <v>90</v>
      </c>
      <c r="F83" s="8">
        <v>169</v>
      </c>
      <c r="G83" s="8">
        <v>483</v>
      </c>
    </row>
    <row r="84" spans="2:7" x14ac:dyDescent="0.25">
      <c r="B84" s="11" t="s">
        <v>52</v>
      </c>
      <c r="C84" s="8">
        <v>61</v>
      </c>
      <c r="D84" s="8">
        <v>115</v>
      </c>
      <c r="E84" s="8">
        <v>66</v>
      </c>
      <c r="F84" s="8">
        <v>142</v>
      </c>
      <c r="G84" s="8">
        <v>162</v>
      </c>
    </row>
    <row r="85" spans="2:7" x14ac:dyDescent="0.25">
      <c r="B85" s="11" t="s">
        <v>53</v>
      </c>
      <c r="C85" s="8">
        <v>58</v>
      </c>
      <c r="D85" s="8">
        <v>144</v>
      </c>
      <c r="E85" s="8">
        <v>58</v>
      </c>
      <c r="F85" s="8">
        <v>80</v>
      </c>
      <c r="G85" s="8">
        <v>146</v>
      </c>
    </row>
    <row r="86" spans="2:7" x14ac:dyDescent="0.25">
      <c r="B86" s="11" t="s">
        <v>54</v>
      </c>
      <c r="C86" s="8">
        <v>54</v>
      </c>
      <c r="D86" s="8">
        <v>82</v>
      </c>
      <c r="E86" s="8">
        <v>126</v>
      </c>
      <c r="F86" s="8">
        <v>74</v>
      </c>
      <c r="G86" s="8">
        <v>87</v>
      </c>
    </row>
    <row r="87" spans="2:7" x14ac:dyDescent="0.25">
      <c r="B87" s="11" t="s">
        <v>55</v>
      </c>
      <c r="C87" s="8">
        <v>50</v>
      </c>
      <c r="D87" s="8">
        <v>74</v>
      </c>
      <c r="E87" s="8">
        <v>89</v>
      </c>
      <c r="F87" s="8">
        <v>95</v>
      </c>
      <c r="G87" s="8">
        <v>90</v>
      </c>
    </row>
    <row r="88" spans="2:7" x14ac:dyDescent="0.25">
      <c r="B88" s="11" t="s">
        <v>56</v>
      </c>
      <c r="C88" s="8">
        <v>46</v>
      </c>
      <c r="D88" s="8">
        <v>68</v>
      </c>
      <c r="E88" s="8">
        <v>107</v>
      </c>
      <c r="F88" s="8">
        <v>93</v>
      </c>
      <c r="G88" s="8">
        <v>60</v>
      </c>
    </row>
    <row r="89" spans="2:7" x14ac:dyDescent="0.25">
      <c r="B89" s="10">
        <v>7</v>
      </c>
      <c r="C89" s="8"/>
      <c r="D89" s="8"/>
      <c r="E89" s="8"/>
      <c r="F89" s="8"/>
      <c r="G89" s="8"/>
    </row>
    <row r="90" spans="2:7" x14ac:dyDescent="0.25">
      <c r="B90" s="11" t="s">
        <v>44</v>
      </c>
      <c r="C90" s="8">
        <v>103</v>
      </c>
      <c r="D90" s="8">
        <v>100</v>
      </c>
      <c r="E90" s="8">
        <v>96</v>
      </c>
      <c r="F90" s="8">
        <v>98</v>
      </c>
      <c r="G90" s="8">
        <v>109</v>
      </c>
    </row>
    <row r="91" spans="2:7" x14ac:dyDescent="0.25">
      <c r="B91" s="11" t="s">
        <v>45</v>
      </c>
      <c r="C91" s="8">
        <v>91</v>
      </c>
      <c r="D91" s="8">
        <v>55</v>
      </c>
      <c r="E91" s="8">
        <v>70</v>
      </c>
      <c r="F91" s="8">
        <v>86</v>
      </c>
      <c r="G91" s="8">
        <v>95</v>
      </c>
    </row>
    <row r="92" spans="2:7" x14ac:dyDescent="0.25">
      <c r="B92" s="11" t="s">
        <v>46</v>
      </c>
      <c r="C92" s="8">
        <v>87</v>
      </c>
      <c r="D92" s="8">
        <v>114</v>
      </c>
      <c r="E92" s="8">
        <v>66</v>
      </c>
      <c r="F92" s="8">
        <v>83</v>
      </c>
      <c r="G92" s="8">
        <v>91</v>
      </c>
    </row>
    <row r="93" spans="2:7" x14ac:dyDescent="0.25">
      <c r="B93" s="11" t="s">
        <v>47</v>
      </c>
      <c r="C93" s="8">
        <v>83</v>
      </c>
      <c r="D93" s="8">
        <v>114</v>
      </c>
      <c r="E93" s="8">
        <v>90</v>
      </c>
      <c r="F93" s="8">
        <v>110</v>
      </c>
      <c r="G93" s="8">
        <v>86</v>
      </c>
    </row>
    <row r="94" spans="2:7" x14ac:dyDescent="0.25">
      <c r="B94" s="11" t="s">
        <v>48</v>
      </c>
      <c r="C94" s="8">
        <v>80</v>
      </c>
      <c r="D94" s="8">
        <v>60</v>
      </c>
      <c r="E94" s="8">
        <v>134</v>
      </c>
      <c r="F94" s="8">
        <v>192</v>
      </c>
      <c r="G94" s="8">
        <v>81</v>
      </c>
    </row>
    <row r="95" spans="2:7" x14ac:dyDescent="0.25">
      <c r="B95" s="11" t="s">
        <v>49</v>
      </c>
      <c r="C95" s="8">
        <v>75</v>
      </c>
      <c r="D95" s="8">
        <v>189</v>
      </c>
      <c r="E95" s="8">
        <v>50</v>
      </c>
      <c r="F95" s="8">
        <v>317</v>
      </c>
      <c r="G95" s="8">
        <v>77</v>
      </c>
    </row>
    <row r="96" spans="2:7" x14ac:dyDescent="0.25">
      <c r="B96" s="11" t="s">
        <v>50</v>
      </c>
      <c r="C96" s="8">
        <v>70</v>
      </c>
      <c r="D96" s="8">
        <v>72</v>
      </c>
      <c r="E96" s="8">
        <v>177</v>
      </c>
      <c r="F96" s="8">
        <v>161</v>
      </c>
      <c r="G96" s="8">
        <v>143</v>
      </c>
    </row>
    <row r="97" spans="2:7" x14ac:dyDescent="0.25">
      <c r="B97" s="11" t="s">
        <v>51</v>
      </c>
      <c r="C97" s="8">
        <v>117</v>
      </c>
      <c r="D97" s="8">
        <v>55</v>
      </c>
      <c r="E97" s="8">
        <v>67</v>
      </c>
      <c r="F97" s="8">
        <v>110</v>
      </c>
      <c r="G97" s="8">
        <v>203</v>
      </c>
    </row>
    <row r="98" spans="2:7" x14ac:dyDescent="0.25">
      <c r="B98" s="11" t="s">
        <v>52</v>
      </c>
      <c r="C98" s="8">
        <v>166</v>
      </c>
      <c r="D98" s="8">
        <v>52</v>
      </c>
      <c r="E98" s="8">
        <v>70</v>
      </c>
      <c r="F98" s="8">
        <v>56</v>
      </c>
      <c r="G98" s="8">
        <v>265</v>
      </c>
    </row>
    <row r="99" spans="2:7" x14ac:dyDescent="0.25">
      <c r="B99" s="11" t="s">
        <v>53</v>
      </c>
      <c r="C99" s="8">
        <v>346</v>
      </c>
      <c r="D99" s="8">
        <v>47</v>
      </c>
      <c r="E99" s="8">
        <v>67</v>
      </c>
      <c r="F99" s="8">
        <v>42</v>
      </c>
      <c r="G99" s="8">
        <v>204</v>
      </c>
    </row>
    <row r="100" spans="2:7" x14ac:dyDescent="0.25">
      <c r="B100" s="11" t="s">
        <v>54</v>
      </c>
      <c r="C100" s="8">
        <v>190</v>
      </c>
      <c r="D100" s="8">
        <v>42</v>
      </c>
      <c r="E100" s="8">
        <v>64</v>
      </c>
      <c r="F100" s="8">
        <v>68</v>
      </c>
      <c r="G100" s="8">
        <v>106</v>
      </c>
    </row>
    <row r="101" spans="2:7" x14ac:dyDescent="0.25">
      <c r="B101" s="11" t="s">
        <v>55</v>
      </c>
      <c r="C101" s="8">
        <v>106</v>
      </c>
      <c r="D101" s="8">
        <v>38</v>
      </c>
      <c r="E101" s="8">
        <v>60</v>
      </c>
      <c r="F101" s="8">
        <v>62</v>
      </c>
      <c r="G101" s="8">
        <v>63</v>
      </c>
    </row>
    <row r="102" spans="2:7" x14ac:dyDescent="0.25">
      <c r="B102" s="11" t="s">
        <v>56</v>
      </c>
      <c r="C102" s="8">
        <v>85</v>
      </c>
      <c r="D102" s="8">
        <v>34</v>
      </c>
      <c r="E102" s="8">
        <v>56</v>
      </c>
      <c r="F102" s="8">
        <v>70</v>
      </c>
      <c r="G102" s="8">
        <v>85</v>
      </c>
    </row>
    <row r="103" spans="2:7" x14ac:dyDescent="0.25">
      <c r="B103" s="10">
        <v>8</v>
      </c>
      <c r="C103" s="8"/>
      <c r="D103" s="8"/>
      <c r="E103" s="8"/>
      <c r="F103" s="8"/>
      <c r="G103" s="8"/>
    </row>
    <row r="104" spans="2:7" x14ac:dyDescent="0.25">
      <c r="B104" s="11" t="s">
        <v>44</v>
      </c>
      <c r="C104" s="8">
        <v>98</v>
      </c>
      <c r="D104" s="8">
        <v>107</v>
      </c>
      <c r="E104" s="8">
        <v>98</v>
      </c>
      <c r="F104" s="8">
        <v>91</v>
      </c>
      <c r="G104" s="8">
        <v>110</v>
      </c>
    </row>
    <row r="105" spans="2:7" x14ac:dyDescent="0.25">
      <c r="B105" s="11" t="s">
        <v>45</v>
      </c>
      <c r="C105" s="8">
        <v>137</v>
      </c>
      <c r="D105" s="8">
        <v>114</v>
      </c>
      <c r="E105" s="8">
        <v>95</v>
      </c>
      <c r="F105" s="8">
        <v>80</v>
      </c>
      <c r="G105" s="8">
        <v>98</v>
      </c>
    </row>
    <row r="106" spans="2:7" x14ac:dyDescent="0.25">
      <c r="B106" s="11" t="s">
        <v>46</v>
      </c>
      <c r="C106" s="8">
        <v>132</v>
      </c>
      <c r="D106" s="8">
        <v>138</v>
      </c>
      <c r="E106" s="8">
        <v>130</v>
      </c>
      <c r="F106" s="8">
        <v>77</v>
      </c>
      <c r="G106" s="8">
        <v>93</v>
      </c>
    </row>
    <row r="107" spans="2:7" x14ac:dyDescent="0.25">
      <c r="B107" s="11" t="s">
        <v>47</v>
      </c>
      <c r="C107" s="8">
        <v>123</v>
      </c>
      <c r="D107" s="8">
        <v>109</v>
      </c>
      <c r="E107" s="8">
        <v>62</v>
      </c>
      <c r="F107" s="8">
        <v>74</v>
      </c>
      <c r="G107" s="8">
        <v>149</v>
      </c>
    </row>
    <row r="108" spans="2:7" x14ac:dyDescent="0.25">
      <c r="B108" s="11" t="s">
        <v>48</v>
      </c>
      <c r="C108" s="8">
        <v>71</v>
      </c>
      <c r="D108" s="8">
        <v>103</v>
      </c>
      <c r="E108" s="8">
        <v>54</v>
      </c>
      <c r="F108" s="8">
        <v>70</v>
      </c>
      <c r="G108" s="8">
        <v>134</v>
      </c>
    </row>
    <row r="109" spans="2:7" x14ac:dyDescent="0.25">
      <c r="B109" s="11" t="s">
        <v>49</v>
      </c>
      <c r="C109" s="8">
        <v>62</v>
      </c>
      <c r="D109" s="8">
        <v>109</v>
      </c>
      <c r="E109" s="8">
        <v>48</v>
      </c>
      <c r="F109" s="8">
        <v>66</v>
      </c>
      <c r="G109" s="8">
        <v>81</v>
      </c>
    </row>
    <row r="110" spans="2:7" x14ac:dyDescent="0.25">
      <c r="B110" s="11" t="s">
        <v>50</v>
      </c>
      <c r="C110" s="8">
        <v>105</v>
      </c>
      <c r="D110" s="8">
        <v>128</v>
      </c>
      <c r="E110" s="8">
        <v>129</v>
      </c>
      <c r="F110" s="8">
        <v>63</v>
      </c>
      <c r="G110" s="8">
        <v>213</v>
      </c>
    </row>
    <row r="111" spans="2:7" x14ac:dyDescent="0.25">
      <c r="B111" s="11" t="s">
        <v>51</v>
      </c>
      <c r="C111" s="8">
        <v>107</v>
      </c>
      <c r="D111" s="8">
        <v>74</v>
      </c>
      <c r="E111" s="8">
        <v>127</v>
      </c>
      <c r="F111" s="8">
        <v>60</v>
      </c>
      <c r="G111" s="8">
        <v>77</v>
      </c>
    </row>
    <row r="112" spans="2:7" x14ac:dyDescent="0.25">
      <c r="B112" s="11" t="s">
        <v>52</v>
      </c>
      <c r="C112" s="8">
        <v>102</v>
      </c>
      <c r="D112" s="8">
        <v>64</v>
      </c>
      <c r="E112" s="8">
        <v>135</v>
      </c>
      <c r="F112" s="8">
        <v>55</v>
      </c>
      <c r="G112" s="8">
        <v>98</v>
      </c>
    </row>
    <row r="113" spans="2:7" x14ac:dyDescent="0.25">
      <c r="B113" s="11" t="s">
        <v>53</v>
      </c>
      <c r="C113" s="8">
        <v>134</v>
      </c>
      <c r="D113" s="8">
        <v>58</v>
      </c>
      <c r="E113" s="8">
        <v>104</v>
      </c>
      <c r="F113" s="8">
        <v>51</v>
      </c>
      <c r="G113" s="8">
        <v>92</v>
      </c>
    </row>
    <row r="114" spans="2:7" x14ac:dyDescent="0.25">
      <c r="B114" s="11" t="s">
        <v>54</v>
      </c>
      <c r="C114" s="8">
        <v>71</v>
      </c>
      <c r="D114" s="8">
        <v>139</v>
      </c>
      <c r="E114" s="8">
        <v>62</v>
      </c>
      <c r="F114" s="8">
        <v>46</v>
      </c>
      <c r="G114" s="8">
        <v>87</v>
      </c>
    </row>
    <row r="115" spans="2:7" x14ac:dyDescent="0.25">
      <c r="B115" s="11" t="s">
        <v>55</v>
      </c>
      <c r="C115" s="8">
        <v>64</v>
      </c>
      <c r="D115" s="8">
        <v>74</v>
      </c>
      <c r="E115" s="8">
        <v>55</v>
      </c>
      <c r="F115" s="8">
        <v>43</v>
      </c>
      <c r="G115" s="8">
        <v>83</v>
      </c>
    </row>
    <row r="116" spans="2:7" x14ac:dyDescent="0.25">
      <c r="B116" s="11" t="s">
        <v>56</v>
      </c>
      <c r="C116" s="8">
        <v>56</v>
      </c>
      <c r="D116" s="8">
        <v>66</v>
      </c>
      <c r="E116" s="8">
        <v>136</v>
      </c>
      <c r="F116" s="8">
        <v>40</v>
      </c>
      <c r="G116" s="8">
        <v>78</v>
      </c>
    </row>
    <row r="117" spans="2:7" x14ac:dyDescent="0.25">
      <c r="B117" s="10">
        <v>9</v>
      </c>
      <c r="C117" s="8"/>
      <c r="D117" s="8"/>
      <c r="E117" s="8"/>
      <c r="F117" s="8"/>
      <c r="G117" s="8"/>
    </row>
    <row r="118" spans="2:7" x14ac:dyDescent="0.25">
      <c r="B118" s="11" t="s">
        <v>44</v>
      </c>
      <c r="C118" s="8">
        <v>99</v>
      </c>
      <c r="D118" s="8">
        <v>101</v>
      </c>
      <c r="E118" s="8">
        <v>90</v>
      </c>
      <c r="F118" s="8">
        <v>106</v>
      </c>
      <c r="G118" s="8">
        <v>94</v>
      </c>
    </row>
    <row r="119" spans="2:7" x14ac:dyDescent="0.25">
      <c r="B119" s="11" t="s">
        <v>45</v>
      </c>
      <c r="C119" s="8">
        <v>95</v>
      </c>
      <c r="D119" s="8">
        <v>89</v>
      </c>
      <c r="E119" s="8">
        <v>79</v>
      </c>
      <c r="F119" s="8">
        <v>108</v>
      </c>
      <c r="G119" s="8">
        <v>47</v>
      </c>
    </row>
    <row r="120" spans="2:7" x14ac:dyDescent="0.25">
      <c r="B120" s="11" t="s">
        <v>46</v>
      </c>
      <c r="C120" s="8">
        <v>116</v>
      </c>
      <c r="D120" s="8">
        <v>85</v>
      </c>
      <c r="E120" s="8">
        <v>76</v>
      </c>
      <c r="F120" s="8">
        <v>102</v>
      </c>
      <c r="G120" s="8">
        <v>87</v>
      </c>
    </row>
    <row r="121" spans="2:7" x14ac:dyDescent="0.25">
      <c r="B121" s="11" t="s">
        <v>47</v>
      </c>
      <c r="C121" s="8">
        <v>91</v>
      </c>
      <c r="D121" s="8">
        <v>81</v>
      </c>
      <c r="E121" s="8">
        <v>73</v>
      </c>
      <c r="F121" s="8">
        <v>128</v>
      </c>
      <c r="G121" s="8">
        <v>85</v>
      </c>
    </row>
    <row r="122" spans="2:7" x14ac:dyDescent="0.25">
      <c r="B122" s="11" t="s">
        <v>48</v>
      </c>
      <c r="C122" s="8">
        <v>94</v>
      </c>
      <c r="D122" s="8">
        <v>77</v>
      </c>
      <c r="E122" s="8">
        <v>69</v>
      </c>
      <c r="F122" s="8">
        <v>67</v>
      </c>
      <c r="G122" s="8">
        <v>61</v>
      </c>
    </row>
    <row r="123" spans="2:7" x14ac:dyDescent="0.25">
      <c r="B123" s="11" t="s">
        <v>49</v>
      </c>
      <c r="C123" s="8">
        <v>136</v>
      </c>
      <c r="D123" s="8">
        <v>72</v>
      </c>
      <c r="E123" s="8">
        <v>65</v>
      </c>
      <c r="F123" s="8">
        <v>56</v>
      </c>
      <c r="G123" s="8">
        <v>162</v>
      </c>
    </row>
    <row r="124" spans="2:7" x14ac:dyDescent="0.25">
      <c r="B124" s="11" t="s">
        <v>50</v>
      </c>
      <c r="C124" s="8">
        <v>99</v>
      </c>
      <c r="D124" s="8">
        <v>68</v>
      </c>
      <c r="E124" s="8">
        <v>62</v>
      </c>
      <c r="F124" s="8">
        <v>50</v>
      </c>
      <c r="G124" s="8">
        <v>41</v>
      </c>
    </row>
    <row r="125" spans="2:7" x14ac:dyDescent="0.25">
      <c r="B125" s="11" t="s">
        <v>51</v>
      </c>
      <c r="C125" s="8">
        <v>76</v>
      </c>
      <c r="D125" s="8">
        <v>98</v>
      </c>
      <c r="E125" s="8">
        <v>59</v>
      </c>
      <c r="F125" s="8">
        <v>132</v>
      </c>
      <c r="G125" s="8">
        <v>47</v>
      </c>
    </row>
    <row r="126" spans="2:7" x14ac:dyDescent="0.25">
      <c r="B126" s="11" t="s">
        <v>52</v>
      </c>
      <c r="C126" s="8">
        <v>69</v>
      </c>
      <c r="D126" s="8">
        <v>164</v>
      </c>
      <c r="E126" s="8">
        <v>56</v>
      </c>
      <c r="F126" s="8">
        <v>109</v>
      </c>
      <c r="G126" s="8">
        <v>43</v>
      </c>
    </row>
    <row r="127" spans="2:7" x14ac:dyDescent="0.25">
      <c r="B127" s="11" t="s">
        <v>53</v>
      </c>
      <c r="C127" s="8">
        <v>63</v>
      </c>
      <c r="D127" s="8">
        <v>222</v>
      </c>
      <c r="E127" s="8">
        <v>51</v>
      </c>
      <c r="F127" s="8">
        <v>119</v>
      </c>
      <c r="G127" s="8">
        <v>39</v>
      </c>
    </row>
    <row r="128" spans="2:7" x14ac:dyDescent="0.25">
      <c r="B128" s="11" t="s">
        <v>54</v>
      </c>
      <c r="C128" s="8">
        <v>133</v>
      </c>
      <c r="D128" s="8">
        <v>146</v>
      </c>
      <c r="E128" s="8">
        <v>47</v>
      </c>
      <c r="F128" s="8">
        <v>118</v>
      </c>
      <c r="G128" s="8">
        <v>35</v>
      </c>
    </row>
    <row r="129" spans="2:7" x14ac:dyDescent="0.25">
      <c r="B129" s="11" t="s">
        <v>55</v>
      </c>
      <c r="C129" s="8">
        <v>76</v>
      </c>
      <c r="D129" s="8">
        <v>96</v>
      </c>
      <c r="E129" s="8">
        <v>44</v>
      </c>
      <c r="F129" s="8">
        <v>67</v>
      </c>
      <c r="G129" s="8">
        <v>32</v>
      </c>
    </row>
    <row r="130" spans="2:7" x14ac:dyDescent="0.25">
      <c r="B130" s="11" t="s">
        <v>56</v>
      </c>
      <c r="C130" s="8">
        <v>69</v>
      </c>
      <c r="D130" s="8">
        <v>64</v>
      </c>
      <c r="E130" s="8">
        <v>40</v>
      </c>
      <c r="F130" s="8">
        <v>60</v>
      </c>
      <c r="G130" s="8">
        <v>29</v>
      </c>
    </row>
    <row r="131" spans="2:7" x14ac:dyDescent="0.25">
      <c r="B131" s="10">
        <v>10</v>
      </c>
      <c r="C131" s="8"/>
      <c r="D131" s="8"/>
      <c r="E131" s="8"/>
      <c r="F131" s="8"/>
      <c r="G131" s="8"/>
    </row>
    <row r="132" spans="2:7" x14ac:dyDescent="0.25">
      <c r="B132" s="11" t="s">
        <v>44</v>
      </c>
      <c r="C132" s="8">
        <v>95</v>
      </c>
      <c r="D132" s="8">
        <v>105</v>
      </c>
      <c r="E132" s="8">
        <v>93</v>
      </c>
      <c r="F132" s="8">
        <v>98</v>
      </c>
      <c r="G132" s="8">
        <v>100</v>
      </c>
    </row>
    <row r="133" spans="2:7" x14ac:dyDescent="0.25">
      <c r="B133" s="11" t="s">
        <v>45</v>
      </c>
      <c r="C133" s="8">
        <v>83</v>
      </c>
      <c r="D133" s="8">
        <v>64</v>
      </c>
      <c r="E133" s="8">
        <v>117</v>
      </c>
      <c r="F133" s="8">
        <v>84</v>
      </c>
      <c r="G133" s="8">
        <v>73</v>
      </c>
    </row>
    <row r="134" spans="2:7" x14ac:dyDescent="0.25">
      <c r="B134" s="11" t="s">
        <v>46</v>
      </c>
      <c r="C134" s="8">
        <v>79</v>
      </c>
      <c r="D134" s="8">
        <v>59</v>
      </c>
      <c r="E134" s="8">
        <v>106</v>
      </c>
      <c r="F134" s="8">
        <v>80</v>
      </c>
      <c r="G134" s="8">
        <v>66</v>
      </c>
    </row>
    <row r="135" spans="2:7" x14ac:dyDescent="0.25">
      <c r="B135" s="11" t="s">
        <v>47</v>
      </c>
      <c r="C135" s="8">
        <v>76</v>
      </c>
      <c r="D135" s="8">
        <v>53</v>
      </c>
      <c r="E135" s="8">
        <v>84</v>
      </c>
      <c r="F135" s="8">
        <v>76</v>
      </c>
      <c r="G135" s="8">
        <v>107</v>
      </c>
    </row>
    <row r="136" spans="2:7" x14ac:dyDescent="0.25">
      <c r="B136" s="11" t="s">
        <v>48</v>
      </c>
      <c r="C136" s="8">
        <v>73</v>
      </c>
      <c r="D136" s="8">
        <v>97</v>
      </c>
      <c r="E136" s="8">
        <v>105</v>
      </c>
      <c r="F136" s="8">
        <v>71</v>
      </c>
      <c r="G136" s="8">
        <v>92</v>
      </c>
    </row>
    <row r="137" spans="2:7" x14ac:dyDescent="0.25">
      <c r="B137" s="11" t="s">
        <v>49</v>
      </c>
      <c r="C137" s="8">
        <v>70</v>
      </c>
      <c r="D137" s="8">
        <v>131</v>
      </c>
      <c r="E137" s="8">
        <v>108</v>
      </c>
      <c r="F137" s="8">
        <v>68</v>
      </c>
      <c r="G137" s="8">
        <v>131</v>
      </c>
    </row>
    <row r="138" spans="2:7" x14ac:dyDescent="0.25">
      <c r="B138" s="11" t="s">
        <v>50</v>
      </c>
      <c r="C138" s="8">
        <v>66</v>
      </c>
      <c r="D138" s="8">
        <v>64</v>
      </c>
      <c r="E138" s="8">
        <v>67</v>
      </c>
      <c r="F138" s="8">
        <v>64</v>
      </c>
      <c r="G138" s="8">
        <v>114</v>
      </c>
    </row>
    <row r="139" spans="2:7" x14ac:dyDescent="0.25">
      <c r="B139" s="11" t="s">
        <v>51</v>
      </c>
      <c r="C139" s="8">
        <v>63</v>
      </c>
      <c r="D139" s="8">
        <v>56</v>
      </c>
      <c r="E139" s="8">
        <v>60</v>
      </c>
      <c r="F139" s="8">
        <v>60</v>
      </c>
      <c r="G139" s="8">
        <v>108</v>
      </c>
    </row>
    <row r="140" spans="2:7" x14ac:dyDescent="0.25">
      <c r="B140" s="11" t="s">
        <v>52</v>
      </c>
      <c r="C140" s="8">
        <v>60</v>
      </c>
      <c r="D140" s="8">
        <v>113</v>
      </c>
      <c r="E140" s="8">
        <v>56</v>
      </c>
      <c r="F140" s="8">
        <v>55</v>
      </c>
      <c r="G140" s="8">
        <v>129</v>
      </c>
    </row>
    <row r="141" spans="2:7" x14ac:dyDescent="0.25">
      <c r="B141" s="11" t="s">
        <v>53</v>
      </c>
      <c r="C141" s="8">
        <v>56</v>
      </c>
      <c r="D141" s="8">
        <v>108</v>
      </c>
      <c r="E141" s="8">
        <v>125</v>
      </c>
      <c r="F141" s="8">
        <v>52</v>
      </c>
      <c r="G141" s="8">
        <v>73</v>
      </c>
    </row>
    <row r="142" spans="2:7" x14ac:dyDescent="0.25">
      <c r="B142" s="11" t="s">
        <v>54</v>
      </c>
      <c r="C142" s="8">
        <v>52</v>
      </c>
      <c r="D142" s="8">
        <v>139</v>
      </c>
      <c r="E142" s="8">
        <v>93</v>
      </c>
      <c r="F142" s="8">
        <v>47</v>
      </c>
      <c r="G142" s="8">
        <v>63</v>
      </c>
    </row>
    <row r="143" spans="2:7" x14ac:dyDescent="0.25">
      <c r="B143" s="11" t="s">
        <v>55</v>
      </c>
      <c r="C143" s="8">
        <v>47</v>
      </c>
      <c r="D143" s="8">
        <v>138</v>
      </c>
      <c r="E143" s="8">
        <v>67</v>
      </c>
      <c r="F143" s="8">
        <v>43</v>
      </c>
      <c r="G143" s="8">
        <v>55</v>
      </c>
    </row>
    <row r="144" spans="2:7" x14ac:dyDescent="0.25">
      <c r="B144" s="11" t="s">
        <v>56</v>
      </c>
      <c r="C144" s="8">
        <v>43</v>
      </c>
      <c r="D144" s="8">
        <v>100</v>
      </c>
      <c r="E144" s="8">
        <v>62</v>
      </c>
      <c r="F144" s="8">
        <v>38</v>
      </c>
      <c r="G144" s="8">
        <v>111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autoPageBreaks="0"/>
  </sheetPr>
  <dimension ref="B3:F17"/>
  <sheetViews>
    <sheetView showGridLines="0" topLeftCell="A10" zoomScale="70" zoomScaleNormal="70" workbookViewId="0">
      <selection activeCell="C13" sqref="C13"/>
    </sheetView>
  </sheetViews>
  <sheetFormatPr defaultRowHeight="15" x14ac:dyDescent="0.25"/>
  <cols>
    <col min="2" max="2" width="26" customWidth="1"/>
    <col min="3" max="3" width="21.7109375" customWidth="1"/>
    <col min="4" max="6" width="9.7109375" customWidth="1"/>
    <col min="7" max="17" width="14.140625" bestFit="1" customWidth="1"/>
    <col min="18" max="18" width="13" bestFit="1" customWidth="1"/>
    <col min="19" max="36" width="14.140625" bestFit="1" customWidth="1"/>
    <col min="37" max="37" width="11.5703125" bestFit="1" customWidth="1"/>
    <col min="38" max="45" width="14.140625" bestFit="1" customWidth="1"/>
    <col min="46" max="46" width="11.5703125" bestFit="1" customWidth="1"/>
    <col min="47" max="47" width="14.140625" bestFit="1" customWidth="1"/>
    <col min="48" max="48" width="14.140625" customWidth="1"/>
    <col min="49" max="52" width="14.140625" bestFit="1" customWidth="1"/>
    <col min="53" max="56" width="14.140625" customWidth="1"/>
    <col min="57" max="57" width="9" customWidth="1"/>
    <col min="58" max="58" width="8" customWidth="1"/>
    <col min="59" max="62" width="9" customWidth="1"/>
    <col min="63" max="63" width="10" customWidth="1"/>
    <col min="64" max="64" width="9" customWidth="1"/>
    <col min="65" max="65" width="10" customWidth="1"/>
    <col min="66" max="67" width="9" customWidth="1"/>
    <col min="68" max="68" width="8" customWidth="1"/>
    <col min="69" max="75" width="9" customWidth="1"/>
    <col min="76" max="76" width="8" customWidth="1"/>
    <col min="77" max="80" width="9" customWidth="1"/>
    <col min="81" max="81" width="8" customWidth="1"/>
    <col min="82" max="84" width="9" customWidth="1"/>
    <col min="85" max="85" width="8" customWidth="1"/>
    <col min="86" max="87" width="9" customWidth="1"/>
    <col min="88" max="92" width="10" customWidth="1"/>
    <col min="93" max="93" width="9" customWidth="1"/>
    <col min="94" max="94" width="8" customWidth="1"/>
    <col min="95" max="96" width="10" bestFit="1" customWidth="1"/>
    <col min="97" max="106" width="9" customWidth="1"/>
    <col min="107" max="107" width="8" customWidth="1"/>
    <col min="108" max="110" width="10" customWidth="1"/>
    <col min="111" max="112" width="9" customWidth="1"/>
    <col min="113" max="113" width="10" customWidth="1"/>
    <col min="114" max="115" width="9" customWidth="1"/>
    <col min="116" max="116" width="8" customWidth="1"/>
    <col min="117" max="118" width="9" customWidth="1"/>
    <col min="119" max="119" width="10" customWidth="1"/>
    <col min="120" max="120" width="8" customWidth="1"/>
    <col min="121" max="122" width="9" customWidth="1"/>
    <col min="123" max="123" width="8" customWidth="1"/>
    <col min="124" max="124" width="9" customWidth="1"/>
    <col min="125" max="128" width="8" customWidth="1"/>
    <col min="129" max="133" width="9" customWidth="1"/>
    <col min="134" max="137" width="8" customWidth="1"/>
    <col min="138" max="141" width="9" customWidth="1"/>
    <col min="142" max="142" width="10" bestFit="1" customWidth="1"/>
  </cols>
  <sheetData>
    <row r="3" spans="2:6" x14ac:dyDescent="0.25">
      <c r="B3" s="9" t="s">
        <v>66</v>
      </c>
      <c r="C3" s="9" t="s">
        <v>62</v>
      </c>
    </row>
    <row r="4" spans="2:6" x14ac:dyDescent="0.25">
      <c r="C4">
        <v>0</v>
      </c>
      <c r="D4">
        <v>1</v>
      </c>
      <c r="E4">
        <v>2</v>
      </c>
      <c r="F4">
        <v>3</v>
      </c>
    </row>
    <row r="5" spans="2:6" x14ac:dyDescent="0.25">
      <c r="B5" s="9" t="s">
        <v>61</v>
      </c>
    </row>
    <row r="6" spans="2:6" x14ac:dyDescent="0.25">
      <c r="B6" s="10" t="s">
        <v>45</v>
      </c>
      <c r="C6" s="7">
        <v>3.5910771069173453E-2</v>
      </c>
      <c r="D6" s="7">
        <v>-0.12098537357674551</v>
      </c>
      <c r="E6" s="7">
        <v>-0.12227857760833921</v>
      </c>
      <c r="F6" s="7">
        <v>-0.32162784609332179</v>
      </c>
    </row>
    <row r="7" spans="2:6" x14ac:dyDescent="0.25">
      <c r="B7" s="10" t="s">
        <v>46</v>
      </c>
      <c r="C7" s="7">
        <v>-3.9782513841304212E-2</v>
      </c>
      <c r="D7" s="7">
        <v>-0.1616815234787351</v>
      </c>
      <c r="E7" s="7">
        <v>-0.16274444091882956</v>
      </c>
      <c r="F7" s="7">
        <v>-0.2439246570170723</v>
      </c>
    </row>
    <row r="8" spans="2:6" x14ac:dyDescent="0.25">
      <c r="B8" s="10" t="s">
        <v>47</v>
      </c>
      <c r="C8" s="7">
        <v>-4.2947966959350686E-2</v>
      </c>
      <c r="D8" s="7">
        <v>-7.6581524250156074E-2</v>
      </c>
      <c r="E8" s="7">
        <v>-0.20209786321548168</v>
      </c>
      <c r="F8" s="7">
        <v>-0.19354703477891844</v>
      </c>
    </row>
    <row r="9" spans="2:6" x14ac:dyDescent="0.25">
      <c r="B9" s="10" t="s">
        <v>48</v>
      </c>
      <c r="C9" s="7">
        <v>-0.11639048735563146</v>
      </c>
      <c r="D9" s="7">
        <v>0.18247161813847967</v>
      </c>
      <c r="E9" s="7">
        <v>-0.24417485140777356</v>
      </c>
      <c r="F9" s="7">
        <v>-8.7742912179157528E-2</v>
      </c>
    </row>
    <row r="10" spans="2:6" x14ac:dyDescent="0.25">
      <c r="B10" s="10" t="s">
        <v>49</v>
      </c>
      <c r="C10" s="7">
        <v>-6.4292755427154775E-3</v>
      </c>
      <c r="D10" s="7">
        <v>0.79579050171367072</v>
      </c>
      <c r="E10" s="7">
        <v>-0.28232430654063712</v>
      </c>
      <c r="F10" s="7">
        <v>-2.3660267621504121E-2</v>
      </c>
    </row>
    <row r="11" spans="2:6" x14ac:dyDescent="0.25">
      <c r="B11" s="10" t="s">
        <v>50</v>
      </c>
      <c r="C11" s="7">
        <v>2.3094190238429242E-2</v>
      </c>
      <c r="D11" s="7">
        <v>0.76123604230929331</v>
      </c>
      <c r="E11" s="7">
        <v>-0.32030254608875125</v>
      </c>
      <c r="F11" s="7">
        <v>8.7441199900057491E-3</v>
      </c>
    </row>
    <row r="12" spans="2:6" x14ac:dyDescent="0.25">
      <c r="B12" s="10" t="s">
        <v>51</v>
      </c>
      <c r="C12" s="7">
        <v>-5.1558835034896479E-2</v>
      </c>
      <c r="D12" s="7">
        <v>0.65094593522653921</v>
      </c>
      <c r="E12" s="7">
        <v>-0.35442528906747167</v>
      </c>
      <c r="F12" s="7">
        <v>-0.15776950848048824</v>
      </c>
    </row>
    <row r="13" spans="2:6" x14ac:dyDescent="0.25">
      <c r="B13" s="10" t="s">
        <v>52</v>
      </c>
      <c r="C13" s="7">
        <v>-9.9277030286588908E-2</v>
      </c>
      <c r="D13" s="7">
        <v>0.59688993109950905</v>
      </c>
      <c r="E13" s="7">
        <v>-0.39898701474450099</v>
      </c>
      <c r="F13" s="7">
        <v>-0.28824397736749746</v>
      </c>
    </row>
    <row r="14" spans="2:6" x14ac:dyDescent="0.25">
      <c r="B14" s="10" t="s">
        <v>53</v>
      </c>
      <c r="C14" s="7">
        <v>-0.11613264239452066</v>
      </c>
      <c r="D14" s="7">
        <v>0.47065357719247319</v>
      </c>
      <c r="E14" s="7">
        <v>-0.44004449669978357</v>
      </c>
      <c r="F14" s="7">
        <v>-0.35103847310100539</v>
      </c>
    </row>
    <row r="15" spans="2:6" x14ac:dyDescent="0.25">
      <c r="B15" s="10" t="s">
        <v>54</v>
      </c>
      <c r="C15" s="7">
        <v>-8.7854327262349999E-2</v>
      </c>
      <c r="D15" s="7">
        <v>1.9992026132996183E-2</v>
      </c>
      <c r="E15" s="7">
        <v>-0.48213230475478752</v>
      </c>
      <c r="F15" s="7">
        <v>-0.36696216546951349</v>
      </c>
    </row>
    <row r="16" spans="2:6" x14ac:dyDescent="0.25">
      <c r="B16" s="10" t="s">
        <v>55</v>
      </c>
      <c r="C16" s="7">
        <v>-0.18951528409149215</v>
      </c>
      <c r="D16" s="7">
        <v>-0.24064883600742762</v>
      </c>
      <c r="E16" s="7">
        <v>-0.52142633377658598</v>
      </c>
      <c r="F16" s="7">
        <v>-0.47723431283777401</v>
      </c>
    </row>
    <row r="17" spans="2:6" x14ac:dyDescent="0.25">
      <c r="B17" s="10" t="s">
        <v>56</v>
      </c>
      <c r="C17" s="7">
        <v>-0.10914080311457941</v>
      </c>
      <c r="D17" s="7">
        <v>-0.31867450526800178</v>
      </c>
      <c r="E17" s="7">
        <v>-0.56081897241767065</v>
      </c>
      <c r="F17" s="7">
        <v>-0.50923264086016318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Regime Generator</vt:lpstr>
      <vt:lpstr>Base Price Generator</vt:lpstr>
      <vt:lpstr>0 - Oscillation</vt:lpstr>
      <vt:lpstr>1 - Large Spike</vt:lpstr>
      <vt:lpstr>2 - Decreasing</vt:lpstr>
      <vt:lpstr>3 - Double Peak</vt:lpstr>
      <vt:lpstr>Simulation</vt:lpstr>
      <vt:lpstr>Sim_Report_1</vt:lpstr>
      <vt:lpstr>Sim_Report_2</vt:lpstr>
      <vt:lpstr>Sim_Report_3</vt:lpstr>
      <vt:lpstr>Feature_Test_1a</vt:lpstr>
      <vt:lpstr>Feature_Test_1b</vt:lpstr>
      <vt:lpstr>Feature_Test_2a</vt:lpstr>
      <vt:lpstr>Feature_Test_2b</vt:lpstr>
      <vt:lpstr>Feature_Test_3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Warner</dc:creator>
  <cp:lastModifiedBy>Robin Warner</cp:lastModifiedBy>
  <dcterms:created xsi:type="dcterms:W3CDTF">2020-04-11T18:00:35Z</dcterms:created>
  <dcterms:modified xsi:type="dcterms:W3CDTF">2020-04-14T13:03:54Z</dcterms:modified>
</cp:coreProperties>
</file>