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dell\OneDrive - Delft University of Technology\Documenten\TU\ADSEE-III\AE3211\"/>
    </mc:Choice>
  </mc:AlternateContent>
  <xr:revisionPtr revIDLastSave="0" documentId="8_{036CC3DF-79EC-4946-AEE2-4CAD54AA1DE9}" xr6:coauthVersionLast="47" xr6:coauthVersionMax="47" xr10:uidLastSave="{00000000-0000-0000-0000-000000000000}"/>
  <bookViews>
    <workbookView xWindow="-96" yWindow="-96" windowWidth="20928" windowHeight="12432" firstSheet="1" activeTab="3" xr2:uid="{18BD270B-3E2B-447A-8F97-898099AE50C6}"/>
  </bookViews>
  <sheets>
    <sheet name="Data" sheetId="1" r:id="rId1"/>
    <sheet name="2.1bc (Weight Table &amp; Chart)" sheetId="2" r:id="rId2"/>
    <sheet name="2.1d (Loading Diagram)" sheetId="3" r:id="rId3"/>
    <sheet name="2.1ef Static Stability" sheetId="4" r:id="rId4"/>
    <sheet name="2.1f Controllability" sheetId="5" r:id="rId5"/>
    <sheet name="3.1 Updated Data" sheetId="6" r:id="rId6"/>
    <sheet name="Sheet1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0" i="6" l="1"/>
  <c r="B49" i="6"/>
  <c r="B42" i="6"/>
  <c r="B46" i="6" s="1"/>
  <c r="B40" i="6"/>
  <c r="B39" i="6"/>
  <c r="B38" i="6"/>
  <c r="B15" i="6"/>
  <c r="G15" i="5"/>
  <c r="G17" i="5"/>
  <c r="G9" i="5"/>
  <c r="B8" i="4"/>
  <c r="G13" i="4"/>
  <c r="C30" i="2"/>
  <c r="E22" i="2"/>
  <c r="B40" i="1"/>
  <c r="G25" i="5"/>
  <c r="G23" i="5"/>
  <c r="G12" i="5"/>
  <c r="G9" i="4"/>
  <c r="G6" i="4"/>
  <c r="G25" i="4"/>
  <c r="G24" i="4"/>
  <c r="G22" i="4"/>
  <c r="G8" i="4"/>
  <c r="B15" i="4"/>
  <c r="B15" i="5" s="1"/>
  <c r="G7" i="4"/>
  <c r="G18" i="4" s="1"/>
  <c r="G19" i="4"/>
  <c r="B13" i="4"/>
  <c r="B12" i="5"/>
  <c r="B6" i="5"/>
  <c r="B15" i="1"/>
  <c r="G24" i="5" s="1"/>
  <c r="G20" i="5"/>
  <c r="E21" i="2"/>
  <c r="E18" i="2"/>
  <c r="E19" i="2"/>
  <c r="E20" i="2"/>
  <c r="E24" i="2"/>
  <c r="F24" i="2" s="1"/>
  <c r="G24" i="2" s="1"/>
  <c r="E23" i="2"/>
  <c r="F23" i="2" s="1"/>
  <c r="G23" i="2" s="1"/>
  <c r="B38" i="1"/>
  <c r="B42" i="1"/>
  <c r="B18" i="5"/>
  <c r="F19" i="2"/>
  <c r="G19" i="2" s="1"/>
  <c r="F18" i="2"/>
  <c r="G18" i="2" s="1"/>
  <c r="G10" i="5"/>
  <c r="B19" i="4"/>
  <c r="B19" i="5" s="1"/>
  <c r="B29" i="5"/>
  <c r="B27" i="5"/>
  <c r="B26" i="5"/>
  <c r="B24" i="5"/>
  <c r="B23" i="5"/>
  <c r="B21" i="5"/>
  <c r="B20" i="5"/>
  <c r="A12" i="5"/>
  <c r="A6" i="5"/>
  <c r="B10" i="5"/>
  <c r="B9" i="5"/>
  <c r="B7" i="5"/>
  <c r="B7" i="4"/>
  <c r="B25" i="4"/>
  <c r="B25" i="5" s="1"/>
  <c r="B10" i="4"/>
  <c r="B37" i="4" s="1"/>
  <c r="B17" i="4"/>
  <c r="B17" i="5" s="1"/>
  <c r="B9" i="4"/>
  <c r="B12" i="4"/>
  <c r="A12" i="4"/>
  <c r="B6" i="4"/>
  <c r="A6" i="4"/>
  <c r="F7" i="2"/>
  <c r="B50" i="1"/>
  <c r="B49" i="1"/>
  <c r="B46" i="1"/>
  <c r="B39" i="1"/>
  <c r="D6" i="3"/>
  <c r="D7" i="3"/>
  <c r="B4" i="3"/>
  <c r="B5" i="3"/>
  <c r="D4" i="3"/>
  <c r="D5" i="3"/>
  <c r="F21" i="2"/>
  <c r="G21" i="2" s="1"/>
  <c r="B20" i="2"/>
  <c r="B19" i="2"/>
  <c r="B18" i="2"/>
  <c r="B21" i="2"/>
  <c r="B22" i="2"/>
  <c r="B24" i="2"/>
  <c r="B23" i="2"/>
  <c r="C5" i="2"/>
  <c r="D23" i="2" s="1"/>
  <c r="A5" i="2"/>
  <c r="C4" i="2"/>
  <c r="A4" i="2"/>
  <c r="C3" i="2"/>
  <c r="F9" i="2" s="1"/>
  <c r="A3" i="2"/>
  <c r="C2" i="2"/>
  <c r="F2" i="2" s="1"/>
  <c r="A2" i="2"/>
  <c r="B29" i="2" l="1"/>
  <c r="B28" i="2"/>
  <c r="G15" i="4"/>
  <c r="F20" i="2"/>
  <c r="G20" i="2" s="1"/>
  <c r="B13" i="5"/>
  <c r="G7" i="2"/>
  <c r="G2" i="2"/>
  <c r="G9" i="2"/>
  <c r="B3" i="2"/>
  <c r="B4" i="2"/>
  <c r="F3" i="2"/>
  <c r="G3" i="2" s="1"/>
  <c r="F8" i="2"/>
  <c r="G8" i="2" s="1"/>
  <c r="B2" i="2"/>
  <c r="B30" i="2" s="1"/>
  <c r="B8" i="5"/>
  <c r="B11" i="5"/>
  <c r="B35" i="4"/>
  <c r="B11" i="4"/>
  <c r="F22" i="2"/>
  <c r="G22" i="2" s="1"/>
  <c r="B3" i="3"/>
  <c r="B5" i="2"/>
  <c r="D22" i="2"/>
  <c r="D20" i="2"/>
  <c r="D19" i="2"/>
  <c r="D18" i="2"/>
  <c r="D24" i="2"/>
  <c r="D21" i="2"/>
  <c r="E29" i="2" l="1" a="1"/>
  <c r="E29" i="2" s="1"/>
  <c r="F29" i="2" s="1"/>
  <c r="F30" i="2" a="1"/>
  <c r="F30" i="2" s="1"/>
  <c r="E30" i="2" s="1"/>
  <c r="D30" i="2" s="1"/>
  <c r="D28" i="2" a="1"/>
  <c r="D28" i="2" s="1"/>
  <c r="E28" i="2" a="1"/>
  <c r="E28" i="2" s="1"/>
  <c r="C28" i="2"/>
  <c r="C29" i="2"/>
  <c r="F4" i="2"/>
  <c r="G4" i="2" s="1"/>
  <c r="G18" i="5"/>
  <c r="G14" i="4"/>
  <c r="K5" i="3"/>
  <c r="J5" i="3"/>
  <c r="I5" i="3"/>
  <c r="H5" i="3"/>
  <c r="F28" i="2"/>
  <c r="D29" i="2" a="1"/>
  <c r="D29" i="2" s="1"/>
  <c r="G22" i="5" l="1"/>
  <c r="G7" i="5" s="1"/>
  <c r="D3" i="3"/>
  <c r="K4" i="3" s="1"/>
  <c r="J4" i="3" l="1"/>
  <c r="I4" i="3"/>
  <c r="H4" i="3"/>
  <c r="C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<sst xmlns="http://schemas.openxmlformats.org/spreadsheetml/2006/main" count="380" uniqueCount="222">
  <si>
    <t>ATR 72-600 Specifications</t>
  </si>
  <si>
    <t>Weights:</t>
  </si>
  <si>
    <t>https://www.atr-aircraft.com/wp-content/uploads/2020/07/Factsheets_-_ATR_72-600.pdf</t>
  </si>
  <si>
    <t>MTOW [kg]</t>
  </si>
  <si>
    <t>https://www.atr-aircraft.com/wp-content/uploads/2022/06/ATR_Fiche72-600-3.pdf</t>
  </si>
  <si>
    <t>MLW [kg]</t>
  </si>
  <si>
    <t>MZFW [kg]</t>
  </si>
  <si>
    <t>MPW [kg]</t>
  </si>
  <si>
    <t>MFW [kg]</t>
  </si>
  <si>
    <t>OEW [kg]</t>
  </si>
  <si>
    <t>PAX [-]</t>
  </si>
  <si>
    <t>Airfield performance:</t>
  </si>
  <si>
    <t>TO dist MTOW SL [m]</t>
  </si>
  <si>
    <t>LDG dist MLW SL [m]</t>
  </si>
  <si>
    <t>landing speed</t>
  </si>
  <si>
    <t>In-flight performance (per engine when relevant):</t>
  </si>
  <si>
    <t>TO power [SHP]</t>
  </si>
  <si>
    <t>Max cont. power [SHP]</t>
  </si>
  <si>
    <t>Max climb power [SHP]</t>
  </si>
  <si>
    <t>Max cruise power [SHP]</t>
  </si>
  <si>
    <t>Blade diameter [m]</t>
  </si>
  <si>
    <t>Optimum climb speed [kts CAS]</t>
  </si>
  <si>
    <t>ROC MTOW SL [ft/min]</t>
  </si>
  <si>
    <t xml:space="preserve">Max cruise speed opt FL @ 95% MTOW [kts TAS] </t>
  </si>
  <si>
    <t>Range with max pax [nm]</t>
  </si>
  <si>
    <t>FF at cruise [kg/hr] both engines</t>
  </si>
  <si>
    <t>Geometry [m]:</t>
  </si>
  <si>
    <t>Wing span</t>
  </si>
  <si>
    <t>Wing area [m^2]</t>
  </si>
  <si>
    <t>Length</t>
  </si>
  <si>
    <t>Height (with MLG)</t>
  </si>
  <si>
    <t>Distance between front and main gear (front to back of tire)</t>
  </si>
  <si>
    <t>Main landing gear width (measured from end of outer tire)</t>
  </si>
  <si>
    <t>Distance between engines</t>
  </si>
  <si>
    <t xml:space="preserve">                         ( for the cm0 airfoil thing)</t>
  </si>
  <si>
    <t>diameter fuselage</t>
  </si>
  <si>
    <t>Sh/Sw</t>
  </si>
  <si>
    <t>c_mac</t>
  </si>
  <si>
    <t>manual 784</t>
  </si>
  <si>
    <t>x_lemac</t>
  </si>
  <si>
    <t>S_v [m^2]</t>
  </si>
  <si>
    <t>S_h [m^2]</t>
  </si>
  <si>
    <t>engine length including nacelle</t>
  </si>
  <si>
    <t>pixel measurement</t>
  </si>
  <si>
    <t>engine length excluding nacelle and spinner</t>
  </si>
  <si>
    <t>horizontal tail span</t>
  </si>
  <si>
    <t>horizontal tail mac</t>
  </si>
  <si>
    <t>vertical tail span if to centerline</t>
  </si>
  <si>
    <t>blood in pee bad</t>
  </si>
  <si>
    <t>vertical tail span if not</t>
  </si>
  <si>
    <t xml:space="preserve"> the one to use</t>
  </si>
  <si>
    <t>vertical tail mac if to centerline</t>
  </si>
  <si>
    <t>https://skybrary.aero/aircraft/at76</t>
  </si>
  <si>
    <t>vertical tail mac if not</t>
  </si>
  <si>
    <t>https://www.researchgate.net/publication/330199240_Effect_of_Propeller_Installation_on_Performance_Indicators_of_Regional_Turboprop_Aircraft</t>
  </si>
  <si>
    <t>width and height nacelle</t>
  </si>
  <si>
    <t>engine position</t>
  </si>
  <si>
    <t>front ldg</t>
  </si>
  <si>
    <t>back ldg</t>
  </si>
  <si>
    <t>position vertical tail xlemac</t>
  </si>
  <si>
    <t>position horizontal tail xlemac</t>
  </si>
  <si>
    <t>Devices:</t>
  </si>
  <si>
    <t>Wing</t>
  </si>
  <si>
    <t>fixed high wing</t>
  </si>
  <si>
    <t>Tail</t>
  </si>
  <si>
    <t>T-tail</t>
  </si>
  <si>
    <t>propulsion</t>
  </si>
  <si>
    <t>2x turboprop</t>
  </si>
  <si>
    <t>landing gear</t>
  </si>
  <si>
    <t>tricycle retractable</t>
  </si>
  <si>
    <t>Weight Component</t>
  </si>
  <si>
    <t>Weight [% MTOW]</t>
  </si>
  <si>
    <t>Value [kg]</t>
  </si>
  <si>
    <t>Max. Payload Config.</t>
  </si>
  <si>
    <t>Absolute</t>
  </si>
  <si>
    <t>% MTOW</t>
  </si>
  <si>
    <t>OEW</t>
  </si>
  <si>
    <t>MPW</t>
  </si>
  <si>
    <t>FW</t>
  </si>
  <si>
    <t>Max. Range Config.</t>
  </si>
  <si>
    <t>PW</t>
  </si>
  <si>
    <t>MFW</t>
  </si>
  <si>
    <t>Categories</t>
  </si>
  <si>
    <t>https://www.fzt.haw-hamburg.de/pers/Scholz/paper/RRDPAE-2008-Presentation_ATR72.pdf</t>
  </si>
  <si>
    <t>Fuselage</t>
  </si>
  <si>
    <t>https://www.737ng.co.uk/atr72fcom.pdf</t>
  </si>
  <si>
    <t>https://pdfcoffee.com/atr-72-500-weight-and-balance-manual-pdf-free.html</t>
  </si>
  <si>
    <t>Component</t>
  </si>
  <si>
    <t>Category</t>
  </si>
  <si>
    <t>Weight [kg]</t>
  </si>
  <si>
    <t>xcg ac [m]</t>
  </si>
  <si>
    <t>xcg MAC [m]</t>
  </si>
  <si>
    <t>xcg MAC [%c]</t>
  </si>
  <si>
    <t>has it been verified?</t>
  </si>
  <si>
    <t>Column1</t>
  </si>
  <si>
    <t>as good as it's going to be</t>
  </si>
  <si>
    <t>roskam 0.38-0.4 for twin props</t>
  </si>
  <si>
    <t>Vertical Tail</t>
  </si>
  <si>
    <t>roskam 0.42 mac</t>
  </si>
  <si>
    <t>Horizontal Tail</t>
  </si>
  <si>
    <t>Nose Landing Gear</t>
  </si>
  <si>
    <t>roskam 0.38-0.42 MAC for straight wings</t>
  </si>
  <si>
    <t>Propulsion</t>
  </si>
  <si>
    <t>roskam 0.4 engine length</t>
  </si>
  <si>
    <t>Main Landing Gear</t>
  </si>
  <si>
    <t>Group</t>
  </si>
  <si>
    <t>Fuselage Group</t>
  </si>
  <si>
    <t>Wing Group</t>
  </si>
  <si>
    <t>Thanks for your work!</t>
  </si>
  <si>
    <t>Data</t>
  </si>
  <si>
    <t>Diagram Points</t>
  </si>
  <si>
    <t>W [kg]</t>
  </si>
  <si>
    <t>Xcg MAC [m]</t>
  </si>
  <si>
    <t>Xcg [%c]</t>
  </si>
  <si>
    <t>Front Loaded</t>
  </si>
  <si>
    <t>Back Loaded</t>
  </si>
  <si>
    <t>Fully Loaded</t>
  </si>
  <si>
    <t>fcargo</t>
  </si>
  <si>
    <t>rcargo</t>
  </si>
  <si>
    <t>fchair</t>
  </si>
  <si>
    <t>rchair</t>
  </si>
  <si>
    <t>SEE GITHUB</t>
  </si>
  <si>
    <t>red =</t>
  </si>
  <si>
    <t>Needs Verification</t>
  </si>
  <si>
    <t>green=variable in final plot</t>
  </si>
  <si>
    <t>(read: "I bs'ed some numbers")</t>
  </si>
  <si>
    <t>Geometry (task 2.1.f)</t>
  </si>
  <si>
    <t>[m2]</t>
  </si>
  <si>
    <t>de/dalpha</t>
  </si>
  <si>
    <t>(Lecture 7 slide 47)</t>
  </si>
  <si>
    <t>(Also I skipped slide 48 of L7)</t>
  </si>
  <si>
    <t>b_h</t>
  </si>
  <si>
    <t>[m]</t>
  </si>
  <si>
    <t>Clalpha_A-h</t>
  </si>
  <si>
    <t>(Lecture 7 slide 44)</t>
  </si>
  <si>
    <t>A_h</t>
  </si>
  <si>
    <t>Clalpha_w</t>
  </si>
  <si>
    <t>(Lecture 7 slide 43)</t>
  </si>
  <si>
    <t>S</t>
  </si>
  <si>
    <t>Clalpha_h</t>
  </si>
  <si>
    <t>b</t>
  </si>
  <si>
    <t>Vh/V</t>
  </si>
  <si>
    <t>(7 slide 42)</t>
  </si>
  <si>
    <t>A</t>
  </si>
  <si>
    <t>c_g</t>
  </si>
  <si>
    <t>x_ac</t>
  </si>
  <si>
    <t>(7 slide 35) [%mac]</t>
  </si>
  <si>
    <t>x_ac_wf</t>
  </si>
  <si>
    <t>(7 slide 35)</t>
  </si>
  <si>
    <t>S_net</t>
  </si>
  <si>
    <t>[m2] (from pixel measurements)</t>
  </si>
  <si>
    <t>x_ac_n</t>
  </si>
  <si>
    <t>(7 slide 40)</t>
  </si>
  <si>
    <t>b_f</t>
  </si>
  <si>
    <t>x_ac_w</t>
  </si>
  <si>
    <t>(from data?) [%MAC] 0.25 based on thin airfoil theory, reasonable assumption</t>
  </si>
  <si>
    <t>h_f</t>
  </si>
  <si>
    <t>[m] (pixel measurement)</t>
  </si>
  <si>
    <t>x_ac_f1</t>
  </si>
  <si>
    <t>(7 slide 39)</t>
  </si>
  <si>
    <t>l_f</t>
  </si>
  <si>
    <t>x_ac_f2</t>
  </si>
  <si>
    <t>l_fn</t>
  </si>
  <si>
    <t>l_h</t>
  </si>
  <si>
    <t>[m] caluculation from position of lemac of wing and tail and macs</t>
  </si>
  <si>
    <t>eta</t>
  </si>
  <si>
    <t>(might be constant see L7s43)</t>
  </si>
  <si>
    <t>beta</t>
  </si>
  <si>
    <t>(dependant on M see L7s43) at cruise and max speed, will vary between this and 1</t>
  </si>
  <si>
    <t>c_t</t>
  </si>
  <si>
    <t>[m] (Janes)</t>
  </si>
  <si>
    <t>c_r</t>
  </si>
  <si>
    <t>K_eA</t>
  </si>
  <si>
    <t>(L7s47)</t>
  </si>
  <si>
    <t>lambda</t>
  </si>
  <si>
    <t>K_eA=0</t>
  </si>
  <si>
    <t>Sweep 1/4 wing</t>
  </si>
  <si>
    <t>[rad] (measured from image)</t>
  </si>
  <si>
    <t>Sweep 1/2 wing</t>
  </si>
  <si>
    <t>Sweep 1/2 tail</t>
  </si>
  <si>
    <t>k_n</t>
  </si>
  <si>
    <t>(L7s40) (Made this negative)</t>
  </si>
  <si>
    <t>b_n</t>
  </si>
  <si>
    <t>should be more, measuring shows it's at least 1 m, I guess padding</t>
  </si>
  <si>
    <t xml:space="preserve">https://www.easa.europa.eu/en/downloads/7725/en </t>
  </si>
  <si>
    <t>l_n</t>
  </si>
  <si>
    <t>r</t>
  </si>
  <si>
    <t>d_ht-vsp</t>
  </si>
  <si>
    <t>(L7s40, no var name given) pixel measurement</t>
  </si>
  <si>
    <t>m_tv</t>
  </si>
  <si>
    <t>Change below in Static stability</t>
  </si>
  <si>
    <t>C_Lh</t>
  </si>
  <si>
    <t>Check L8s17</t>
  </si>
  <si>
    <t>C_m_ac</t>
  </si>
  <si>
    <t>(slides gave no nacelle contribution equation)</t>
  </si>
  <si>
    <t>VhV</t>
  </si>
  <si>
    <t>Cmacw:</t>
  </si>
  <si>
    <t>Cm_acw</t>
  </si>
  <si>
    <t>Cm_0airfoil</t>
  </si>
  <si>
    <t>NACA48015,https://www.fzt.haw-hamburg.de/pers/Scholz/arbeiten/TextNita.pdf says it's good</t>
  </si>
  <si>
    <t>fuselage:</t>
  </si>
  <si>
    <t>DfusCm_ac</t>
  </si>
  <si>
    <t>C_L0</t>
  </si>
  <si>
    <t>Check L8s19 (0AoA flap), no clue how to guesstimate this and going to bed</t>
  </si>
  <si>
    <t>(dependant on M see L7s43 (landing conf)), can probably be assumed as 1 as landing speed gives low mach</t>
  </si>
  <si>
    <t>Flaps:</t>
  </si>
  <si>
    <t>Dcmac</t>
  </si>
  <si>
    <t>L8s20</t>
  </si>
  <si>
    <t>DCm1/4</t>
  </si>
  <si>
    <t>C_L_landing</t>
  </si>
  <si>
    <t>Check L8s20, from landing speed at max landing weight</t>
  </si>
  <si>
    <t>dClmax</t>
  </si>
  <si>
    <t>Check L8s20, 2nd year adsee AC3s39</t>
  </si>
  <si>
    <t>c'c</t>
  </si>
  <si>
    <t>Check L8s20, visually deciding that cf is about 0.3c, uses double slotted flaps at 30 deg, c' = c +0.3*0.3*c</t>
  </si>
  <si>
    <t>mu1</t>
  </si>
  <si>
    <t>Check L8s20, did my best reading off graphs</t>
  </si>
  <si>
    <t>mu2</t>
  </si>
  <si>
    <t>Check L8s21, did my best reading off graphs</t>
  </si>
  <si>
    <t>mu3</t>
  </si>
  <si>
    <t>SwfS</t>
  </si>
  <si>
    <t>Check L8s20, did my best reading counting pixels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</si>
</sst>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\ \k\g"/>
  </numFmts>
  <fonts count="8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9"/>
      <name val="Aptos Narrow"/>
      <family val="2"/>
      <scheme val="minor"/>
    </font>
    <font>
      <sz val="11"/>
      <color theme="5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3" fontId="0" fillId="0" borderId="0" xfId="0" applyNumberFormat="1"/>
    <xf numFmtId="0" fontId="1" fillId="0" borderId="0" xfId="1"/>
    <xf numFmtId="10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 applyAlignment="1">
      <alignment wrapText="1"/>
    </xf>
    <xf numFmtId="0" fontId="3" fillId="0" borderId="0" xfId="0" applyFont="1"/>
    <xf numFmtId="0" fontId="2" fillId="0" borderId="0" xfId="0" applyFon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0" fontId="0" fillId="0" borderId="5" xfId="0" applyNumberFormat="1" applyBorder="1"/>
    <xf numFmtId="10" fontId="0" fillId="0" borderId="8" xfId="0" applyNumberFormat="1" applyBorder="1"/>
    <xf numFmtId="0" fontId="4" fillId="0" borderId="0" xfId="0" applyFont="1"/>
    <xf numFmtId="0" fontId="3" fillId="0" borderId="0" xfId="0" applyFont="1" applyAlignment="1">
      <alignment wrapText="1"/>
    </xf>
    <xf numFmtId="0" fontId="0" fillId="2" borderId="0" xfId="0" applyFill="1"/>
    <xf numFmtId="0" fontId="4" fillId="2" borderId="0" xfId="0" applyFont="1" applyFill="1"/>
    <xf numFmtId="164" fontId="0" fillId="0" borderId="0" xfId="0" applyNumberFormat="1"/>
    <xf numFmtId="164" fontId="0" fillId="0" borderId="7" xfId="0" applyNumberFormat="1" applyBorder="1"/>
    <xf numFmtId="0" fontId="5" fillId="0" borderId="0" xfId="0" applyFont="1"/>
    <xf numFmtId="0" fontId="3" fillId="3" borderId="0" xfId="0" applyFont="1" applyFill="1"/>
    <xf numFmtId="0" fontId="6" fillId="0" borderId="0" xfId="0" applyFont="1"/>
    <xf numFmtId="0" fontId="7" fillId="0" borderId="0" xfId="0" applyFont="1"/>
    <xf numFmtId="0" fontId="5" fillId="2" borderId="0" xfId="0" applyFont="1" applyFill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10">
    <dxf>
      <numFmt numFmtId="14" formatCode="0.00%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95911205433611E-2"/>
          <c:y val="7.7482472867835217E-2"/>
          <c:w val="0.87059779857088349"/>
          <c:h val="0.91358097664065452"/>
        </c:manualLayout>
      </c:layout>
      <c:pieChart>
        <c:varyColors val="1"/>
        <c:ser>
          <c:idx val="1"/>
          <c:order val="1"/>
          <c:tx>
            <c:v>Max range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FA3-42F1-B24C-BFDA3EFD6B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FA3-42F1-B24C-BFDA3EFD6B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FA3-42F1-B24C-BFDA3EFD6B49}"/>
              </c:ext>
            </c:extLst>
          </c:dPt>
          <c:dLbls>
            <c:dLbl>
              <c:idx val="0"/>
              <c:layout>
                <c:manualLayout>
                  <c:x val="-0.1586129500388071"/>
                  <c:y val="-8.765385207226275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7202940879173"/>
                      <c:h val="9.84316586122002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FA3-42F1-B24C-BFDA3EFD6B49}"/>
                </c:ext>
              </c:extLst>
            </c:dLbl>
            <c:dLbl>
              <c:idx val="1"/>
              <c:layout>
                <c:manualLayout>
                  <c:x val="0.15191955998135123"/>
                  <c:y val="-0.1066323202144696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096269219311551"/>
                      <c:h val="0.107573917926026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AFA3-42F1-B24C-BFDA3EFD6B49}"/>
                </c:ext>
              </c:extLst>
            </c:dLbl>
            <c:dLbl>
              <c:idx val="2"/>
              <c:layout>
                <c:manualLayout>
                  <c:x val="0.22100811186419697"/>
                  <c:y val="0.2042376374296099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FA3-42F1-B24C-BFDA3EFD6B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'2.1bc (Weight Table &amp; Chart)'!$E$7:$E$9</c:f>
              <c:strCache>
                <c:ptCount val="3"/>
                <c:pt idx="0">
                  <c:v>OEW</c:v>
                </c:pt>
                <c:pt idx="1">
                  <c:v>PW</c:v>
                </c:pt>
                <c:pt idx="2">
                  <c:v>MFW</c:v>
                </c:pt>
              </c:strCache>
            </c:strRef>
          </c:cat>
          <c:val>
            <c:numRef>
              <c:f>'2.1bc (Weight Table &amp; Chart)'!$F$7:$F$9</c:f>
              <c:numCache>
                <c:formatCode>0\ \k\g</c:formatCode>
                <c:ptCount val="3"/>
                <c:pt idx="0">
                  <c:v>13450</c:v>
                </c:pt>
                <c:pt idx="1">
                  <c:v>4550</c:v>
                </c:pt>
                <c:pt idx="2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A3-42F1-B24C-BFDA3EFD6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AFA3-42F1-B24C-BFDA3EFD6B4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AFA3-42F1-B24C-BFDA3EFD6B49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AFA3-42F1-B24C-BFDA3EFD6B49}"/>
                    </c:ext>
                  </c:extLst>
                </c:dPt>
                <c:dLbls>
                  <c:dLbl>
                    <c:idx val="0"/>
                    <c:layout>
                      <c:manualLayout>
                        <c:x val="-0.19848218146227295"/>
                        <c:y val="-0.12130065511248091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1"/>
                    <c:showBubbleSize val="0"/>
                    <c:separator>
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AFA3-42F1-B24C-BFDA3EFD6B49}"/>
                      </c:ext>
                    </c:extLst>
                  </c:dLbl>
                  <c:dLbl>
                    <c:idx val="1"/>
                    <c:layout>
                      <c:manualLayout>
                        <c:x val="0.1714412240512298"/>
                        <c:y val="1.1137850396046339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1"/>
                    <c:showBubbleSize val="0"/>
                    <c:separator>
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AFA3-42F1-B24C-BFDA3EFD6B49}"/>
                      </c:ext>
                    </c:extLst>
                  </c:dLbl>
                  <c:dLbl>
                    <c:idx val="2"/>
                    <c:layout>
                      <c:manualLayout>
                        <c:x val="8.684819988930069E-2"/>
                        <c:y val="0.11654739538254766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1"/>
                    <c:showBubbleSize val="0"/>
                    <c:separator>
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AFA3-42F1-B24C-BFDA3EFD6B4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'2.1bc (Weight Table &amp; Chart)'!$E$7:$E$9</c15:sqref>
                        </c15:formulaRef>
                      </c:ext>
                    </c:extLst>
                    <c:strCache>
                      <c:ptCount val="3"/>
                      <c:pt idx="0">
                        <c:v>OEW</c:v>
                      </c:pt>
                      <c:pt idx="1">
                        <c:v>PW</c:v>
                      </c:pt>
                      <c:pt idx="2">
                        <c:v>MFW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'2.1bc (Weight Table &amp; Chart)'!$F$2:$F$4</c15:sqref>
                        </c15:formulaRef>
                      </c:ext>
                    </c:extLst>
                    <c:numCache>
                      <c:formatCode>0\ \k\g</c:formatCode>
                      <c:ptCount val="3"/>
                      <c:pt idx="0">
                        <c:v>13450</c:v>
                      </c:pt>
                      <c:pt idx="1">
                        <c:v>7550</c:v>
                      </c:pt>
                      <c:pt idx="2">
                        <c:v>2000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AFA3-42F1-B24C-BFDA3EFD6B4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95911205433611E-2"/>
          <c:y val="7.7482472867835217E-2"/>
          <c:w val="0.87059779857088349"/>
          <c:h val="0.91358097664065452"/>
        </c:manualLayout>
      </c:layout>
      <c:pieChart>
        <c:varyColors val="1"/>
        <c:ser>
          <c:idx val="1"/>
          <c:order val="1"/>
          <c:tx>
            <c:v>Max payload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98-4B5A-9EC0-869E84FB28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98-4B5A-9EC0-869E84FB28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98-4B5A-9EC0-869E84FB28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'2.1bc (Weight Table &amp; Chart)'!$E$2:$E$4</c:f>
              <c:strCache>
                <c:ptCount val="3"/>
                <c:pt idx="0">
                  <c:v>OEW</c:v>
                </c:pt>
                <c:pt idx="1">
                  <c:v>MPW</c:v>
                </c:pt>
                <c:pt idx="2">
                  <c:v>FW</c:v>
                </c:pt>
              </c:strCache>
            </c:strRef>
          </c:cat>
          <c:val>
            <c:numRef>
              <c:f>'2.1bc (Weight Table &amp; Chart)'!$F$2:$F$4</c:f>
              <c:numCache>
                <c:formatCode>0\ \k\g</c:formatCode>
                <c:ptCount val="3"/>
                <c:pt idx="0">
                  <c:v>13450</c:v>
                </c:pt>
                <c:pt idx="1">
                  <c:v>7550</c:v>
                </c:pt>
                <c:pt idx="2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98-4B5A-9EC0-869E84FB2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6498-4B5A-9EC0-869E84FB28A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6498-4B5A-9EC0-869E84FB28A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498-4B5A-9EC0-869E84FB28A6}"/>
                    </c:ext>
                  </c:extLst>
                </c:dPt>
                <c:dLbls>
                  <c:dLbl>
                    <c:idx val="0"/>
                    <c:layout>
                      <c:manualLayout>
                        <c:x val="-0.17849106946849633"/>
                        <c:y val="-9.464042075795532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hu-HU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>
                        <c15:layout>
                          <c:manualLayout>
                            <c:w val="0.23675471106632473"/>
                            <c:h val="0.10128069512022515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8-6498-4B5A-9EC0-869E84FB28A6}"/>
                      </c:ext>
                    </c:extLst>
                  </c:dLbl>
                  <c:dLbl>
                    <c:idx val="1"/>
                    <c:layout>
                      <c:manualLayout>
                        <c:x val="0.16238200347950305"/>
                        <c:y val="1.080235385019273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hu-HU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>
                        <c15:layout>
                          <c:manualLayout>
                            <c:w val="0.23227308087417728"/>
                            <c:h val="0.10128069512022515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A-6498-4B5A-9EC0-869E84FB28A6}"/>
                      </c:ext>
                    </c:extLst>
                  </c:dLbl>
                  <c:dLbl>
                    <c:idx val="2"/>
                    <c:layout>
                      <c:manualLayout>
                        <c:x val="9.1230752857765635E-2"/>
                        <c:y val="0.11957978840760619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C-6498-4B5A-9EC0-869E84FB28A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'2.1bc (Weight Table &amp; Chart)'!$E$2:$E$4</c15:sqref>
                        </c15:formulaRef>
                      </c:ext>
                    </c:extLst>
                    <c:strCache>
                      <c:ptCount val="3"/>
                      <c:pt idx="0">
                        <c:v>OEW</c:v>
                      </c:pt>
                      <c:pt idx="1">
                        <c:v>MPW</c:v>
                      </c:pt>
                      <c:pt idx="2">
                        <c:v>FW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'2.1bc (Weight Table &amp; Chart)'!$F$2:$F$4</c15:sqref>
                        </c15:formulaRef>
                      </c:ext>
                    </c:extLst>
                    <c:numCache>
                      <c:formatCode>0\ \k\g</c:formatCode>
                      <c:ptCount val="3"/>
                      <c:pt idx="0">
                        <c:v>13450</c:v>
                      </c:pt>
                      <c:pt idx="1">
                        <c:v>7550</c:v>
                      </c:pt>
                      <c:pt idx="2">
                        <c:v>2000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6498-4B5A-9EC0-869E84FB28A6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'2.1d (Loading Diagram)'!$G$5</c:f>
              <c:strCache>
                <c:ptCount val="1"/>
                <c:pt idx="0">
                  <c:v>W [kg]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'2.1d (Loading Diagram)'!$H$4:$K$4</c:f>
              <c:numCache>
                <c:formatCode>0.00%</c:formatCode>
                <c:ptCount val="4"/>
                <c:pt idx="0">
                  <c:v>0.24036221557455006</c:v>
                </c:pt>
                <c:pt idx="1">
                  <c:v>-0.10983713871111345</c:v>
                </c:pt>
                <c:pt idx="2">
                  <c:v>0.8520208396672535</c:v>
                </c:pt>
                <c:pt idx="3">
                  <c:v>0.47317101387152977</c:v>
                </c:pt>
              </c:numCache>
            </c:numRef>
          </c:xVal>
          <c:yVal>
            <c:numRef>
              <c:f>'2.1d (Loading Diagram)'!$H$5:$K$5</c:f>
              <c:numCache>
                <c:formatCode>General</c:formatCode>
                <c:ptCount val="4"/>
                <c:pt idx="0">
                  <c:v>13450</c:v>
                </c:pt>
                <c:pt idx="1">
                  <c:v>15337.5</c:v>
                </c:pt>
                <c:pt idx="2">
                  <c:v>15337.5</c:v>
                </c:pt>
                <c:pt idx="3">
                  <c:v>17225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98-4A25-9F49-AAC2A2C68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923719"/>
        <c:axId val="938175495"/>
      </c:scatterChart>
      <c:valAx>
        <c:axId val="543923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75495"/>
        <c:crosses val="autoZero"/>
        <c:crossBetween val="midCat"/>
      </c:valAx>
      <c:valAx>
        <c:axId val="938175495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23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'2.1d (Loading Diagram)'!$H$4:$K$4</c:f>
              <c:numCache>
                <c:formatCode>0.00%</c:formatCode>
                <c:ptCount val="4"/>
                <c:pt idx="0">
                  <c:v>0.24036221557455006</c:v>
                </c:pt>
                <c:pt idx="1">
                  <c:v>-0.10983713871111345</c:v>
                </c:pt>
                <c:pt idx="2">
                  <c:v>0.8520208396672535</c:v>
                </c:pt>
                <c:pt idx="3">
                  <c:v>0.47317101387152977</c:v>
                </c:pt>
              </c:numCache>
            </c:numRef>
          </c:xVal>
          <c:yVal>
            <c:numRef>
              <c:f>'2.1d (Loading Diagram)'!$H$5:$K$5</c:f>
              <c:numCache>
                <c:formatCode>General</c:formatCode>
                <c:ptCount val="4"/>
                <c:pt idx="0">
                  <c:v>13450</c:v>
                </c:pt>
                <c:pt idx="1">
                  <c:v>15337.5</c:v>
                </c:pt>
                <c:pt idx="2">
                  <c:v>15337.5</c:v>
                </c:pt>
                <c:pt idx="3">
                  <c:v>17225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98-452A-A6AA-5B3E77CD1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304968"/>
        <c:axId val="53023751"/>
      </c:scatterChart>
      <c:valAx>
        <c:axId val="1267304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3751"/>
        <c:crosses val="autoZero"/>
        <c:crossBetween val="midCat"/>
      </c:valAx>
      <c:valAx>
        <c:axId val="53023751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04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11</xdr:row>
      <xdr:rowOff>123825</xdr:rowOff>
    </xdr:from>
    <xdr:to>
      <xdr:col>16</xdr:col>
      <xdr:colOff>228644</xdr:colOff>
      <xdr:row>45</xdr:row>
      <xdr:rowOff>95295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41CC14B8-E9D0-5580-5523-992693C4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0225" y="2114550"/>
          <a:ext cx="5638844" cy="6124620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447675</xdr:colOff>
      <xdr:row>51</xdr:row>
      <xdr:rowOff>142875</xdr:rowOff>
    </xdr:from>
    <xdr:to>
      <xdr:col>14</xdr:col>
      <xdr:colOff>314371</xdr:colOff>
      <xdr:row>79</xdr:row>
      <xdr:rowOff>133387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7349A0-07BB-7014-D790-846DF754B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635" y="9469755"/>
          <a:ext cx="5962696" cy="51111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531767</xdr:colOff>
      <xdr:row>37</xdr:row>
      <xdr:rowOff>119199</xdr:rowOff>
    </xdr:from>
    <xdr:to>
      <xdr:col>8</xdr:col>
      <xdr:colOff>1987799</xdr:colOff>
      <xdr:row>56</xdr:row>
      <xdr:rowOff>14722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2A977FE7-4D45-914E-8681-CF1EFCDE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0692" y="6910524"/>
          <a:ext cx="8952207" cy="3334048"/>
        </a:xfrm>
        <a:prstGeom prst="rect">
          <a:avLst/>
        </a:prstGeom>
      </xdr:spPr>
    </xdr:pic>
    <xdr:clientData/>
  </xdr:twoCellAnchor>
  <xdr:twoCellAnchor>
    <xdr:from>
      <xdr:col>9</xdr:col>
      <xdr:colOff>402771</xdr:colOff>
      <xdr:row>0</xdr:row>
      <xdr:rowOff>152400</xdr:rowOff>
    </xdr:from>
    <xdr:to>
      <xdr:col>17</xdr:col>
      <xdr:colOff>17417</xdr:colOff>
      <xdr:row>23</xdr:row>
      <xdr:rowOff>105047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5C591E-FEBB-4C0D-A299-F8FF4B9A6D55}"/>
            </a:ext>
            <a:ext uri="{147F2762-F138-4A5C-976F-8EAC2B608ADB}">
              <a16:predDERef xmlns:a16="http://schemas.microsoft.com/office/drawing/2014/main" pred="{2A977FE7-4D45-914E-8681-CF1EFCDE7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387005</xdr:colOff>
      <xdr:row>25</xdr:row>
      <xdr:rowOff>10885</xdr:rowOff>
    </xdr:from>
    <xdr:to>
      <xdr:col>17</xdr:col>
      <xdr:colOff>1651</xdr:colOff>
      <xdr:row>47</xdr:row>
      <xdr:rowOff>181246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B40FB-A9F6-40BF-80EC-1C2A1B38C20F}"/>
            </a:ext>
            <a:ext uri="{147F2762-F138-4A5C-976F-8EAC2B608ADB}">
              <a16:predDERef xmlns:a16="http://schemas.microsoft.com/office/drawing/2014/main" pred="{2A977FE7-4D45-914E-8681-CF1EFCDE7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409575</xdr:colOff>
      <xdr:row>0</xdr:row>
      <xdr:rowOff>-1457325</xdr:rowOff>
    </xdr:from>
    <xdr:to>
      <xdr:col>1</xdr:col>
      <xdr:colOff>409575</xdr:colOff>
      <xdr:row>0</xdr:row>
      <xdr:rowOff>-1457325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C950993B-3B72-E348-C77F-11757C96A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590550</xdr:colOff>
      <xdr:row>19</xdr:row>
      <xdr:rowOff>161925</xdr:rowOff>
    </xdr:from>
    <xdr:to>
      <xdr:col>11</xdr:col>
      <xdr:colOff>66675</xdr:colOff>
      <xdr:row>39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0B4D51-F152-D439-463B-02469683230D}"/>
            </a:ext>
            <a:ext uri="{147F2762-F138-4A5C-976F-8EAC2B608ADB}">
              <a16:predDERef xmlns:a16="http://schemas.microsoft.com/office/drawing/2014/main" pred="{C950993B-3B72-E348-C77F-11757C96A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228600</xdr:colOff>
      <xdr:row>1</xdr:row>
      <xdr:rowOff>133350</xdr:rowOff>
    </xdr:from>
    <xdr:to>
      <xdr:col>16</xdr:col>
      <xdr:colOff>76200</xdr:colOff>
      <xdr:row>25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30DD6B-CCD3-D3A8-9E7A-52101BAC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0" y="323850"/>
          <a:ext cx="4114800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1136658</xdr:colOff>
      <xdr:row>30</xdr:row>
      <xdr:rowOff>38100</xdr:rowOff>
    </xdr:from>
    <xdr:to>
      <xdr:col>7</xdr:col>
      <xdr:colOff>1331594</xdr:colOff>
      <xdr:row>47</xdr:row>
      <xdr:rowOff>118109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9D5A84-0326-76B7-A96A-0BB6B3F59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0138" y="5524500"/>
          <a:ext cx="3740141" cy="3208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333375</xdr:colOff>
      <xdr:row>0</xdr:row>
      <xdr:rowOff>0</xdr:rowOff>
    </xdr:from>
    <xdr:to>
      <xdr:col>16</xdr:col>
      <xdr:colOff>180975</xdr:colOff>
      <xdr:row>21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24DC6E-98AB-4B4C-8035-C03929443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1375" y="0"/>
          <a:ext cx="4114800" cy="457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11</xdr:row>
      <xdr:rowOff>123825</xdr:rowOff>
    </xdr:from>
    <xdr:to>
      <xdr:col>16</xdr:col>
      <xdr:colOff>228644</xdr:colOff>
      <xdr:row>45</xdr:row>
      <xdr:rowOff>95295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D0FA0E-23DE-4C26-B021-7FAEF9C3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34600" y="2135505"/>
          <a:ext cx="5913164" cy="6189390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447675</xdr:colOff>
      <xdr:row>51</xdr:row>
      <xdr:rowOff>142875</xdr:rowOff>
    </xdr:from>
    <xdr:to>
      <xdr:col>14</xdr:col>
      <xdr:colOff>314371</xdr:colOff>
      <xdr:row>79</xdr:row>
      <xdr:rowOff>133387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2E5F51-5BBA-4330-AFBE-7613FDC15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5835" y="9469755"/>
          <a:ext cx="6267496" cy="51111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48A1A2-9DBD-4216-B15C-C1FA3D340B56}" name="WeightTable" displayName="WeightTable" ref="A1:C5" totalsRowShown="0">
  <autoFilter ref="A1:C5" xr:uid="{7048A1A2-9DBD-4216-B15C-C1FA3D340B56}"/>
  <tableColumns count="3">
    <tableColumn id="1" xr3:uid="{D1230F5F-CDA7-4BCE-A1EE-027FC058F6C2}" name="Weight Component"/>
    <tableColumn id="3" xr3:uid="{37F71540-4583-4E0D-B8AF-A1561B54DDB1}" name="Weight [% MTOW]" dataDxfId="9">
      <calculatedColumnFormula>(C2/$C$5)</calculatedColumnFormula>
    </tableColumn>
    <tableColumn id="2" xr3:uid="{1C86B61F-D513-4172-A5EE-AD4096EFEE8F}" name="Value [kg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DF73F3-D5C9-421B-9FB5-F41F7BFF93C6}" name="ComponentWeightTable" displayName="ComponentWeightTable" ref="A17:I25" totalsRowCount="1">
  <autoFilter ref="A17:I24" xr:uid="{3EDF73F3-D5C9-421B-9FB5-F41F7BFF93C6}"/>
  <sortState xmlns:xlrd2="http://schemas.microsoft.com/office/spreadsheetml/2017/richdata2" ref="A18:I24">
    <sortCondition ref="B17:B24"/>
  </sortState>
  <tableColumns count="9">
    <tableColumn id="1" xr3:uid="{F33CAF4B-3B6B-4891-9242-A699797B8A67}" name="Component"/>
    <tableColumn id="4" xr3:uid="{9D3759CB-7FF2-4F84-B775-1564BDF0E983}" name="Category"/>
    <tableColumn id="2" xr3:uid="{2CDD1F0B-0CCC-4ACD-A9FE-467FD45B2989}" name="Weight [% MTOW]" dataDxfId="8"/>
    <tableColumn id="3" xr3:uid="{A3914342-B9D8-43E6-98CB-443C2478E0C6}" name="Weight [kg]" dataDxfId="7">
      <calculatedColumnFormula>ComponentWeightTable[[#This Row],[Weight '[% MTOW']]]*$C$5</calculatedColumnFormula>
    </tableColumn>
    <tableColumn id="5" xr3:uid="{C8618DD4-4F36-4999-8DFB-B401F74A8FE8}" name="xcg ac [m]"/>
    <tableColumn id="6" xr3:uid="{B4F91F8E-6616-44DB-A9F3-2E879EA3E98F}" name="xcg MAC [m]">
      <calculatedColumnFormula>ComponentWeightTable[[#This Row],[xcg ac '[m']]]-Data!$B$40</calculatedColumnFormula>
    </tableColumn>
    <tableColumn id="7" xr3:uid="{933503F4-7CDB-48AD-B0AA-B5BAF07E6824}" name="xcg MAC [%c]" dataDxfId="6" totalsRowDxfId="5">
      <calculatedColumnFormula>ComponentWeightTable[[#This Row],[xcg MAC '[m']]]/Data!$B$39</calculatedColumnFormula>
    </tableColumn>
    <tableColumn id="8" xr3:uid="{EB9508D1-81C0-4ABD-A615-2E89DAC7383E}" name="has it been verified?"/>
    <tableColumn id="9" xr3:uid="{96F7505E-F796-4636-B226-38EF99B9660E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5942D5B-2D63-49EE-A3EC-26E7D58AC7BD}" name="Table6" displayName="Table6" ref="A27:F29" totalsRowShown="0">
  <autoFilter ref="A27:F29" xr:uid="{45942D5B-2D63-49EE-A3EC-26E7D58AC7BD}"/>
  <tableColumns count="6">
    <tableColumn id="1" xr3:uid="{9141D257-FF34-4534-BF92-2EF2F8224F87}" name="Group"/>
    <tableColumn id="2" xr3:uid="{4602E39B-FA4F-4270-9498-03CDB3DED0A9}" name="Weight [% MTOW]" dataDxfId="4">
      <calculatedColumnFormula>SUMIF(ComponentWeightTable[Category], A12,ComponentWeightTable[Weight '[% MTOW']])</calculatedColumnFormula>
    </tableColumn>
    <tableColumn id="3" xr3:uid="{EDA66D9D-BBB1-4A27-AD87-CD965C6BE064}" name="Weight [kg]" dataDxfId="3">
      <calculatedColumnFormula>SUMIF(ComponentWeightTable[Category], "Wing", ComponentWeightTable[Weight '[kg']])</calculatedColumnFormula>
    </tableColumn>
    <tableColumn id="4" xr3:uid="{569775FE-D42B-4D9C-BBD5-7619AB5E4B51}" name="xcg ac [m]" dataDxfId="2">
      <calculatedColumnFormula array="1">SUM((ComponentWeightTable[Category]=A12) * (ComponentWeightTable[Weight '[kg']] * ComponentWeightTable[xcg ac '[m']]))/SUM((ComponentWeightTable[Category]=A12)*ComponentWeightTable[Weight '[kg']])</calculatedColumnFormula>
    </tableColumn>
    <tableColumn id="5" xr3:uid="{9FEE48C3-BE85-4374-BB2A-A5D426DED914}" name="xcg MAC [m]" dataDxfId="1">
      <calculatedColumnFormula array="1">SUM((ComponentWeightTable[Category]=A12) * (ComponentWeightTable[Weight '[kg']] * ComponentWeightTable[xcg MAC '[m']]))/SUM((ComponentWeightTable[Category]=A12)*ComponentWeightTable[Weight '[kg']])</calculatedColumnFormula>
    </tableColumn>
    <tableColumn id="6" xr3:uid="{3F58174F-9FF0-428C-A2DA-5A4898B9E1E5}" name="xcg MAC [%c]" dataDxfId="0">
      <calculatedColumnFormula>Table6[[#This Row],[xcg MAC '[m']]]/Data!$B$39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8BD9D4-A0D6-4F4D-AF73-CFA2CE44AA81}" name="Table7" displayName="Table7" ref="A11:A13" totalsRowShown="0">
  <autoFilter ref="A11:A13" xr:uid="{878BD9D4-A0D6-4F4D-AF73-CFA2CE44AA81}"/>
  <tableColumns count="1">
    <tableColumn id="1" xr3:uid="{E00650EC-E8D5-4048-BE84-3E09A81B8350}" name="Categori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publication/330199240_Effect_of_Propeller_Installation_on_Performance_Indicators_of_Regional_Turboprop_Aircraft" TargetMode="External"/><Relationship Id="rId2" Type="http://schemas.openxmlformats.org/officeDocument/2006/relationships/hyperlink" Target="https://skybrary.aero/aircraft/at76" TargetMode="External"/><Relationship Id="rId1" Type="http://schemas.openxmlformats.org/officeDocument/2006/relationships/hyperlink" Target="https://www.atr-aircraft.com/wp-content/uploads/2020/07/Factsheets_-_ATR_72-600.pdf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tr-aircraft.com/wp-content/uploads/2022/06/ATR_Fiche72-600-3.pdf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printerSettings" Target="../printerSettings/printerSettings2.bin"/><Relationship Id="rId7" Type="http://schemas.openxmlformats.org/officeDocument/2006/relationships/table" Target="../tables/table3.xml"/><Relationship Id="rId2" Type="http://schemas.openxmlformats.org/officeDocument/2006/relationships/hyperlink" Target="https://www.737ng.co.uk/atr72fcom.pdf" TargetMode="External"/><Relationship Id="rId1" Type="http://schemas.openxmlformats.org/officeDocument/2006/relationships/hyperlink" Target="https://www.fzt.haw-hamburg.de/pers/Scholz/paper/RRDPAE-2008-Presentation_ATR72.pdf" TargetMode="Externa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easa.europa.eu/en/downloads/7725/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publication/330199240_Effect_of_Propeller_Installation_on_Performance_Indicators_of_Regional_Turboprop_Aircraft" TargetMode="External"/><Relationship Id="rId2" Type="http://schemas.openxmlformats.org/officeDocument/2006/relationships/hyperlink" Target="https://skybrary.aero/aircraft/at76" TargetMode="External"/><Relationship Id="rId1" Type="http://schemas.openxmlformats.org/officeDocument/2006/relationships/hyperlink" Target="https://www.atr-aircraft.com/wp-content/uploads/2020/07/Factsheets_-_ATR_72-600.pdf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https://www.atr-aircraft.com/wp-content/uploads/2022/06/ATR_Fiche72-600-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A6B7B-44DB-4668-9CB3-58E92E341AC8}">
  <dimension ref="A1:C62"/>
  <sheetViews>
    <sheetView topLeftCell="A41" zoomScale="85" zoomScaleNormal="85" workbookViewId="0">
      <selection activeCell="D63" sqref="A1:XFD1048576"/>
    </sheetView>
  </sheetViews>
  <sheetFormatPr defaultRowHeight="14.4" x14ac:dyDescent="0.55000000000000004"/>
  <cols>
    <col min="1" max="1" width="60.41796875" customWidth="1"/>
    <col min="2" max="2" width="11" customWidth="1"/>
    <col min="3" max="3" width="32.1015625" bestFit="1" customWidth="1"/>
  </cols>
  <sheetData>
    <row r="1" spans="1:3" x14ac:dyDescent="0.55000000000000004">
      <c r="A1" s="26" t="s">
        <v>0</v>
      </c>
      <c r="B1" s="26"/>
    </row>
    <row r="2" spans="1:3" x14ac:dyDescent="0.55000000000000004">
      <c r="A2" t="s">
        <v>1</v>
      </c>
      <c r="C2" s="2" t="s">
        <v>2</v>
      </c>
    </row>
    <row r="3" spans="1:3" x14ac:dyDescent="0.55000000000000004">
      <c r="A3" t="s">
        <v>3</v>
      </c>
      <c r="B3">
        <v>23000</v>
      </c>
      <c r="C3" s="2" t="s">
        <v>4</v>
      </c>
    </row>
    <row r="4" spans="1:3" x14ac:dyDescent="0.55000000000000004">
      <c r="A4" t="s">
        <v>5</v>
      </c>
      <c r="B4">
        <v>22350</v>
      </c>
    </row>
    <row r="5" spans="1:3" x14ac:dyDescent="0.55000000000000004">
      <c r="A5" t="s">
        <v>6</v>
      </c>
      <c r="B5">
        <v>21000</v>
      </c>
    </row>
    <row r="6" spans="1:3" x14ac:dyDescent="0.55000000000000004">
      <c r="A6" t="s">
        <v>7</v>
      </c>
      <c r="B6">
        <v>7550</v>
      </c>
    </row>
    <row r="7" spans="1:3" x14ac:dyDescent="0.55000000000000004">
      <c r="A7" t="s">
        <v>8</v>
      </c>
      <c r="B7">
        <v>5000</v>
      </c>
    </row>
    <row r="8" spans="1:3" x14ac:dyDescent="0.55000000000000004">
      <c r="A8" t="s">
        <v>9</v>
      </c>
      <c r="B8">
        <v>13450</v>
      </c>
    </row>
    <row r="9" spans="1:3" x14ac:dyDescent="0.55000000000000004">
      <c r="A9" t="s">
        <v>10</v>
      </c>
      <c r="B9">
        <v>72</v>
      </c>
    </row>
    <row r="12" spans="1:3" x14ac:dyDescent="0.55000000000000004">
      <c r="A12" t="s">
        <v>11</v>
      </c>
    </row>
    <row r="13" spans="1:3" x14ac:dyDescent="0.55000000000000004">
      <c r="A13" t="s">
        <v>12</v>
      </c>
      <c r="B13" s="1">
        <v>1279</v>
      </c>
    </row>
    <row r="14" spans="1:3" x14ac:dyDescent="0.55000000000000004">
      <c r="A14" t="s">
        <v>13</v>
      </c>
      <c r="B14">
        <v>915</v>
      </c>
    </row>
    <row r="15" spans="1:3" x14ac:dyDescent="0.55000000000000004">
      <c r="A15" t="s">
        <v>14</v>
      </c>
      <c r="B15">
        <f>113/1.94384</f>
        <v>58.132356572557413</v>
      </c>
    </row>
    <row r="16" spans="1:3" x14ac:dyDescent="0.55000000000000004">
      <c r="A16" t="s">
        <v>15</v>
      </c>
    </row>
    <row r="17" spans="1:2" x14ac:dyDescent="0.55000000000000004">
      <c r="A17" t="s">
        <v>16</v>
      </c>
      <c r="B17" s="1">
        <v>2475</v>
      </c>
    </row>
    <row r="18" spans="1:2" x14ac:dyDescent="0.55000000000000004">
      <c r="A18" t="s">
        <v>17</v>
      </c>
      <c r="B18">
        <v>2500</v>
      </c>
    </row>
    <row r="19" spans="1:2" x14ac:dyDescent="0.55000000000000004">
      <c r="A19" t="s">
        <v>18</v>
      </c>
      <c r="B19">
        <v>2192</v>
      </c>
    </row>
    <row r="20" spans="1:2" x14ac:dyDescent="0.55000000000000004">
      <c r="A20" t="s">
        <v>19</v>
      </c>
      <c r="B20">
        <v>2132</v>
      </c>
    </row>
    <row r="21" spans="1:2" x14ac:dyDescent="0.55000000000000004">
      <c r="A21" t="s">
        <v>20</v>
      </c>
      <c r="B21">
        <v>3.93</v>
      </c>
    </row>
    <row r="22" spans="1:2" x14ac:dyDescent="0.55000000000000004">
      <c r="A22" t="s">
        <v>21</v>
      </c>
      <c r="B22">
        <v>170</v>
      </c>
    </row>
    <row r="23" spans="1:2" x14ac:dyDescent="0.55000000000000004">
      <c r="A23" t="s">
        <v>22</v>
      </c>
      <c r="B23">
        <v>1355</v>
      </c>
    </row>
    <row r="24" spans="1:2" x14ac:dyDescent="0.55000000000000004">
      <c r="A24" t="s">
        <v>23</v>
      </c>
      <c r="B24">
        <v>275</v>
      </c>
    </row>
    <row r="25" spans="1:2" x14ac:dyDescent="0.55000000000000004">
      <c r="A25" t="s">
        <v>24</v>
      </c>
      <c r="B25">
        <v>758</v>
      </c>
    </row>
    <row r="26" spans="1:2" x14ac:dyDescent="0.55000000000000004">
      <c r="A26" t="s">
        <v>25</v>
      </c>
      <c r="B26">
        <v>762</v>
      </c>
    </row>
    <row r="29" spans="1:2" x14ac:dyDescent="0.55000000000000004">
      <c r="A29" t="s">
        <v>26</v>
      </c>
    </row>
    <row r="30" spans="1:2" x14ac:dyDescent="0.55000000000000004">
      <c r="A30" t="s">
        <v>27</v>
      </c>
      <c r="B30">
        <v>27.05</v>
      </c>
    </row>
    <row r="31" spans="1:2" x14ac:dyDescent="0.55000000000000004">
      <c r="A31" t="s">
        <v>28</v>
      </c>
      <c r="B31">
        <v>61</v>
      </c>
    </row>
    <row r="32" spans="1:2" x14ac:dyDescent="0.55000000000000004">
      <c r="A32" t="s">
        <v>29</v>
      </c>
      <c r="B32">
        <v>27.166</v>
      </c>
    </row>
    <row r="33" spans="1:3" x14ac:dyDescent="0.55000000000000004">
      <c r="A33" t="s">
        <v>30</v>
      </c>
      <c r="B33">
        <v>7.65</v>
      </c>
    </row>
    <row r="34" spans="1:3" x14ac:dyDescent="0.55000000000000004">
      <c r="A34" t="s">
        <v>31</v>
      </c>
      <c r="B34">
        <v>10.77</v>
      </c>
    </row>
    <row r="35" spans="1:3" x14ac:dyDescent="0.55000000000000004">
      <c r="A35" t="s">
        <v>32</v>
      </c>
      <c r="B35">
        <v>4.0999999999999996</v>
      </c>
    </row>
    <row r="36" spans="1:3" x14ac:dyDescent="0.55000000000000004">
      <c r="A36" t="s">
        <v>33</v>
      </c>
      <c r="B36">
        <v>8.1</v>
      </c>
      <c r="C36" t="s">
        <v>34</v>
      </c>
    </row>
    <row r="37" spans="1:3" x14ac:dyDescent="0.55000000000000004">
      <c r="A37" t="s">
        <v>35</v>
      </c>
      <c r="B37">
        <v>2.9</v>
      </c>
    </row>
    <row r="38" spans="1:3" x14ac:dyDescent="0.55000000000000004">
      <c r="A38" t="s">
        <v>36</v>
      </c>
      <c r="B38">
        <f>B42/B31</f>
        <v>0.19229508196721312</v>
      </c>
    </row>
    <row r="39" spans="1:3" x14ac:dyDescent="0.55000000000000004">
      <c r="A39" t="s">
        <v>37</v>
      </c>
      <c r="B39">
        <f>2.303</f>
        <v>2.3029999999999999</v>
      </c>
      <c r="C39" t="s">
        <v>38</v>
      </c>
    </row>
    <row r="40" spans="1:3" x14ac:dyDescent="0.55000000000000004">
      <c r="A40" s="23" t="s">
        <v>39</v>
      </c>
      <c r="B40">
        <f>13.604-2.362</f>
        <v>11.241999999999999</v>
      </c>
    </row>
    <row r="41" spans="1:3" x14ac:dyDescent="0.55000000000000004">
      <c r="A41" t="s">
        <v>40</v>
      </c>
      <c r="B41">
        <v>12.48</v>
      </c>
    </row>
    <row r="42" spans="1:3" x14ac:dyDescent="0.55000000000000004">
      <c r="A42" t="s">
        <v>41</v>
      </c>
      <c r="B42">
        <f>11.73</f>
        <v>11.73</v>
      </c>
    </row>
    <row r="43" spans="1:3" x14ac:dyDescent="0.55000000000000004">
      <c r="A43" t="s">
        <v>42</v>
      </c>
      <c r="B43">
        <v>4.46</v>
      </c>
      <c r="C43" t="s">
        <v>43</v>
      </c>
    </row>
    <row r="44" spans="1:3" x14ac:dyDescent="0.55000000000000004">
      <c r="A44" t="s">
        <v>44</v>
      </c>
      <c r="B44">
        <v>2.1</v>
      </c>
    </row>
    <row r="45" spans="1:3" x14ac:dyDescent="0.55000000000000004">
      <c r="A45" t="s">
        <v>45</v>
      </c>
      <c r="B45">
        <v>7.31</v>
      </c>
      <c r="C45" t="s">
        <v>43</v>
      </c>
    </row>
    <row r="46" spans="1:3" x14ac:dyDescent="0.55000000000000004">
      <c r="A46" t="s">
        <v>46</v>
      </c>
      <c r="B46">
        <f>B42/B45</f>
        <v>1.6046511627906979</v>
      </c>
    </row>
    <row r="47" spans="1:3" x14ac:dyDescent="0.55000000000000004">
      <c r="A47" t="s">
        <v>47</v>
      </c>
      <c r="B47" s="22">
        <v>5.3419999999999996</v>
      </c>
      <c r="C47" t="s">
        <v>48</v>
      </c>
    </row>
    <row r="48" spans="1:3" x14ac:dyDescent="0.55000000000000004">
      <c r="A48" t="s">
        <v>49</v>
      </c>
      <c r="B48">
        <v>4.181</v>
      </c>
      <c r="C48" t="s">
        <v>50</v>
      </c>
    </row>
    <row r="49" spans="1:3" x14ac:dyDescent="0.55000000000000004">
      <c r="A49" t="s">
        <v>51</v>
      </c>
      <c r="B49" s="22">
        <f>B41/B47</f>
        <v>2.3362036690378138</v>
      </c>
      <c r="C49" s="2" t="s">
        <v>52</v>
      </c>
    </row>
    <row r="50" spans="1:3" x14ac:dyDescent="0.55000000000000004">
      <c r="A50" t="s">
        <v>53</v>
      </c>
      <c r="B50">
        <f>B41/B48</f>
        <v>2.9849318344893567</v>
      </c>
      <c r="C50" s="2" t="s">
        <v>54</v>
      </c>
    </row>
    <row r="51" spans="1:3" x14ac:dyDescent="0.55000000000000004">
      <c r="A51" t="s">
        <v>55</v>
      </c>
      <c r="B51">
        <v>1</v>
      </c>
      <c r="C51" t="s">
        <v>43</v>
      </c>
    </row>
    <row r="52" spans="1:3" x14ac:dyDescent="0.55000000000000004">
      <c r="A52" t="s">
        <v>56</v>
      </c>
      <c r="B52">
        <v>8.43</v>
      </c>
      <c r="C52" t="s">
        <v>43</v>
      </c>
    </row>
    <row r="53" spans="1:3" x14ac:dyDescent="0.55000000000000004">
      <c r="A53" t="s">
        <v>57</v>
      </c>
      <c r="B53">
        <v>1.75</v>
      </c>
      <c r="C53" t="s">
        <v>43</v>
      </c>
    </row>
    <row r="54" spans="1:3" x14ac:dyDescent="0.55000000000000004">
      <c r="A54" t="s">
        <v>58</v>
      </c>
      <c r="B54">
        <v>12.43</v>
      </c>
      <c r="C54" t="s">
        <v>43</v>
      </c>
    </row>
    <row r="55" spans="1:3" x14ac:dyDescent="0.55000000000000004">
      <c r="A55" t="s">
        <v>59</v>
      </c>
      <c r="B55">
        <v>23.7</v>
      </c>
      <c r="C55" t="s">
        <v>43</v>
      </c>
    </row>
    <row r="56" spans="1:3" x14ac:dyDescent="0.55000000000000004">
      <c r="A56" t="s">
        <v>60</v>
      </c>
      <c r="B56">
        <v>24.8</v>
      </c>
      <c r="C56" t="s">
        <v>43</v>
      </c>
    </row>
    <row r="58" spans="1:3" x14ac:dyDescent="0.55000000000000004">
      <c r="A58" t="s">
        <v>61</v>
      </c>
    </row>
    <row r="59" spans="1:3" x14ac:dyDescent="0.55000000000000004">
      <c r="A59" t="s">
        <v>62</v>
      </c>
      <c r="B59" t="s">
        <v>63</v>
      </c>
    </row>
    <row r="60" spans="1:3" x14ac:dyDescent="0.55000000000000004">
      <c r="A60" t="s">
        <v>64</v>
      </c>
      <c r="B60" t="s">
        <v>65</v>
      </c>
    </row>
    <row r="61" spans="1:3" x14ac:dyDescent="0.55000000000000004">
      <c r="A61" t="s">
        <v>66</v>
      </c>
      <c r="B61" t="s">
        <v>67</v>
      </c>
    </row>
    <row r="62" spans="1:3" x14ac:dyDescent="0.55000000000000004">
      <c r="A62" t="s">
        <v>68</v>
      </c>
      <c r="B62" t="s">
        <v>69</v>
      </c>
    </row>
  </sheetData>
  <mergeCells count="1">
    <mergeCell ref="A1:B1"/>
  </mergeCells>
  <hyperlinks>
    <hyperlink ref="C2" r:id="rId1" xr:uid="{7CC5BA0B-86BC-45B1-8354-F7C67BECA8C4}"/>
    <hyperlink ref="C49" r:id="rId2" xr:uid="{AE6D9174-09B0-4DEA-9717-9E785191B73D}"/>
    <hyperlink ref="C50" r:id="rId3" xr:uid="{297A6367-6500-409E-8C52-60BC00866C31}"/>
    <hyperlink ref="C3" r:id="rId4" xr:uid="{F6AC401F-5991-440A-89C7-479AB1F81F51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73887-CFF9-4FA2-975F-8A0491CEC4DB}">
  <dimension ref="A1:K37"/>
  <sheetViews>
    <sheetView zoomScale="70" zoomScaleNormal="70" workbookViewId="0">
      <selection activeCell="D12" sqref="D12"/>
    </sheetView>
  </sheetViews>
  <sheetFormatPr defaultRowHeight="14.4" x14ac:dyDescent="0.55000000000000004"/>
  <cols>
    <col min="1" max="1" width="20.1015625" bestFit="1" customWidth="1"/>
    <col min="2" max="2" width="22.3125" customWidth="1"/>
    <col min="3" max="3" width="21" customWidth="1"/>
    <col min="4" max="4" width="17.89453125" customWidth="1"/>
    <col min="5" max="5" width="18.89453125" customWidth="1"/>
    <col min="6" max="6" width="16.68359375" customWidth="1"/>
    <col min="7" max="7" width="16.89453125" customWidth="1"/>
    <col min="8" max="8" width="21.1015625" bestFit="1" customWidth="1"/>
    <col min="9" max="9" width="36.5234375" bestFit="1" customWidth="1"/>
  </cols>
  <sheetData>
    <row r="1" spans="1:11" x14ac:dyDescent="0.55000000000000004">
      <c r="A1" t="s">
        <v>70</v>
      </c>
      <c r="B1" t="s">
        <v>71</v>
      </c>
      <c r="C1" t="s">
        <v>72</v>
      </c>
      <c r="E1" s="8" t="s">
        <v>73</v>
      </c>
      <c r="F1" s="9" t="s">
        <v>74</v>
      </c>
      <c r="G1" s="10" t="s">
        <v>75</v>
      </c>
    </row>
    <row r="2" spans="1:11" x14ac:dyDescent="0.55000000000000004">
      <c r="A2" t="str">
        <f>Data!A8</f>
        <v>OEW [kg]</v>
      </c>
      <c r="B2" s="3">
        <f>(C2/$C$5)</f>
        <v>0.58478260869565213</v>
      </c>
      <c r="C2">
        <f>Data!B8</f>
        <v>13450</v>
      </c>
      <c r="E2" s="11" t="s">
        <v>76</v>
      </c>
      <c r="F2" s="19">
        <f>WeightTable[[#This Row],[Value '[kg']]]</f>
        <v>13450</v>
      </c>
      <c r="G2" s="13">
        <f>F2/$C$5</f>
        <v>0.58478260869565213</v>
      </c>
    </row>
    <row r="3" spans="1:11" x14ac:dyDescent="0.55000000000000004">
      <c r="A3" t="str">
        <f>Data!A7</f>
        <v>MFW [kg]</v>
      </c>
      <c r="B3" s="3">
        <f>(C3/$C$5)</f>
        <v>0.21739130434782608</v>
      </c>
      <c r="C3">
        <f>Data!B7</f>
        <v>5000</v>
      </c>
      <c r="E3" s="11" t="s">
        <v>77</v>
      </c>
      <c r="F3" s="19">
        <f>C4</f>
        <v>7550</v>
      </c>
      <c r="G3" s="13">
        <f>F3/$C$5</f>
        <v>0.32826086956521738</v>
      </c>
    </row>
    <row r="4" spans="1:11" ht="14.7" thickBot="1" x14ac:dyDescent="0.6">
      <c r="A4" t="str">
        <f>Data!A6</f>
        <v>MPW [kg]</v>
      </c>
      <c r="B4" s="3">
        <f>(C4/$C$5)</f>
        <v>0.32826086956521738</v>
      </c>
      <c r="C4">
        <f>Data!B6</f>
        <v>7550</v>
      </c>
      <c r="E4" s="12" t="s">
        <v>78</v>
      </c>
      <c r="F4" s="20">
        <f>C5-F3-F2</f>
        <v>2000</v>
      </c>
      <c r="G4" s="14">
        <f>F4/$C$5</f>
        <v>8.6956521739130432E-2</v>
      </c>
    </row>
    <row r="5" spans="1:11" ht="14.7" thickBot="1" x14ac:dyDescent="0.6">
      <c r="A5" t="str">
        <f>Data!A3</f>
        <v>MTOW [kg]</v>
      </c>
      <c r="B5" s="3">
        <f>(C5/$C$5)</f>
        <v>1</v>
      </c>
      <c r="C5">
        <f>Data!B3</f>
        <v>23000</v>
      </c>
    </row>
    <row r="6" spans="1:11" x14ac:dyDescent="0.55000000000000004">
      <c r="E6" s="8" t="s">
        <v>79</v>
      </c>
      <c r="F6" s="9" t="s">
        <v>74</v>
      </c>
      <c r="G6" s="10" t="s">
        <v>75</v>
      </c>
    </row>
    <row r="7" spans="1:11" x14ac:dyDescent="0.55000000000000004">
      <c r="E7" s="11" t="s">
        <v>76</v>
      </c>
      <c r="F7" s="19">
        <f>C2</f>
        <v>13450</v>
      </c>
      <c r="G7" s="13">
        <f>F7/$C$5</f>
        <v>0.58478260869565213</v>
      </c>
    </row>
    <row r="8" spans="1:11" x14ac:dyDescent="0.55000000000000004">
      <c r="E8" s="11" t="s">
        <v>80</v>
      </c>
      <c r="F8" s="19">
        <f>C5-F9-F7</f>
        <v>4550</v>
      </c>
      <c r="G8" s="13">
        <f>F8/$C$5</f>
        <v>0.19782608695652174</v>
      </c>
    </row>
    <row r="9" spans="1:11" ht="14.7" thickBot="1" x14ac:dyDescent="0.6">
      <c r="E9" s="12" t="s">
        <v>81</v>
      </c>
      <c r="F9" s="20">
        <f>C3</f>
        <v>5000</v>
      </c>
      <c r="G9" s="14">
        <f>F9/$C$5</f>
        <v>0.21739130434782608</v>
      </c>
    </row>
    <row r="11" spans="1:11" x14ac:dyDescent="0.55000000000000004">
      <c r="A11" t="s">
        <v>82</v>
      </c>
      <c r="B11" s="2" t="s">
        <v>83</v>
      </c>
    </row>
    <row r="12" spans="1:11" x14ac:dyDescent="0.55000000000000004">
      <c r="A12" t="s">
        <v>84</v>
      </c>
      <c r="B12" s="2" t="s">
        <v>85</v>
      </c>
    </row>
    <row r="13" spans="1:11" x14ac:dyDescent="0.55000000000000004">
      <c r="A13" t="s">
        <v>62</v>
      </c>
      <c r="B13" t="s">
        <v>86</v>
      </c>
    </row>
    <row r="16" spans="1:11" x14ac:dyDescent="0.55000000000000004">
      <c r="K16" s="7"/>
    </row>
    <row r="17" spans="1:10" x14ac:dyDescent="0.55000000000000004">
      <c r="A17" t="s">
        <v>87</v>
      </c>
      <c r="B17" t="s">
        <v>88</v>
      </c>
      <c r="C17" t="s">
        <v>71</v>
      </c>
      <c r="D17" t="s">
        <v>89</v>
      </c>
      <c r="E17" s="6" t="s">
        <v>90</v>
      </c>
      <c r="F17" t="s">
        <v>91</v>
      </c>
      <c r="G17" t="s">
        <v>92</v>
      </c>
      <c r="H17" t="s">
        <v>93</v>
      </c>
      <c r="I17" t="s">
        <v>94</v>
      </c>
    </row>
    <row r="18" spans="1:10" ht="16.5" customHeight="1" x14ac:dyDescent="0.55000000000000004">
      <c r="A18" t="s">
        <v>84</v>
      </c>
      <c r="B18" t="str">
        <f>$A$12</f>
        <v>Fuselage</v>
      </c>
      <c r="C18" s="3">
        <v>0.248</v>
      </c>
      <c r="D18">
        <f>ComponentWeightTable[[#This Row],[Weight '[% MTOW']]]*$C$5</f>
        <v>5704</v>
      </c>
      <c r="E18">
        <f>Data!B32*0.38</f>
        <v>10.323080000000001</v>
      </c>
      <c r="F18">
        <f>ComponentWeightTable[[#This Row],[xcg ac '[m']]]-Data!$B$40</f>
        <v>-0.91891999999999818</v>
      </c>
      <c r="G18" s="3">
        <f>ComponentWeightTable[[#This Row],[xcg MAC '[m']]]/Data!$B$39</f>
        <v>-0.39900998697351203</v>
      </c>
      <c r="H18" t="s">
        <v>95</v>
      </c>
      <c r="I18" s="3" t="s">
        <v>96</v>
      </c>
      <c r="J18" s="4"/>
    </row>
    <row r="19" spans="1:10" x14ac:dyDescent="0.55000000000000004">
      <c r="A19" t="s">
        <v>97</v>
      </c>
      <c r="B19" t="str">
        <f>$A$12</f>
        <v>Fuselage</v>
      </c>
      <c r="C19" s="3">
        <v>0.02</v>
      </c>
      <c r="D19">
        <f>ComponentWeightTable[[#This Row],[Weight '[% MTOW']]]*$C$5</f>
        <v>460</v>
      </c>
      <c r="E19">
        <f>Data!B55+0.4*Data!B50</f>
        <v>24.893972733795742</v>
      </c>
      <c r="F19">
        <f>ComponentWeightTable[[#This Row],[xcg ac '[m']]]-Data!$B$40</f>
        <v>13.651972733795743</v>
      </c>
      <c r="G19" s="3">
        <f>ComponentWeightTable[[#This Row],[xcg MAC '[m']]]/Data!$B$39</f>
        <v>5.9279082647832144</v>
      </c>
      <c r="H19" t="s">
        <v>95</v>
      </c>
      <c r="I19" s="3" t="s">
        <v>98</v>
      </c>
    </row>
    <row r="20" spans="1:10" x14ac:dyDescent="0.55000000000000004">
      <c r="A20" t="s">
        <v>99</v>
      </c>
      <c r="B20" t="str">
        <f>$A$12</f>
        <v>Fuselage</v>
      </c>
      <c r="C20" s="3">
        <v>1.7999999999999999E-2</v>
      </c>
      <c r="D20">
        <f>ComponentWeightTable[[#This Row],[Weight '[% MTOW']]]*$C$5</f>
        <v>413.99999999999994</v>
      </c>
      <c r="E20">
        <f>Data!B56+0.42*Data!B46</f>
        <v>25.473953488372093</v>
      </c>
      <c r="F20">
        <f>ComponentWeightTable[[#This Row],[xcg ac '[m']]]-Data!$B$40</f>
        <v>14.231953488372094</v>
      </c>
      <c r="G20" s="3">
        <f>ComponentWeightTable[[#This Row],[xcg MAC '[m']]]/Data!$B$39</f>
        <v>6.1797453271263976</v>
      </c>
      <c r="H20" t="s">
        <v>95</v>
      </c>
      <c r="I20" s="5" t="s">
        <v>98</v>
      </c>
    </row>
    <row r="21" spans="1:10" x14ac:dyDescent="0.55000000000000004">
      <c r="A21" t="s">
        <v>100</v>
      </c>
      <c r="B21" t="str">
        <f>$A$12</f>
        <v>Fuselage</v>
      </c>
      <c r="C21" s="3">
        <v>5.0000000000000001E-3</v>
      </c>
      <c r="D21">
        <f>ComponentWeightTable[[#This Row],[Weight '[% MTOW']]]*$C$5</f>
        <v>115</v>
      </c>
      <c r="E21">
        <f>Data!B53</f>
        <v>1.75</v>
      </c>
      <c r="F21">
        <f>ComponentWeightTable[[#This Row],[xcg ac '[m']]]-Data!$B$40</f>
        <v>-9.4919999999999991</v>
      </c>
      <c r="G21" s="3">
        <f>ComponentWeightTable[[#This Row],[xcg MAC '[m']]]/Data!$B$39</f>
        <v>-4.1215805471124618</v>
      </c>
      <c r="H21" t="s">
        <v>95</v>
      </c>
      <c r="I21" s="3"/>
    </row>
    <row r="22" spans="1:10" x14ac:dyDescent="0.55000000000000004">
      <c r="A22" t="s">
        <v>62</v>
      </c>
      <c r="B22" t="str">
        <f>$A$13</f>
        <v>Wing</v>
      </c>
      <c r="C22" s="3">
        <v>0.14899999999999999</v>
      </c>
      <c r="D22">
        <f>ComponentWeightTable[[#This Row],[Weight '[% MTOW']]]*$C$5</f>
        <v>3427</v>
      </c>
      <c r="E22">
        <f>Data!B40+0.38*Data!B39</f>
        <v>12.117139999999999</v>
      </c>
      <c r="F22">
        <f>ComponentWeightTable[[#This Row],[xcg ac '[m']]]-Data!$B$40</f>
        <v>0.87514000000000003</v>
      </c>
      <c r="G22" s="3">
        <f>ComponentWeightTable[[#This Row],[xcg MAC '[m']]]/Data!$B$39</f>
        <v>0.38</v>
      </c>
      <c r="H22" t="s">
        <v>95</v>
      </c>
      <c r="I22" t="s">
        <v>101</v>
      </c>
    </row>
    <row r="23" spans="1:10" x14ac:dyDescent="0.55000000000000004">
      <c r="A23" t="s">
        <v>102</v>
      </c>
      <c r="B23" t="str">
        <f>$A$13</f>
        <v>Wing</v>
      </c>
      <c r="C23" s="3">
        <v>0.10299999999999999</v>
      </c>
      <c r="D23">
        <f>ComponentWeightTable[[#This Row],[Weight '[% MTOW']]]*$C$5</f>
        <v>2369</v>
      </c>
      <c r="E23">
        <f>Data!B52+0.4*Data!B43</f>
        <v>10.214</v>
      </c>
      <c r="F23">
        <f>ComponentWeightTable[[#This Row],[xcg ac '[m']]]-Data!$B$40</f>
        <v>-1.0279999999999987</v>
      </c>
      <c r="G23" s="3">
        <f>ComponentWeightTable[[#This Row],[xcg MAC '[m']]]/Data!$B$39</f>
        <v>-0.44637429439860993</v>
      </c>
      <c r="H23" t="s">
        <v>95</v>
      </c>
      <c r="I23" t="s">
        <v>103</v>
      </c>
    </row>
    <row r="24" spans="1:10" x14ac:dyDescent="0.55000000000000004">
      <c r="A24" t="s">
        <v>104</v>
      </c>
      <c r="B24" t="str">
        <f>$A$13</f>
        <v>Wing</v>
      </c>
      <c r="C24" s="3">
        <v>3.5000000000000003E-2</v>
      </c>
      <c r="D24">
        <f>ComponentWeightTable[[#This Row],[Weight '[% MTOW']]]*$C$5</f>
        <v>805.00000000000011</v>
      </c>
      <c r="E24">
        <f>Data!B54</f>
        <v>12.43</v>
      </c>
      <c r="F24">
        <f>ComponentWeightTable[[#This Row],[xcg ac '[m']]]-Data!$B$40</f>
        <v>1.1880000000000006</v>
      </c>
      <c r="G24" s="3">
        <f>ComponentWeightTable[[#This Row],[xcg MAC '[m']]]/Data!$B$39</f>
        <v>0.51584889274858903</v>
      </c>
      <c r="H24" t="s">
        <v>95</v>
      </c>
    </row>
    <row r="25" spans="1:10" x14ac:dyDescent="0.55000000000000004">
      <c r="G25" s="3"/>
    </row>
    <row r="27" spans="1:10" x14ac:dyDescent="0.55000000000000004">
      <c r="A27" t="s">
        <v>105</v>
      </c>
      <c r="B27" t="s">
        <v>71</v>
      </c>
      <c r="C27" t="s">
        <v>89</v>
      </c>
      <c r="D27" t="s">
        <v>90</v>
      </c>
      <c r="E27" t="s">
        <v>91</v>
      </c>
      <c r="F27" s="4" t="s">
        <v>92</v>
      </c>
    </row>
    <row r="28" spans="1:10" ht="16.5" customHeight="1" x14ac:dyDescent="0.55000000000000004">
      <c r="A28" t="s">
        <v>106</v>
      </c>
      <c r="B28" s="5">
        <f>SUMIF(ComponentWeightTable[Category], A12,ComponentWeightTable[Weight '[% MTOW']])</f>
        <v>0.29100000000000004</v>
      </c>
      <c r="C28" s="4">
        <f>SUMIF(ComponentWeightTable[Category], "Fuselage", ComponentWeightTable[Weight '[kg']])</f>
        <v>6693</v>
      </c>
      <c r="D28" s="4" cm="1">
        <f t="array" ref="D28">SUM((ComponentWeightTable[Category]=A12) * (ComponentWeightTable[Weight '[kg']] * ComponentWeightTable[xcg ac '[m']]))/SUM((ComponentWeightTable[Category]=A12)*ComponentWeightTable[Weight '[kg']])</f>
        <v>12.114379578923069</v>
      </c>
      <c r="E28" cm="1">
        <f t="array" ref="E28">SUM((ComponentWeightTable[Category]=A12) * (ComponentWeightTable[Weight '[kg']] * ComponentWeightTable[xcg MAC '[m']]))/SUM((ComponentWeightTable[Category]=A12)*ComponentWeightTable[Weight '[kg']])</f>
        <v>0.87237957892306872</v>
      </c>
      <c r="F28" s="3">
        <f>Table6[[#This Row],[xcg MAC '[m']]]/Data!$B$39</f>
        <v>0.37880138034002114</v>
      </c>
      <c r="I28" s="4"/>
    </row>
    <row r="29" spans="1:10" x14ac:dyDescent="0.55000000000000004">
      <c r="A29" t="s">
        <v>107</v>
      </c>
      <c r="B29" s="5">
        <f>SUMIF(ComponentWeightTable[Category], A13,ComponentWeightTable[Weight '[% MTOW']])</f>
        <v>0.28700000000000003</v>
      </c>
      <c r="C29" s="4">
        <f>SUMIF(ComponentWeightTable[Category], A13, ComponentWeightTable[Weight '[kg']])</f>
        <v>6601</v>
      </c>
      <c r="D29" cm="1">
        <f t="array" ref="D29">SUM((ComponentWeightTable[Category]=A13) * (ComponentWeightTable[Weight '[kg']] * ComponentWeightTable[xcg ac '[m']]))/SUM((ComponentWeightTable[Category]=A13)*ComponentWeightTable[Weight '[kg']])</f>
        <v>11.472285226480837</v>
      </c>
      <c r="E29" cm="1">
        <f t="array" ref="E29">SUM((ComponentWeightTable[Category]=A13) * (ComponentWeightTable[Weight '[kg']] * ComponentWeightTable[xcg MAC '[m']]))/SUM((ComponentWeightTable[Category]=A13)*ComponentWeightTable[Weight '[kg']])</f>
        <v>0.23028522648083685</v>
      </c>
      <c r="F29" s="3">
        <f>Table6[[#This Row],[xcg MAC '[m']]]/Data!$B$39</f>
        <v>9.9993585098062027E-2</v>
      </c>
      <c r="I29" s="3"/>
    </row>
    <row r="30" spans="1:10" x14ac:dyDescent="0.55000000000000004">
      <c r="A30" t="s">
        <v>76</v>
      </c>
      <c r="B30" s="3">
        <f>B2</f>
        <v>0.58478260869565213</v>
      </c>
      <c r="C30" s="4">
        <f>C2</f>
        <v>13450</v>
      </c>
      <c r="D30">
        <f>E30+Data!B40</f>
        <v>11.795554182468187</v>
      </c>
      <c r="E30">
        <f>F30*Data!B39</f>
        <v>0.55355418246818877</v>
      </c>
      <c r="F30" s="3" cm="1">
        <f t="array" ref="F30">SUMPRODUCT(ComponentWeightTable[Weight '[kg']]*ComponentWeightTable[xcg MAC '[%c']])/SUM(ComponentWeightTable[Weight '[kg']])</f>
        <v>0.24036221557455006</v>
      </c>
      <c r="I30" s="3"/>
    </row>
    <row r="31" spans="1:10" x14ac:dyDescent="0.55000000000000004">
      <c r="I31" s="3"/>
    </row>
    <row r="33" spans="5:9" x14ac:dyDescent="0.55000000000000004">
      <c r="E33" t="s">
        <v>108</v>
      </c>
      <c r="F33" s="4"/>
    </row>
    <row r="36" spans="5:9" x14ac:dyDescent="0.55000000000000004">
      <c r="F36" s="4"/>
      <c r="I36" s="4"/>
    </row>
    <row r="37" spans="5:9" x14ac:dyDescent="0.55000000000000004">
      <c r="F37" s="4"/>
      <c r="I37" s="4"/>
    </row>
  </sheetData>
  <hyperlinks>
    <hyperlink ref="B11" r:id="rId1" xr:uid="{61345F2F-F98A-4873-995F-FC9D5AF2D5B1}"/>
    <hyperlink ref="B12" r:id="rId2" xr:uid="{8B001B3B-C219-499E-8243-709EBEF67C0B}"/>
  </hyperlinks>
  <pageMargins left="0.7" right="0.7" top="0.75" bottom="0.75" header="0.3" footer="0.3"/>
  <pageSetup paperSize="9" scale="95" orientation="portrait" r:id="rId3"/>
  <drawing r:id="rId4"/>
  <tableParts count="4"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A8A1-399D-4850-A2CB-3431B825F948}">
  <dimension ref="A1:K11"/>
  <sheetViews>
    <sheetView zoomScale="63" workbookViewId="0">
      <selection activeCell="H14" sqref="H14"/>
    </sheetView>
  </sheetViews>
  <sheetFormatPr defaultRowHeight="14.4" x14ac:dyDescent="0.55000000000000004"/>
  <cols>
    <col min="1" max="1" width="9.89453125" bestFit="1" customWidth="1"/>
    <col min="2" max="2" width="14.41796875" customWidth="1"/>
    <col min="3" max="3" width="15.68359375" customWidth="1"/>
    <col min="7" max="7" width="20.41796875" customWidth="1"/>
    <col min="8" max="8" width="13.89453125" bestFit="1" customWidth="1"/>
    <col min="11" max="11" width="14.68359375" customWidth="1"/>
    <col min="12" max="12" width="13.89453125" bestFit="1" customWidth="1"/>
    <col min="13" max="13" width="12.1015625" bestFit="1" customWidth="1"/>
    <col min="14" max="14" width="11.89453125" bestFit="1" customWidth="1"/>
    <col min="15" max="15" width="11.68359375" bestFit="1" customWidth="1"/>
  </cols>
  <sheetData>
    <row r="1" spans="1:11" x14ac:dyDescent="0.55000000000000004">
      <c r="B1" t="s">
        <v>109</v>
      </c>
      <c r="H1" t="s">
        <v>110</v>
      </c>
    </row>
    <row r="2" spans="1:11" x14ac:dyDescent="0.55000000000000004">
      <c r="B2" s="3" t="s">
        <v>111</v>
      </c>
      <c r="C2" t="s">
        <v>112</v>
      </c>
      <c r="D2" t="s">
        <v>113</v>
      </c>
    </row>
    <row r="3" spans="1:11" x14ac:dyDescent="0.55000000000000004">
      <c r="A3" t="s">
        <v>76</v>
      </c>
      <c r="B3">
        <f>'2.1bc (Weight Table &amp; Chart)'!C30</f>
        <v>13450</v>
      </c>
      <c r="C3">
        <f>D3*Data!B39</f>
        <v>0.55355418246818877</v>
      </c>
      <c r="D3" s="3">
        <f>'2.1bc (Weight Table &amp; Chart)'!F30</f>
        <v>0.24036221557455006</v>
      </c>
      <c r="H3" t="s">
        <v>76</v>
      </c>
      <c r="I3" t="s">
        <v>114</v>
      </c>
      <c r="J3" t="s">
        <v>115</v>
      </c>
      <c r="K3" t="s">
        <v>116</v>
      </c>
    </row>
    <row r="4" spans="1:11" x14ac:dyDescent="0.55000000000000004">
      <c r="A4" s="6" t="s">
        <v>117</v>
      </c>
      <c r="B4">
        <f>Data!B6/4</f>
        <v>1887.5</v>
      </c>
      <c r="C4">
        <v>-6</v>
      </c>
      <c r="D4" s="3">
        <f>C4/Data!$B$39</f>
        <v>-2.605297438124186</v>
      </c>
      <c r="G4" t="s">
        <v>113</v>
      </c>
      <c r="H4" s="3">
        <f>D3</f>
        <v>0.24036221557455006</v>
      </c>
      <c r="I4" s="3">
        <f>(D4*B4+D3*B3)/I5</f>
        <v>-0.10983713871111345</v>
      </c>
      <c r="J4" s="3">
        <f>(D5*B5+D3*B3)/J5</f>
        <v>0.8520208396672535</v>
      </c>
      <c r="K4" s="3">
        <f>(D3*B3+D4*B4+D5*B5)/K5</f>
        <v>0.47317101387152977</v>
      </c>
    </row>
    <row r="5" spans="1:11" x14ac:dyDescent="0.55000000000000004">
      <c r="A5" s="6" t="s">
        <v>118</v>
      </c>
      <c r="B5">
        <f>Data!B6/4</f>
        <v>1887.5</v>
      </c>
      <c r="C5">
        <v>12</v>
      </c>
      <c r="D5" s="3">
        <f>C5/Data!$B$39</f>
        <v>5.210594876248372</v>
      </c>
      <c r="G5" t="s">
        <v>111</v>
      </c>
      <c r="H5">
        <f>B3</f>
        <v>13450</v>
      </c>
      <c r="I5">
        <f>SUM(B3:B4)</f>
        <v>15337.5</v>
      </c>
      <c r="J5">
        <f>B5+B3</f>
        <v>15337.5</v>
      </c>
      <c r="K5">
        <f>B5+B4+B3</f>
        <v>17225</v>
      </c>
    </row>
    <row r="6" spans="1:11" x14ac:dyDescent="0.55000000000000004">
      <c r="A6" s="6" t="s">
        <v>119</v>
      </c>
      <c r="C6">
        <v>-6</v>
      </c>
      <c r="D6" s="3">
        <f>C6/Data!$B$39</f>
        <v>-2.605297438124186</v>
      </c>
      <c r="I6" s="3"/>
    </row>
    <row r="7" spans="1:11" x14ac:dyDescent="0.55000000000000004">
      <c r="A7" s="6" t="s">
        <v>120</v>
      </c>
      <c r="C7">
        <v>10</v>
      </c>
      <c r="D7" s="3">
        <f>C7/Data!$B$39</f>
        <v>4.3421623968736434</v>
      </c>
    </row>
    <row r="11" spans="1:11" x14ac:dyDescent="0.55000000000000004">
      <c r="B11" t="s">
        <v>121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E86FC-20E3-4EEC-9694-592CD1C39445}">
  <dimension ref="A1:I37"/>
  <sheetViews>
    <sheetView tabSelected="1" topLeftCell="A2" zoomScale="71" zoomScaleNormal="100" workbookViewId="0">
      <selection activeCell="G14" sqref="G14"/>
    </sheetView>
  </sheetViews>
  <sheetFormatPr defaultRowHeight="14.4" x14ac:dyDescent="0.55000000000000004"/>
  <cols>
    <col min="1" max="1" width="18.89453125" bestFit="1" customWidth="1"/>
    <col min="2" max="2" width="27.1015625" bestFit="1" customWidth="1"/>
    <col min="3" max="3" width="52.41796875" bestFit="1" customWidth="1"/>
    <col min="4" max="4" width="23.3125" bestFit="1" customWidth="1"/>
    <col min="6" max="6" width="11.3125" bestFit="1" customWidth="1"/>
    <col min="8" max="8" width="64.1015625" bestFit="1" customWidth="1"/>
    <col min="9" max="9" width="28.41796875" customWidth="1"/>
  </cols>
  <sheetData>
    <row r="1" spans="1:9" x14ac:dyDescent="0.55000000000000004">
      <c r="A1" t="s">
        <v>122</v>
      </c>
      <c r="B1" s="6" t="s">
        <v>123</v>
      </c>
      <c r="D1" s="17" t="s">
        <v>124</v>
      </c>
    </row>
    <row r="2" spans="1:9" x14ac:dyDescent="0.55000000000000004">
      <c r="B2" t="s">
        <v>125</v>
      </c>
    </row>
    <row r="5" spans="1:9" x14ac:dyDescent="0.55000000000000004">
      <c r="A5" t="s">
        <v>126</v>
      </c>
    </row>
    <row r="6" spans="1:9" x14ac:dyDescent="0.55000000000000004">
      <c r="A6" t="str">
        <f>Data!A42</f>
        <v>S_h [m^2]</v>
      </c>
      <c r="B6">
        <f>Data!B42</f>
        <v>11.73</v>
      </c>
      <c r="C6" t="s">
        <v>127</v>
      </c>
      <c r="F6" s="17" t="s">
        <v>128</v>
      </c>
      <c r="G6">
        <f>(G24/G25)*((B35/(B35^2+B37^2))*(0.4876/SQRT(B35^2+0.6319+B37^2))+(1+(B35^2/(B35^2+0.7915+5.0734*B37^2))^(0.3113))*(1-SQRT((B37^2)/(1+B37^2))))*G8/(PI()*B11)</f>
        <v>0.26436213069825037</v>
      </c>
      <c r="H6" t="s">
        <v>129</v>
      </c>
      <c r="I6" t="s">
        <v>130</v>
      </c>
    </row>
    <row r="7" spans="1:9" x14ac:dyDescent="0.55000000000000004">
      <c r="A7" t="s">
        <v>131</v>
      </c>
      <c r="B7">
        <f>Data!B45</f>
        <v>7.31</v>
      </c>
      <c r="C7" t="s">
        <v>132</v>
      </c>
      <c r="F7" s="17" t="s">
        <v>133</v>
      </c>
      <c r="G7">
        <f>G8*(1+2.15*B17/B10)*B15/B9 + (PI()*B17^2)/(2*B9)</f>
        <v>6.1843857703999996</v>
      </c>
      <c r="H7" t="s">
        <v>134</v>
      </c>
    </row>
    <row r="8" spans="1:9" x14ac:dyDescent="0.55000000000000004">
      <c r="A8" t="s">
        <v>135</v>
      </c>
      <c r="B8">
        <f>B7^2/B6</f>
        <v>4.5555072463768109</v>
      </c>
      <c r="F8" t="s">
        <v>136</v>
      </c>
      <c r="G8">
        <f>(2*PI()*B11)/(2+SQRT(4+((B11*G22/G21)^2)*(1+(TAN(B27)^2)/G22^2)))</f>
        <v>5.5702122000691014</v>
      </c>
      <c r="H8" t="s">
        <v>137</v>
      </c>
    </row>
    <row r="9" spans="1:9" x14ac:dyDescent="0.55000000000000004">
      <c r="A9" t="s">
        <v>138</v>
      </c>
      <c r="B9">
        <f>Data!B31</f>
        <v>61</v>
      </c>
      <c r="C9" t="s">
        <v>127</v>
      </c>
      <c r="F9" s="18" t="s">
        <v>139</v>
      </c>
      <c r="G9">
        <f>(2*PI()*B8)/(2+SQRT(4+((B8*G22/G21)^2)*(1+(TAN(B29)^2)/G22^2)))</f>
        <v>4.2013357142849843</v>
      </c>
      <c r="H9" t="s">
        <v>137</v>
      </c>
    </row>
    <row r="10" spans="1:9" x14ac:dyDescent="0.55000000000000004">
      <c r="A10" t="s">
        <v>140</v>
      </c>
      <c r="B10">
        <f>Data!B30</f>
        <v>27.05</v>
      </c>
      <c r="C10" t="s">
        <v>132</v>
      </c>
      <c r="F10" s="17" t="s">
        <v>141</v>
      </c>
      <c r="G10">
        <v>1</v>
      </c>
      <c r="H10" t="s">
        <v>142</v>
      </c>
    </row>
    <row r="11" spans="1:9" x14ac:dyDescent="0.55000000000000004">
      <c r="A11" t="s">
        <v>143</v>
      </c>
      <c r="B11">
        <f>B10^2/B9</f>
        <v>11.995122950819672</v>
      </c>
    </row>
    <row r="12" spans="1:9" x14ac:dyDescent="0.55000000000000004">
      <c r="A12" t="str">
        <f>Data!A39</f>
        <v>c_mac</v>
      </c>
      <c r="B12" s="17">
        <f>Data!B39</f>
        <v>2.3029999999999999</v>
      </c>
      <c r="C12" t="s">
        <v>132</v>
      </c>
    </row>
    <row r="13" spans="1:9" x14ac:dyDescent="0.55000000000000004">
      <c r="A13" t="s">
        <v>144</v>
      </c>
      <c r="B13">
        <f>B9/B10</f>
        <v>2.2550831792975972</v>
      </c>
      <c r="C13" t="s">
        <v>132</v>
      </c>
      <c r="F13" s="17" t="s">
        <v>145</v>
      </c>
      <c r="G13">
        <f>G14+G15</f>
        <v>5.2569878564295042E-2</v>
      </c>
      <c r="H13" t="s">
        <v>146</v>
      </c>
    </row>
    <row r="14" spans="1:9" x14ac:dyDescent="0.55000000000000004">
      <c r="F14" t="s">
        <v>147</v>
      </c>
      <c r="G14">
        <f>G17+G18+G19</f>
        <v>7.6510917324042971E-2</v>
      </c>
      <c r="H14" t="s">
        <v>148</v>
      </c>
    </row>
    <row r="15" spans="1:9" x14ac:dyDescent="0.55000000000000004">
      <c r="A15" s="21" t="s">
        <v>149</v>
      </c>
      <c r="B15">
        <f>61-B24*B17</f>
        <v>53.112000000000002</v>
      </c>
      <c r="C15" t="s">
        <v>150</v>
      </c>
      <c r="F15" t="s">
        <v>151</v>
      </c>
      <c r="G15">
        <f>2*B31*((B32^2*B33)/(B9*B12*G7))</f>
        <v>-2.3941038759747929E-2</v>
      </c>
      <c r="H15" t="s">
        <v>152</v>
      </c>
    </row>
    <row r="17" spans="1:8" x14ac:dyDescent="0.55000000000000004">
      <c r="A17" t="s">
        <v>153</v>
      </c>
      <c r="B17">
        <f>Data!B37</f>
        <v>2.9</v>
      </c>
      <c r="C17" t="s">
        <v>132</v>
      </c>
      <c r="F17" s="21" t="s">
        <v>154</v>
      </c>
      <c r="G17">
        <v>0.25</v>
      </c>
      <c r="H17" t="s">
        <v>155</v>
      </c>
    </row>
    <row r="18" spans="1:8" x14ac:dyDescent="0.55000000000000004">
      <c r="A18" t="s">
        <v>156</v>
      </c>
      <c r="B18">
        <v>2.625</v>
      </c>
      <c r="C18" t="s">
        <v>157</v>
      </c>
      <c r="F18" t="s">
        <v>158</v>
      </c>
      <c r="G18">
        <f>-((B17*B18*B20)/(B9*B12))*(1.8/G7)</f>
        <v>-0.17348908267595703</v>
      </c>
      <c r="H18" t="s">
        <v>159</v>
      </c>
    </row>
    <row r="19" spans="1:8" x14ac:dyDescent="0.55000000000000004">
      <c r="A19" t="s">
        <v>160</v>
      </c>
      <c r="B19">
        <f>Data!B32</f>
        <v>27.166</v>
      </c>
      <c r="C19" t="s">
        <v>132</v>
      </c>
      <c r="F19" t="s">
        <v>161</v>
      </c>
      <c r="G19">
        <f>(0.273/(1+B25)) * ((B17*B13*(B10-B17))/(B12^(2)*(B10+2.15+B17)))*TAN(B26)</f>
        <v>0</v>
      </c>
      <c r="H19" t="s">
        <v>159</v>
      </c>
    </row>
    <row r="20" spans="1:8" x14ac:dyDescent="0.55000000000000004">
      <c r="A20" t="s">
        <v>162</v>
      </c>
      <c r="B20">
        <v>11</v>
      </c>
      <c r="C20" t="s">
        <v>157</v>
      </c>
    </row>
    <row r="21" spans="1:8" x14ac:dyDescent="0.55000000000000004">
      <c r="A21" s="21" t="s">
        <v>163</v>
      </c>
      <c r="B21" s="17">
        <v>13.38</v>
      </c>
      <c r="C21" t="s">
        <v>164</v>
      </c>
      <c r="F21" s="21" t="s">
        <v>165</v>
      </c>
      <c r="G21">
        <v>0.95</v>
      </c>
      <c r="H21" t="s">
        <v>166</v>
      </c>
    </row>
    <row r="22" spans="1:8" x14ac:dyDescent="0.55000000000000004">
      <c r="F22" s="21" t="s">
        <v>167</v>
      </c>
      <c r="G22">
        <f>SQRT(1-0.4428^2)</f>
        <v>0.89662041020712879</v>
      </c>
      <c r="H22" t="s">
        <v>168</v>
      </c>
    </row>
    <row r="23" spans="1:8" x14ac:dyDescent="0.55000000000000004">
      <c r="A23" t="s">
        <v>169</v>
      </c>
      <c r="B23">
        <v>1.59</v>
      </c>
      <c r="C23" t="s">
        <v>170</v>
      </c>
    </row>
    <row r="24" spans="1:8" x14ac:dyDescent="0.55000000000000004">
      <c r="A24" t="s">
        <v>171</v>
      </c>
      <c r="B24">
        <v>2.72</v>
      </c>
      <c r="C24" t="s">
        <v>157</v>
      </c>
      <c r="F24" t="s">
        <v>172</v>
      </c>
      <c r="G24">
        <f>(0.1124+0.1265*B26+0.1766*B26^2)/B35^2 + 0.1024/B35 + 2</f>
        <v>2.218359089878251</v>
      </c>
      <c r="H24" t="s">
        <v>173</v>
      </c>
    </row>
    <row r="25" spans="1:8" x14ac:dyDescent="0.55000000000000004">
      <c r="A25" t="s">
        <v>174</v>
      </c>
      <c r="B25">
        <f>B23/B24</f>
        <v>0.5845588235294118</v>
      </c>
      <c r="F25" t="s">
        <v>175</v>
      </c>
      <c r="G25">
        <f>0.1124/B35^2 + 0.1024/B35 + 2</f>
        <v>2.218359089878251</v>
      </c>
      <c r="H25" t="s">
        <v>173</v>
      </c>
    </row>
    <row r="26" spans="1:8" x14ac:dyDescent="0.55000000000000004">
      <c r="A26" s="21" t="s">
        <v>176</v>
      </c>
      <c r="B26">
        <v>0</v>
      </c>
      <c r="C26" t="s">
        <v>177</v>
      </c>
    </row>
    <row r="27" spans="1:8" x14ac:dyDescent="0.55000000000000004">
      <c r="A27" s="21" t="s">
        <v>178</v>
      </c>
      <c r="B27">
        <v>7.0000000000000007E-2</v>
      </c>
      <c r="C27" t="s">
        <v>177</v>
      </c>
    </row>
    <row r="28" spans="1:8" x14ac:dyDescent="0.55000000000000004">
      <c r="A28" s="21"/>
    </row>
    <row r="29" spans="1:8" x14ac:dyDescent="0.55000000000000004">
      <c r="A29" s="21" t="s">
        <v>179</v>
      </c>
      <c r="B29">
        <v>0.17</v>
      </c>
      <c r="C29" t="s">
        <v>177</v>
      </c>
    </row>
    <row r="31" spans="1:8" x14ac:dyDescent="0.55000000000000004">
      <c r="A31" t="s">
        <v>180</v>
      </c>
      <c r="B31">
        <v>-4</v>
      </c>
      <c r="C31" t="s">
        <v>181</v>
      </c>
    </row>
    <row r="32" spans="1:8" x14ac:dyDescent="0.55000000000000004">
      <c r="A32" t="s">
        <v>182</v>
      </c>
      <c r="B32">
        <v>1</v>
      </c>
      <c r="C32" s="24" t="s">
        <v>183</v>
      </c>
      <c r="D32" s="2" t="s">
        <v>184</v>
      </c>
    </row>
    <row r="33" spans="1:3" x14ac:dyDescent="0.55000000000000004">
      <c r="A33" t="s">
        <v>185</v>
      </c>
      <c r="B33">
        <v>2.6</v>
      </c>
    </row>
    <row r="35" spans="1:3" x14ac:dyDescent="0.55000000000000004">
      <c r="A35" t="s">
        <v>186</v>
      </c>
      <c r="B35">
        <f>2*B21/B10</f>
        <v>0.98927911275415903</v>
      </c>
    </row>
    <row r="36" spans="1:3" x14ac:dyDescent="0.55000000000000004">
      <c r="A36" s="21" t="s">
        <v>187</v>
      </c>
      <c r="B36">
        <v>2.9</v>
      </c>
      <c r="C36" s="24" t="s">
        <v>188</v>
      </c>
    </row>
    <row r="37" spans="1:3" x14ac:dyDescent="0.55000000000000004">
      <c r="A37" t="s">
        <v>189</v>
      </c>
      <c r="B37">
        <f>B36*2/B10</f>
        <v>0.2144177449168207</v>
      </c>
    </row>
  </sheetData>
  <hyperlinks>
    <hyperlink ref="D32" r:id="rId1" xr:uid="{AD6E8CC5-1868-49F1-A72F-F06EC3E27599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BB0F-BA59-4E4D-9027-25AF091FCE64}">
  <dimension ref="A1:H34"/>
  <sheetViews>
    <sheetView workbookViewId="0">
      <selection activeCell="G7" sqref="G7"/>
    </sheetView>
  </sheetViews>
  <sheetFormatPr defaultRowHeight="14.4" x14ac:dyDescent="0.55000000000000004"/>
  <cols>
    <col min="1" max="1" width="18.89453125" bestFit="1" customWidth="1"/>
    <col min="2" max="2" width="27.41796875" bestFit="1" customWidth="1"/>
    <col min="3" max="3" width="4.68359375" bestFit="1" customWidth="1"/>
    <col min="4" max="4" width="23.3125" bestFit="1" customWidth="1"/>
    <col min="5" max="5" width="17" customWidth="1"/>
    <col min="6" max="6" width="17.41796875" bestFit="1" customWidth="1"/>
    <col min="7" max="7" width="12.68359375" bestFit="1" customWidth="1"/>
    <col min="8" max="8" width="90" bestFit="1" customWidth="1"/>
  </cols>
  <sheetData>
    <row r="1" spans="1:8" x14ac:dyDescent="0.55000000000000004">
      <c r="A1" t="s">
        <v>122</v>
      </c>
      <c r="B1" s="6" t="s">
        <v>123</v>
      </c>
      <c r="D1" s="17" t="s">
        <v>124</v>
      </c>
    </row>
    <row r="2" spans="1:8" x14ac:dyDescent="0.55000000000000004">
      <c r="B2" t="s">
        <v>125</v>
      </c>
    </row>
    <row r="5" spans="1:8" x14ac:dyDescent="0.55000000000000004">
      <c r="A5" t="s">
        <v>126</v>
      </c>
      <c r="B5" s="16" t="s">
        <v>190</v>
      </c>
    </row>
    <row r="6" spans="1:8" x14ac:dyDescent="0.55000000000000004">
      <c r="A6" t="str">
        <f>Data!A42</f>
        <v>S_h [m^2]</v>
      </c>
      <c r="B6">
        <f>Data!B42</f>
        <v>11.73</v>
      </c>
      <c r="C6" t="s">
        <v>127</v>
      </c>
      <c r="F6" s="25" t="s">
        <v>191</v>
      </c>
      <c r="G6">
        <v>-0.8</v>
      </c>
      <c r="H6" t="s">
        <v>192</v>
      </c>
    </row>
    <row r="7" spans="1:8" x14ac:dyDescent="0.55000000000000004">
      <c r="A7" t="s">
        <v>131</v>
      </c>
      <c r="B7">
        <f>Data!B45</f>
        <v>7.31</v>
      </c>
      <c r="C7" t="s">
        <v>132</v>
      </c>
      <c r="F7" s="17" t="s">
        <v>193</v>
      </c>
      <c r="G7">
        <f>G12+G15+G22</f>
        <v>-0.87325100552602541</v>
      </c>
      <c r="H7" s="4" t="s">
        <v>194</v>
      </c>
    </row>
    <row r="8" spans="1:8" x14ac:dyDescent="0.55000000000000004">
      <c r="A8" t="s">
        <v>135</v>
      </c>
      <c r="B8">
        <f>B7^2/B6</f>
        <v>4.5555072463768109</v>
      </c>
    </row>
    <row r="9" spans="1:8" x14ac:dyDescent="0.55000000000000004">
      <c r="A9" t="s">
        <v>138</v>
      </c>
      <c r="B9">
        <f>Data!B31</f>
        <v>61</v>
      </c>
      <c r="C9" t="s">
        <v>127</v>
      </c>
      <c r="F9" s="17" t="s">
        <v>145</v>
      </c>
      <c r="G9">
        <f>'2.1ef Static Stability'!G13</f>
        <v>5.2569878564295042E-2</v>
      </c>
    </row>
    <row r="10" spans="1:8" x14ac:dyDescent="0.55000000000000004">
      <c r="A10" t="s">
        <v>140</v>
      </c>
      <c r="B10">
        <f>Data!B30</f>
        <v>27.05</v>
      </c>
      <c r="C10" t="s">
        <v>132</v>
      </c>
      <c r="F10" s="17" t="s">
        <v>195</v>
      </c>
      <c r="G10">
        <f>'2.1ef Static Stability'!G10</f>
        <v>1</v>
      </c>
    </row>
    <row r="11" spans="1:8" x14ac:dyDescent="0.55000000000000004">
      <c r="A11" t="s">
        <v>143</v>
      </c>
      <c r="B11">
        <f>B10^2/B9</f>
        <v>11.995122950819672</v>
      </c>
    </row>
    <row r="12" spans="1:8" x14ac:dyDescent="0.55000000000000004">
      <c r="A12" s="17" t="str">
        <f>Data!A39</f>
        <v>c_mac</v>
      </c>
      <c r="B12">
        <f>Data!B39</f>
        <v>2.3029999999999999</v>
      </c>
      <c r="C12" t="s">
        <v>132</v>
      </c>
      <c r="E12" t="s">
        <v>196</v>
      </c>
      <c r="F12" t="s">
        <v>197</v>
      </c>
      <c r="G12" s="4">
        <f>G13*((B11*COS(B26)^2)/(B11+2*COS(B26)))</f>
        <v>-8.5709307399240375E-2</v>
      </c>
    </row>
    <row r="13" spans="1:8" x14ac:dyDescent="0.55000000000000004">
      <c r="A13" t="s">
        <v>144</v>
      </c>
      <c r="B13">
        <f>B9/B10</f>
        <v>2.2550831792975972</v>
      </c>
      <c r="C13" t="s">
        <v>132</v>
      </c>
      <c r="F13" s="21" t="s">
        <v>198</v>
      </c>
      <c r="G13">
        <v>-0.1</v>
      </c>
      <c r="H13" t="s">
        <v>199</v>
      </c>
    </row>
    <row r="15" spans="1:8" x14ac:dyDescent="0.55000000000000004">
      <c r="A15" s="15" t="s">
        <v>149</v>
      </c>
      <c r="B15">
        <f>'2.1ef Static Stability'!B15</f>
        <v>53.112000000000002</v>
      </c>
      <c r="E15" t="s">
        <v>200</v>
      </c>
      <c r="F15" t="s">
        <v>201</v>
      </c>
      <c r="G15">
        <f>-1.8*(1-(2.5*B17/B19))*((PI()*B17*B18*B19)/(4*B9*B12))*(G16/G17)</f>
        <v>-0.15963125446162441</v>
      </c>
    </row>
    <row r="16" spans="1:8" x14ac:dyDescent="0.55000000000000004">
      <c r="A16" s="15"/>
      <c r="F16" s="6" t="s">
        <v>202</v>
      </c>
      <c r="G16">
        <v>0.6</v>
      </c>
      <c r="H16" t="s">
        <v>203</v>
      </c>
    </row>
    <row r="17" spans="1:8" x14ac:dyDescent="0.55000000000000004">
      <c r="A17" s="15" t="s">
        <v>153</v>
      </c>
      <c r="B17">
        <f>'2.1ef Static Stability'!B17</f>
        <v>2.9</v>
      </c>
      <c r="F17" s="17" t="s">
        <v>133</v>
      </c>
      <c r="G17">
        <f>G18*(1+2.15*B17/B10)*B15/B9 + (PI()*B17^2)/(2*B9)</f>
        <v>5.7345766307837422</v>
      </c>
    </row>
    <row r="18" spans="1:8" x14ac:dyDescent="0.55000000000000004">
      <c r="A18" s="15" t="s">
        <v>156</v>
      </c>
      <c r="B18">
        <f>'2.1ef Static Stability'!B18</f>
        <v>2.625</v>
      </c>
      <c r="F18" t="s">
        <v>136</v>
      </c>
      <c r="G18">
        <f>(2*PI()*B11)/(2+SQRT(4+((B11*G20/G19)^2)*(1+(TAN(B27)^2)/G20^2)))</f>
        <v>5.1503718619766277</v>
      </c>
    </row>
    <row r="19" spans="1:8" x14ac:dyDescent="0.55000000000000004">
      <c r="A19" t="s">
        <v>160</v>
      </c>
      <c r="B19">
        <f>'2.1ef Static Stability'!B19</f>
        <v>27.166</v>
      </c>
      <c r="F19" s="21" t="s">
        <v>165</v>
      </c>
      <c r="G19">
        <v>0.95</v>
      </c>
      <c r="H19" t="s">
        <v>166</v>
      </c>
    </row>
    <row r="20" spans="1:8" x14ac:dyDescent="0.55000000000000004">
      <c r="A20" s="15" t="s">
        <v>162</v>
      </c>
      <c r="B20">
        <f>'2.1ef Static Stability'!B20</f>
        <v>11</v>
      </c>
      <c r="F20" s="21" t="s">
        <v>167</v>
      </c>
      <c r="G20">
        <f>SQRT(1-0.17^2)</f>
        <v>0.98544406233941051</v>
      </c>
      <c r="H20" s="4" t="s">
        <v>204</v>
      </c>
    </row>
    <row r="21" spans="1:8" x14ac:dyDescent="0.55000000000000004">
      <c r="A21" s="18" t="s">
        <v>163</v>
      </c>
      <c r="B21">
        <f>'2.1ef Static Stability'!B21</f>
        <v>13.38</v>
      </c>
    </row>
    <row r="22" spans="1:8" x14ac:dyDescent="0.55000000000000004">
      <c r="A22" s="15"/>
      <c r="E22" t="s">
        <v>205</v>
      </c>
      <c r="F22" t="s">
        <v>206</v>
      </c>
      <c r="G22">
        <f>G23-G24*(0.25-G9)</f>
        <v>-0.62791044366516069</v>
      </c>
      <c r="H22" t="s">
        <v>207</v>
      </c>
    </row>
    <row r="23" spans="1:8" x14ac:dyDescent="0.55000000000000004">
      <c r="A23" s="15" t="s">
        <v>169</v>
      </c>
      <c r="B23">
        <f>'2.1ef Static Stability'!B23</f>
        <v>1.59</v>
      </c>
      <c r="F23" t="s">
        <v>208</v>
      </c>
      <c r="G23">
        <f>G28*(-G27*G25*G26-(G24+G25*(1-G30))*(1/8)*G26*(G26-1))+0.7*(B11/(1+2/B11))*G29*G25*TAN(B26)</f>
        <v>-0.28507306808830873</v>
      </c>
      <c r="H23" t="s">
        <v>207</v>
      </c>
    </row>
    <row r="24" spans="1:8" x14ac:dyDescent="0.55000000000000004">
      <c r="A24" s="15" t="s">
        <v>171</v>
      </c>
      <c r="B24">
        <f>'2.1ef Static Stability'!B24</f>
        <v>2.72</v>
      </c>
      <c r="F24" s="21" t="s">
        <v>209</v>
      </c>
      <c r="G24">
        <f>Data!B4*9.81/(1/2*1.225*Data!B15^2*Data!B31)</f>
        <v>1.7364998465469732</v>
      </c>
      <c r="H24" t="s">
        <v>210</v>
      </c>
    </row>
    <row r="25" spans="1:8" x14ac:dyDescent="0.55000000000000004">
      <c r="A25" s="15" t="s">
        <v>174</v>
      </c>
      <c r="B25">
        <f>'2.1ef Static Stability'!B25</f>
        <v>0.5845588235294118</v>
      </c>
      <c r="F25" s="21" t="s">
        <v>211</v>
      </c>
      <c r="G25">
        <f>1.6*G26</f>
        <v>1.7440000000000002</v>
      </c>
      <c r="H25" t="s">
        <v>212</v>
      </c>
    </row>
    <row r="26" spans="1:8" x14ac:dyDescent="0.55000000000000004">
      <c r="A26" s="15" t="s">
        <v>176</v>
      </c>
      <c r="B26">
        <f>'2.1ef Static Stability'!B26</f>
        <v>0</v>
      </c>
      <c r="F26" s="21" t="s">
        <v>213</v>
      </c>
      <c r="G26">
        <v>1.0900000000000001</v>
      </c>
      <c r="H26" t="s">
        <v>214</v>
      </c>
    </row>
    <row r="27" spans="1:8" x14ac:dyDescent="0.55000000000000004">
      <c r="A27" s="15" t="s">
        <v>178</v>
      </c>
      <c r="B27">
        <f>'2.1ef Static Stability'!B27</f>
        <v>7.0000000000000007E-2</v>
      </c>
      <c r="F27" s="21" t="s">
        <v>215</v>
      </c>
      <c r="G27">
        <v>0.17</v>
      </c>
      <c r="H27" t="s">
        <v>216</v>
      </c>
    </row>
    <row r="28" spans="1:8" ht="17.25" customHeight="1" x14ac:dyDescent="0.55000000000000004">
      <c r="A28" s="15"/>
      <c r="F28" s="21" t="s">
        <v>217</v>
      </c>
      <c r="G28">
        <v>0.81</v>
      </c>
      <c r="H28" t="s">
        <v>218</v>
      </c>
    </row>
    <row r="29" spans="1:8" x14ac:dyDescent="0.55000000000000004">
      <c r="A29" s="15" t="s">
        <v>179</v>
      </c>
      <c r="B29">
        <f>'2.1ef Static Stability'!B29</f>
        <v>0.17</v>
      </c>
      <c r="F29" s="21" t="s">
        <v>219</v>
      </c>
      <c r="G29">
        <v>0.05</v>
      </c>
      <c r="H29" t="s">
        <v>218</v>
      </c>
    </row>
    <row r="30" spans="1:8" x14ac:dyDescent="0.55000000000000004">
      <c r="F30" s="21" t="s">
        <v>220</v>
      </c>
      <c r="G30">
        <v>0.65</v>
      </c>
      <c r="H30" t="s">
        <v>221</v>
      </c>
    </row>
    <row r="33" spans="6:6" x14ac:dyDescent="0.55000000000000004">
      <c r="F33" s="21"/>
    </row>
    <row r="34" spans="6:6" x14ac:dyDescent="0.55000000000000004">
      <c r="F34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48AF9-4086-4B4F-9CD2-1D399748422A}">
  <dimension ref="A1:C62"/>
  <sheetViews>
    <sheetView topLeftCell="A37" zoomScale="70" zoomScaleNormal="70" workbookViewId="0">
      <selection activeCell="C13" sqref="C13"/>
    </sheetView>
  </sheetViews>
  <sheetFormatPr defaultRowHeight="14.4" x14ac:dyDescent="0.55000000000000004"/>
  <cols>
    <col min="1" max="1" width="60.41796875" customWidth="1"/>
    <col min="2" max="2" width="11" customWidth="1"/>
    <col min="3" max="3" width="32.1015625" bestFit="1" customWidth="1"/>
  </cols>
  <sheetData>
    <row r="1" spans="1:3" x14ac:dyDescent="0.55000000000000004">
      <c r="A1" s="26" t="s">
        <v>0</v>
      </c>
      <c r="B1" s="26"/>
    </row>
    <row r="2" spans="1:3" x14ac:dyDescent="0.55000000000000004">
      <c r="A2" t="s">
        <v>1</v>
      </c>
      <c r="C2" s="2" t="s">
        <v>2</v>
      </c>
    </row>
    <row r="3" spans="1:3" x14ac:dyDescent="0.55000000000000004">
      <c r="A3" t="s">
        <v>3</v>
      </c>
      <c r="B3">
        <v>23000</v>
      </c>
      <c r="C3" s="2" t="s">
        <v>4</v>
      </c>
    </row>
    <row r="4" spans="1:3" x14ac:dyDescent="0.55000000000000004">
      <c r="A4" t="s">
        <v>5</v>
      </c>
      <c r="B4">
        <v>22350</v>
      </c>
    </row>
    <row r="5" spans="1:3" x14ac:dyDescent="0.55000000000000004">
      <c r="A5" t="s">
        <v>6</v>
      </c>
      <c r="B5">
        <v>21000</v>
      </c>
    </row>
    <row r="6" spans="1:3" x14ac:dyDescent="0.55000000000000004">
      <c r="A6" t="s">
        <v>7</v>
      </c>
      <c r="B6">
        <v>7550</v>
      </c>
    </row>
    <row r="7" spans="1:3" x14ac:dyDescent="0.55000000000000004">
      <c r="A7" t="s">
        <v>8</v>
      </c>
      <c r="B7">
        <v>5000</v>
      </c>
    </row>
    <row r="8" spans="1:3" x14ac:dyDescent="0.55000000000000004">
      <c r="A8" t="s">
        <v>9</v>
      </c>
      <c r="B8">
        <v>13450</v>
      </c>
    </row>
    <row r="9" spans="1:3" x14ac:dyDescent="0.55000000000000004">
      <c r="A9" t="s">
        <v>10</v>
      </c>
      <c r="B9">
        <v>72</v>
      </c>
    </row>
    <row r="12" spans="1:3" x14ac:dyDescent="0.55000000000000004">
      <c r="A12" t="s">
        <v>11</v>
      </c>
    </row>
    <row r="13" spans="1:3" x14ac:dyDescent="0.55000000000000004">
      <c r="A13" t="s">
        <v>12</v>
      </c>
      <c r="B13" s="1">
        <v>1279</v>
      </c>
    </row>
    <row r="14" spans="1:3" x14ac:dyDescent="0.55000000000000004">
      <c r="A14" t="s">
        <v>13</v>
      </c>
      <c r="B14">
        <v>915</v>
      </c>
    </row>
    <row r="15" spans="1:3" x14ac:dyDescent="0.55000000000000004">
      <c r="A15" t="s">
        <v>14</v>
      </c>
      <c r="B15">
        <f>113/1.94384</f>
        <v>58.132356572557413</v>
      </c>
    </row>
    <row r="16" spans="1:3" x14ac:dyDescent="0.55000000000000004">
      <c r="A16" t="s">
        <v>15</v>
      </c>
    </row>
    <row r="17" spans="1:2" x14ac:dyDescent="0.55000000000000004">
      <c r="A17" t="s">
        <v>16</v>
      </c>
      <c r="B17" s="1">
        <v>2475</v>
      </c>
    </row>
    <row r="18" spans="1:2" x14ac:dyDescent="0.55000000000000004">
      <c r="A18" t="s">
        <v>17</v>
      </c>
      <c r="B18">
        <v>2500</v>
      </c>
    </row>
    <row r="19" spans="1:2" x14ac:dyDescent="0.55000000000000004">
      <c r="A19" t="s">
        <v>18</v>
      </c>
      <c r="B19">
        <v>2192</v>
      </c>
    </row>
    <row r="20" spans="1:2" x14ac:dyDescent="0.55000000000000004">
      <c r="A20" t="s">
        <v>19</v>
      </c>
      <c r="B20">
        <v>2132</v>
      </c>
    </row>
    <row r="21" spans="1:2" x14ac:dyDescent="0.55000000000000004">
      <c r="A21" t="s">
        <v>20</v>
      </c>
      <c r="B21">
        <v>3.93</v>
      </c>
    </row>
    <row r="22" spans="1:2" x14ac:dyDescent="0.55000000000000004">
      <c r="A22" t="s">
        <v>21</v>
      </c>
      <c r="B22">
        <v>170</v>
      </c>
    </row>
    <row r="23" spans="1:2" x14ac:dyDescent="0.55000000000000004">
      <c r="A23" t="s">
        <v>22</v>
      </c>
      <c r="B23">
        <v>1355</v>
      </c>
    </row>
    <row r="24" spans="1:2" x14ac:dyDescent="0.55000000000000004">
      <c r="A24" t="s">
        <v>23</v>
      </c>
      <c r="B24">
        <v>275</v>
      </c>
    </row>
    <row r="25" spans="1:2" x14ac:dyDescent="0.55000000000000004">
      <c r="A25" t="s">
        <v>24</v>
      </c>
      <c r="B25">
        <v>758</v>
      </c>
    </row>
    <row r="26" spans="1:2" x14ac:dyDescent="0.55000000000000004">
      <c r="A26" t="s">
        <v>25</v>
      </c>
      <c r="B26">
        <v>762</v>
      </c>
    </row>
    <row r="29" spans="1:2" x14ac:dyDescent="0.55000000000000004">
      <c r="A29" t="s">
        <v>26</v>
      </c>
    </row>
    <row r="30" spans="1:2" x14ac:dyDescent="0.55000000000000004">
      <c r="A30" t="s">
        <v>27</v>
      </c>
      <c r="B30">
        <v>27.05</v>
      </c>
    </row>
    <row r="31" spans="1:2" x14ac:dyDescent="0.55000000000000004">
      <c r="A31" t="s">
        <v>28</v>
      </c>
      <c r="B31">
        <v>61</v>
      </c>
    </row>
    <row r="32" spans="1:2" x14ac:dyDescent="0.55000000000000004">
      <c r="A32" t="s">
        <v>29</v>
      </c>
      <c r="B32">
        <v>27.166</v>
      </c>
    </row>
    <row r="33" spans="1:3" x14ac:dyDescent="0.55000000000000004">
      <c r="A33" t="s">
        <v>30</v>
      </c>
      <c r="B33">
        <v>7.65</v>
      </c>
    </row>
    <row r="34" spans="1:3" x14ac:dyDescent="0.55000000000000004">
      <c r="A34" t="s">
        <v>31</v>
      </c>
      <c r="B34">
        <v>10.77</v>
      </c>
    </row>
    <row r="35" spans="1:3" x14ac:dyDescent="0.55000000000000004">
      <c r="A35" t="s">
        <v>32</v>
      </c>
      <c r="B35">
        <v>4.0999999999999996</v>
      </c>
    </row>
    <row r="36" spans="1:3" x14ac:dyDescent="0.55000000000000004">
      <c r="A36" t="s">
        <v>33</v>
      </c>
      <c r="B36">
        <v>8.1</v>
      </c>
      <c r="C36" t="s">
        <v>34</v>
      </c>
    </row>
    <row r="37" spans="1:3" x14ac:dyDescent="0.55000000000000004">
      <c r="A37" t="s">
        <v>35</v>
      </c>
      <c r="B37">
        <v>2.9</v>
      </c>
    </row>
    <row r="38" spans="1:3" x14ac:dyDescent="0.55000000000000004">
      <c r="A38" t="s">
        <v>36</v>
      </c>
      <c r="B38">
        <f>B42/B31</f>
        <v>0.19229508196721312</v>
      </c>
    </row>
    <row r="39" spans="1:3" x14ac:dyDescent="0.55000000000000004">
      <c r="A39" t="s">
        <v>37</v>
      </c>
      <c r="B39">
        <f>2.303</f>
        <v>2.3029999999999999</v>
      </c>
      <c r="C39" t="s">
        <v>38</v>
      </c>
    </row>
    <row r="40" spans="1:3" x14ac:dyDescent="0.55000000000000004">
      <c r="A40" s="23" t="s">
        <v>39</v>
      </c>
      <c r="B40">
        <f>13.604-2.362</f>
        <v>11.241999999999999</v>
      </c>
    </row>
    <row r="41" spans="1:3" x14ac:dyDescent="0.55000000000000004">
      <c r="A41" t="s">
        <v>40</v>
      </c>
      <c r="B41">
        <v>12.48</v>
      </c>
    </row>
    <row r="42" spans="1:3" x14ac:dyDescent="0.55000000000000004">
      <c r="A42" t="s">
        <v>41</v>
      </c>
      <c r="B42">
        <f>11.73</f>
        <v>11.73</v>
      </c>
    </row>
    <row r="43" spans="1:3" x14ac:dyDescent="0.55000000000000004">
      <c r="A43" t="s">
        <v>42</v>
      </c>
      <c r="B43">
        <v>4.46</v>
      </c>
      <c r="C43" t="s">
        <v>43</v>
      </c>
    </row>
    <row r="44" spans="1:3" x14ac:dyDescent="0.55000000000000004">
      <c r="A44" t="s">
        <v>44</v>
      </c>
      <c r="B44">
        <v>2.1</v>
      </c>
    </row>
    <row r="45" spans="1:3" x14ac:dyDescent="0.55000000000000004">
      <c r="A45" t="s">
        <v>45</v>
      </c>
      <c r="B45">
        <v>7.31</v>
      </c>
      <c r="C45" t="s">
        <v>43</v>
      </c>
    </row>
    <row r="46" spans="1:3" x14ac:dyDescent="0.55000000000000004">
      <c r="A46" t="s">
        <v>46</v>
      </c>
      <c r="B46">
        <f>B42/B45</f>
        <v>1.6046511627906979</v>
      </c>
    </row>
    <row r="47" spans="1:3" x14ac:dyDescent="0.55000000000000004">
      <c r="A47" t="s">
        <v>47</v>
      </c>
      <c r="B47" s="22">
        <v>5.3419999999999996</v>
      </c>
      <c r="C47" t="s">
        <v>48</v>
      </c>
    </row>
    <row r="48" spans="1:3" x14ac:dyDescent="0.55000000000000004">
      <c r="A48" t="s">
        <v>49</v>
      </c>
      <c r="B48">
        <v>4.181</v>
      </c>
      <c r="C48" t="s">
        <v>50</v>
      </c>
    </row>
    <row r="49" spans="1:3" x14ac:dyDescent="0.55000000000000004">
      <c r="A49" t="s">
        <v>51</v>
      </c>
      <c r="B49" s="22">
        <f>B41/B47</f>
        <v>2.3362036690378138</v>
      </c>
      <c r="C49" s="2" t="s">
        <v>52</v>
      </c>
    </row>
    <row r="50" spans="1:3" x14ac:dyDescent="0.55000000000000004">
      <c r="A50" t="s">
        <v>53</v>
      </c>
      <c r="B50">
        <f>B41/B48</f>
        <v>2.9849318344893567</v>
      </c>
      <c r="C50" s="2" t="s">
        <v>54</v>
      </c>
    </row>
    <row r="51" spans="1:3" x14ac:dyDescent="0.55000000000000004">
      <c r="A51" t="s">
        <v>55</v>
      </c>
      <c r="B51">
        <v>1</v>
      </c>
      <c r="C51" t="s">
        <v>43</v>
      </c>
    </row>
    <row r="52" spans="1:3" x14ac:dyDescent="0.55000000000000004">
      <c r="A52" t="s">
        <v>56</v>
      </c>
      <c r="B52">
        <v>8.43</v>
      </c>
      <c r="C52" t="s">
        <v>43</v>
      </c>
    </row>
    <row r="53" spans="1:3" x14ac:dyDescent="0.55000000000000004">
      <c r="A53" t="s">
        <v>57</v>
      </c>
      <c r="B53">
        <v>1.75</v>
      </c>
      <c r="C53" t="s">
        <v>43</v>
      </c>
    </row>
    <row r="54" spans="1:3" x14ac:dyDescent="0.55000000000000004">
      <c r="A54" t="s">
        <v>58</v>
      </c>
      <c r="B54">
        <v>12.43</v>
      </c>
      <c r="C54" t="s">
        <v>43</v>
      </c>
    </row>
    <row r="55" spans="1:3" x14ac:dyDescent="0.55000000000000004">
      <c r="A55" t="s">
        <v>59</v>
      </c>
      <c r="B55">
        <v>23.7</v>
      </c>
      <c r="C55" t="s">
        <v>43</v>
      </c>
    </row>
    <row r="56" spans="1:3" x14ac:dyDescent="0.55000000000000004">
      <c r="A56" t="s">
        <v>60</v>
      </c>
      <c r="B56">
        <v>24.8</v>
      </c>
      <c r="C56" t="s">
        <v>43</v>
      </c>
    </row>
    <row r="58" spans="1:3" x14ac:dyDescent="0.55000000000000004">
      <c r="A58" t="s">
        <v>61</v>
      </c>
    </row>
    <row r="59" spans="1:3" x14ac:dyDescent="0.55000000000000004">
      <c r="A59" t="s">
        <v>62</v>
      </c>
      <c r="B59" t="s">
        <v>63</v>
      </c>
    </row>
    <row r="60" spans="1:3" x14ac:dyDescent="0.55000000000000004">
      <c r="A60" t="s">
        <v>64</v>
      </c>
      <c r="B60" t="s">
        <v>65</v>
      </c>
    </row>
    <row r="61" spans="1:3" x14ac:dyDescent="0.55000000000000004">
      <c r="A61" t="s">
        <v>66</v>
      </c>
      <c r="B61" t="s">
        <v>67</v>
      </c>
    </row>
    <row r="62" spans="1:3" x14ac:dyDescent="0.55000000000000004">
      <c r="A62" t="s">
        <v>68</v>
      </c>
      <c r="B62" t="s">
        <v>69</v>
      </c>
    </row>
  </sheetData>
  <mergeCells count="1">
    <mergeCell ref="A1:B1"/>
  </mergeCells>
  <hyperlinks>
    <hyperlink ref="C2" r:id="rId1" xr:uid="{C0A04D15-5072-4A46-82BC-1B539FE6DA81}"/>
    <hyperlink ref="C49" r:id="rId2" xr:uid="{CE478CF5-7431-4C2E-AC1F-DADEDD068CCD}"/>
    <hyperlink ref="C50" r:id="rId3" xr:uid="{4256A642-FD91-48A0-913D-5C7596C705D8}"/>
    <hyperlink ref="C3" r:id="rId4" xr:uid="{83D0B08A-CA54-46B1-9262-7C7F505DC785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B0A3C-C242-4FC8-BB94-032FF2DB16F7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2.1bc (Weight Table &amp; Chart)</vt:lpstr>
      <vt:lpstr>2.1d (Loading Diagram)</vt:lpstr>
      <vt:lpstr>2.1ef Static Stability</vt:lpstr>
      <vt:lpstr>2.1f Controllability</vt:lpstr>
      <vt:lpstr>3.1 Updated Data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 Šlesinger</dc:creator>
  <cp:keywords/>
  <dc:description/>
  <cp:lastModifiedBy>Barnabás Kardos</cp:lastModifiedBy>
  <cp:revision/>
  <dcterms:created xsi:type="dcterms:W3CDTF">2025-03-26T15:43:29Z</dcterms:created>
  <dcterms:modified xsi:type="dcterms:W3CDTF">2025-04-01T17:01:54Z</dcterms:modified>
  <cp:category/>
  <cp:contentStatus/>
</cp:coreProperties>
</file>