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e woningen" sheetId="1" r:id="rId1"/>
    <sheet name="Samenvatting Nederland" sheetId="2" r:id="rId2"/>
    <sheet name="Samenvatting per provincie" sheetId="3" r:id="rId3"/>
    <sheet name="Samenvatting per regio" sheetId="4" r:id="rId4"/>
    <sheet name="Samenvatting per gemeente" sheetId="5" r:id="rId5"/>
    <sheet name="Gemeente x woningtype" sheetId="6" r:id="rId6"/>
    <sheet name="Gemeente x appartementcategorie" sheetId="7" r:id="rId7"/>
    <sheet name="Status analyse" sheetId="8" r:id="rId8"/>
    <sheet name="Looptijd analyse" sheetId="9" r:id="rId9"/>
    <sheet name="Parkeren analyse" sheetId="10" r:id="rId10"/>
    <sheet name="Controleblad" sheetId="11" r:id="rId11"/>
    <sheet name="Verwijderde dubbelen" sheetId="12" r:id="rId12"/>
    <sheet name="Dataverantwoording" sheetId="13" r:id="rId13"/>
    <sheet name="'s-Gravenhage" sheetId="14" r:id="rId14"/>
    <sheet name="Aalten" sheetId="15" r:id="rId15"/>
    <sheet name="Alkmaar" sheetId="16" r:id="rId16"/>
    <sheet name="Almere" sheetId="17" r:id="rId17"/>
    <sheet name="Amersfoort" sheetId="18" r:id="rId18"/>
    <sheet name="Amsterdam" sheetId="19" r:id="rId19"/>
    <sheet name="Bergen op Zoom" sheetId="20" r:id="rId20"/>
    <sheet name="Berkelland" sheetId="21" r:id="rId21"/>
    <sheet name="Bernheze" sheetId="22" r:id="rId22"/>
    <sheet name="Borsele" sheetId="23" r:id="rId23"/>
    <sheet name="Breda" sheetId="24" r:id="rId24"/>
    <sheet name="Brummen" sheetId="25" r:id="rId25"/>
    <sheet name="Brunssum" sheetId="26" r:id="rId26"/>
    <sheet name="Capelle aan den IJssel" sheetId="27" r:id="rId27"/>
    <sheet name="Den Helder" sheetId="28" r:id="rId28"/>
    <sheet name="Deventer" sheetId="29" r:id="rId29"/>
    <sheet name="Diemen" sheetId="30" r:id="rId30"/>
    <sheet name="Dinkelland" sheetId="31" r:id="rId31"/>
    <sheet name="Doetinchem" sheetId="32" r:id="rId32"/>
    <sheet name="Dronten" sheetId="33" r:id="rId33"/>
    <sheet name="Echt-Susteren" sheetId="34" r:id="rId34"/>
    <sheet name="Eindhoven" sheetId="35" r:id="rId35"/>
    <sheet name="Emmen" sheetId="36" r:id="rId36"/>
    <sheet name="Enschede" sheetId="37" r:id="rId37"/>
    <sheet name="Gennep" sheetId="38" r:id="rId38"/>
    <sheet name="Gilze en Rijen" sheetId="39" r:id="rId39"/>
    <sheet name="Gooise Meren" sheetId="40" r:id="rId40"/>
    <sheet name="Haarlem" sheetId="41" r:id="rId41"/>
    <sheet name="Haarlemmermeer" sheetId="42" r:id="rId42"/>
    <sheet name="Halderberge" sheetId="43" r:id="rId43"/>
    <sheet name="Hardenberg" sheetId="44" r:id="rId44"/>
    <sheet name="Hengelo (O)" sheetId="45" r:id="rId45"/>
    <sheet name="Hoogeveen" sheetId="46" r:id="rId46"/>
    <sheet name="Hoorn" sheetId="47" r:id="rId47"/>
    <sheet name="Hulst" sheetId="48" r:id="rId48"/>
    <sheet name="Landgraaf" sheetId="49" r:id="rId49"/>
    <sheet name="Lingewaard" sheetId="50" r:id="rId50"/>
    <sheet name="Lochem" sheetId="51" r:id="rId51"/>
    <sheet name="Losser" sheetId="52" r:id="rId52"/>
    <sheet name="Maashorst" sheetId="53" r:id="rId53"/>
    <sheet name="Maassluis" sheetId="54" r:id="rId54"/>
    <sheet name="Midden-Groningen" sheetId="55" r:id="rId55"/>
    <sheet name="Neder-Betuwe" sheetId="56" r:id="rId56"/>
    <sheet name="Nissewaard" sheetId="57" r:id="rId57"/>
    <sheet name="Onbekend" sheetId="58" r:id="rId58"/>
    <sheet name="Oost Gelre" sheetId="59" r:id="rId59"/>
    <sheet name="Overbetuwe" sheetId="60" r:id="rId60"/>
    <sheet name="Purmerend" sheetId="61" r:id="rId61"/>
    <sheet name="Roermond" sheetId="62" r:id="rId62"/>
    <sheet name="Rotterdam" sheetId="63" r:id="rId63"/>
    <sheet name="Sittard-Geleen" sheetId="64" r:id="rId64"/>
    <sheet name="Soest" sheetId="65" r:id="rId65"/>
    <sheet name="Son en Breugel" sheetId="66" r:id="rId66"/>
    <sheet name="Valkenswaard" sheetId="67" r:id="rId67"/>
    <sheet name="Veenendaal" sheetId="68" r:id="rId68"/>
    <sheet name="Venlo" sheetId="69" r:id="rId69"/>
    <sheet name="Venray" sheetId="70" r:id="rId70"/>
    <sheet name="Vlaardingen" sheetId="71" r:id="rId71"/>
    <sheet name="Voorne aan Zee" sheetId="72" r:id="rId72"/>
    <sheet name="Waalre" sheetId="73" r:id="rId73"/>
    <sheet name="Westland" sheetId="74" r:id="rId74"/>
    <sheet name="Woerden" sheetId="75" r:id="rId75"/>
    <sheet name="Zevenaar" sheetId="76" r:id="rId76"/>
  </sheets>
  <definedNames>
    <definedName name="_xlnm._FilterDatabase" localSheetId="0">'Alle woningen'!A1:AD579</definedName>
    <definedName name="_xlnm._FilterDatabase" localSheetId="2">'Samenvatting per provincie'!A1:L13</definedName>
    <definedName name="_xlnm._FilterDatabase" localSheetId="3">'Samenvatting per regio'!A1:L6</definedName>
    <definedName name="_xlnm._FilterDatabase" localSheetId="4">'Samenvatting per gemeente'!A1:L64</definedName>
    <definedName name="_xlnm._FilterDatabase" localSheetId="5">'Gemeente x woningtype'!A1:N64</definedName>
    <definedName name="_xlnm._FilterDatabase" localSheetId="6">'Gemeente x appartementcategorie'!A1:F64</definedName>
    <definedName name="_xlnm._FilterDatabase" localSheetId="13">''s-Gravenhage'!A23:AD25</definedName>
    <definedName name="_xlnm._FilterDatabase" localSheetId="14">'Aalten'!A22:AD23</definedName>
    <definedName name="_xlnm._FilterDatabase" localSheetId="15">'Alkmaar'!A23:AD25</definedName>
    <definedName name="_xlnm._FilterDatabase" localSheetId="16">'Almere'!A22:AD23</definedName>
    <definedName name="_xlnm._FilterDatabase" localSheetId="17">'Amersfoort'!A22:AD23</definedName>
    <definedName name="_xlnm._FilterDatabase" localSheetId="18">'Amsterdam'!A26:AD41</definedName>
    <definedName name="_xlnm._FilterDatabase" localSheetId="19">'Bergen op Zoom'!A22:AD23</definedName>
    <definedName name="_xlnm._FilterDatabase" localSheetId="20">'Berkelland'!A22:AD23</definedName>
    <definedName name="_xlnm._FilterDatabase" localSheetId="21">'Bernheze'!A22:AD26</definedName>
    <definedName name="_xlnm._FilterDatabase" localSheetId="22">'Borsele'!A22:AD23</definedName>
    <definedName name="_xlnm._FilterDatabase" localSheetId="23">'Breda'!A23:AD29</definedName>
    <definedName name="_xlnm._FilterDatabase" localSheetId="24">'Brummen'!A22:AD23</definedName>
    <definedName name="_xlnm._FilterDatabase" localSheetId="25">'Brunssum'!A22:AD24</definedName>
    <definedName name="_xlnm._FilterDatabase" localSheetId="26">'Capelle aan den IJssel'!A22:AD24</definedName>
    <definedName name="_xlnm._FilterDatabase" localSheetId="27">'Den Helder'!A23:AD38</definedName>
    <definedName name="_xlnm._FilterDatabase" localSheetId="28">'Deventer'!A22:AD23</definedName>
    <definedName name="_xlnm._FilterDatabase" localSheetId="29">'Diemen'!A22:AD23</definedName>
    <definedName name="_xlnm._FilterDatabase" localSheetId="30">'Dinkelland'!A24:AD34</definedName>
    <definedName name="_xlnm._FilterDatabase" localSheetId="31">'Doetinchem'!A22:AD23</definedName>
    <definedName name="_xlnm._FilterDatabase" localSheetId="32">'Dronten'!A22:AD24</definedName>
    <definedName name="_xlnm._FilterDatabase" localSheetId="33">'Echt-Susteren'!A22:AD24</definedName>
    <definedName name="_xlnm._FilterDatabase" localSheetId="34">'Eindhoven'!A23:AD29</definedName>
    <definedName name="_xlnm._FilterDatabase" localSheetId="35">'Emmen'!A22:AD24</definedName>
    <definedName name="_xlnm._FilterDatabase" localSheetId="36">'Enschede'!A22:AD23</definedName>
    <definedName name="_xlnm._FilterDatabase" localSheetId="37">'Gennep'!A22:AD25</definedName>
    <definedName name="_xlnm._FilterDatabase" localSheetId="38">'Gilze en Rijen'!A23:AD33</definedName>
    <definedName name="_xlnm._FilterDatabase" localSheetId="39">'Gooise Meren'!A23:AD26</definedName>
    <definedName name="_xlnm._FilterDatabase" localSheetId="40">'Haarlem'!A23:AD26</definedName>
    <definedName name="_xlnm._FilterDatabase" localSheetId="41">'Haarlemmermeer'!A22:AD23</definedName>
    <definedName name="_xlnm._FilterDatabase" localSheetId="42">'Halderberge'!A26:AD100</definedName>
    <definedName name="_xlnm._FilterDatabase" localSheetId="43">'Hardenberg'!A22:AD23</definedName>
    <definedName name="_xlnm._FilterDatabase" localSheetId="44">'Hengelo (O)'!A27:AD97</definedName>
    <definedName name="_xlnm._FilterDatabase" localSheetId="45">'Hoogeveen'!A23:AD39</definedName>
    <definedName name="_xlnm._FilterDatabase" localSheetId="46">'Hoorn'!A22:AD23</definedName>
    <definedName name="_xlnm._FilterDatabase" localSheetId="47">'Hulst'!A23:AD29</definedName>
    <definedName name="_xlnm._FilterDatabase" localSheetId="48">'Landgraaf'!A23:AD36</definedName>
    <definedName name="_xlnm._FilterDatabase" localSheetId="49">'Lingewaard'!A22:AD23</definedName>
    <definedName name="_xlnm._FilterDatabase" localSheetId="50">'Lochem'!A23:AD29</definedName>
    <definedName name="_xlnm._FilterDatabase" localSheetId="51">'Losser'!A22:AD25</definedName>
    <definedName name="_xlnm._FilterDatabase" localSheetId="52">'Maashorst'!A22:AD23</definedName>
    <definedName name="_xlnm._FilterDatabase" localSheetId="53">'Maassluis'!A24:AD70</definedName>
    <definedName name="_xlnm._FilterDatabase" localSheetId="54">'Midden-Groningen'!A24:AD27</definedName>
    <definedName name="_xlnm._FilterDatabase" localSheetId="55">'Neder-Betuwe'!A22:AD23</definedName>
    <definedName name="_xlnm._FilterDatabase" localSheetId="56">'Nissewaard'!A22:AD34</definedName>
    <definedName name="_xlnm._FilterDatabase" localSheetId="57">'Onbekend'!A21:AD22</definedName>
    <definedName name="_xlnm._FilterDatabase" localSheetId="58">'Oost Gelre'!A22:AD24</definedName>
    <definedName name="_xlnm._FilterDatabase" localSheetId="59">'Overbetuwe'!A22:AD26</definedName>
    <definedName name="_xlnm._FilterDatabase" localSheetId="60">'Purmerend'!A24:AD28</definedName>
    <definedName name="_xlnm._FilterDatabase" localSheetId="61">'Roermond'!A22:AD28</definedName>
    <definedName name="_xlnm._FilterDatabase" localSheetId="62">'Rotterdam'!A22:AD25</definedName>
    <definedName name="_xlnm._FilterDatabase" localSheetId="63">'Sittard-Geleen'!A23:AD28</definedName>
    <definedName name="_xlnm._FilterDatabase" localSheetId="64">'Soest'!A23:AD39</definedName>
    <definedName name="_xlnm._FilterDatabase" localSheetId="65">'Son en Breugel'!A21:AD24</definedName>
    <definedName name="_xlnm._FilterDatabase" localSheetId="66">'Valkenswaard'!A22:AD23</definedName>
    <definedName name="_xlnm._FilterDatabase" localSheetId="67">'Veenendaal'!A27:AD83</definedName>
    <definedName name="_xlnm._FilterDatabase" localSheetId="68">'Venlo'!A22:AD23</definedName>
    <definedName name="_xlnm._FilterDatabase" localSheetId="69">'Venray'!A22:AD34</definedName>
    <definedName name="_xlnm._FilterDatabase" localSheetId="70">'Vlaardingen'!A22:AD23</definedName>
    <definedName name="_xlnm._FilterDatabase" localSheetId="71">'Voorne aan Zee'!A24:AD49</definedName>
    <definedName name="_xlnm._FilterDatabase" localSheetId="72">'Waalre'!A23:AD90</definedName>
    <definedName name="_xlnm._FilterDatabase" localSheetId="73">'Westland'!A23:AD30</definedName>
    <definedName name="_xlnm._FilterDatabase" localSheetId="74">'Woerden'!A23:AD31</definedName>
    <definedName name="_xlnm._FilterDatabase" localSheetId="75">'Zevenaar'!A22:AD23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79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Funda ID</v>
      </c>
      <c r="B1" t="str">
        <v>Funda URL</v>
      </c>
      <c r="C1" t="str">
        <v>Projectnaam</v>
      </c>
      <c r="D1" t="str">
        <v>Adres</v>
      </c>
      <c r="E1" t="str">
        <v>Bouwnummer</v>
      </c>
      <c r="F1" t="str">
        <v>Postcode</v>
      </c>
      <c r="G1" t="str">
        <v>Plaats</v>
      </c>
      <c r="H1" t="str">
        <v>Gemeente</v>
      </c>
      <c r="I1" t="str">
        <v>Provincie</v>
      </c>
      <c r="J1" t="str">
        <v>Regio</v>
      </c>
      <c r="K1" t="str">
        <v>Status</v>
      </c>
      <c r="L1" t="str">
        <v>Datum plaatsing</v>
      </c>
      <c r="M1" t="str">
        <v>Looptijd (dagen)</v>
      </c>
      <c r="N1" t="str">
        <v>Vraagprijs (€)</v>
      </c>
      <c r="O1" t="str">
        <v>Kostenlabel</v>
      </c>
      <c r="P1" t="str">
        <v>GBO (m²)</v>
      </c>
      <c r="Q1" t="str">
        <v>VON-prijs per m² (€)</v>
      </c>
      <c r="R1" t="str">
        <v>Perceeloppervlakte (m²)</v>
      </c>
      <c r="S1" t="str">
        <v>Energielabel</v>
      </c>
      <c r="T1" t="str">
        <v>Aantal kamers</v>
      </c>
      <c r="U1" t="str">
        <v>Aantal slaapkamers</v>
      </c>
      <c r="V1" t="str">
        <v>Woningcategorie</v>
      </c>
      <c r="W1" t="str">
        <v>Woningtype</v>
      </c>
      <c r="X1" t="str">
        <v>Appartement categorie</v>
      </c>
      <c r="Y1" t="str">
        <v>Parkeerplaats</v>
      </c>
      <c r="Z1" t="str">
        <v>Type parkeerplaats</v>
      </c>
      <c r="AA1" t="str">
        <v>Bouwjaar</v>
      </c>
      <c r="AB1" t="str">
        <v>Prijs op aanvraag</v>
      </c>
      <c r="AC1" t="str">
        <v>Outlier flag</v>
      </c>
      <c r="AD1" t="str">
        <v>GemeenteOK</v>
      </c>
    </row>
    <row r="2">
      <c r="A2" t="str">
        <v>80899094</v>
      </c>
      <c r="B2" t="str">
        <v>https://www.funda.nl/detail/koop/liempde/huis-kerkweide-6/80899094/</v>
      </c>
      <c r="C2" t="str">
        <v>Onbekend</v>
      </c>
      <c r="D2" t="str">
        <v>Kerkweide 6</v>
      </c>
      <c r="E2" t="str">
        <v>Onbekend</v>
      </c>
      <c r="F2" t="str">
        <v>5298 VX</v>
      </c>
      <c r="G2" t="str">
        <v>Liempde</v>
      </c>
      <c r="H2" t="str">
        <v>Onbekend</v>
      </c>
      <c r="I2" t="str">
        <v>Onbekend</v>
      </c>
      <c r="J2" t="str">
        <v>Onbekend</v>
      </c>
      <c r="K2" t="str">
        <v>Te koop</v>
      </c>
      <c r="L2" t="str">
        <v>2026-07-11</v>
      </c>
      <c r="M2">
        <v>2</v>
      </c>
      <c r="N2">
        <v>718000</v>
      </c>
      <c r="O2" t="str">
        <v>v.o.n.</v>
      </c>
      <c r="P2">
        <v>145</v>
      </c>
      <c r="Q2">
        <v>4952</v>
      </c>
      <c r="R2">
        <v>206</v>
      </c>
      <c r="S2" t="str">
        <v>A+++</v>
      </c>
      <c r="T2" t="str">
        <v>Onbekend</v>
      </c>
      <c r="U2">
        <v>4</v>
      </c>
      <c r="V2" t="str">
        <v>Grondgebonden</v>
      </c>
      <c r="W2" t="str">
        <v>Onbekend</v>
      </c>
      <c r="X2" t="str">
        <v>N.v.t.</v>
      </c>
      <c r="Y2" t="str">
        <v>Onbekend</v>
      </c>
      <c r="Z2" t="str">
        <v>onbekend</v>
      </c>
      <c r="AA2" t="str">
        <v>Onbekend</v>
      </c>
      <c r="AB2" t="str">
        <v>Nee</v>
      </c>
      <c r="AC2" t="str">
        <v>NEE</v>
      </c>
      <c r="AD2" t="str">
        <v>NEE</v>
      </c>
    </row>
    <row r="3">
      <c r="A3" t="str">
        <v>44435496</v>
      </c>
      <c r="B3" t="str">
        <v>https://www.funda.nl/detail/koop/muiden/huis-productielijn-bouwnr-939/44435496/</v>
      </c>
      <c r="C3" t="str">
        <v>De Krijgsman Fase 9 - Kruitpadwal &amp; Productielijn</v>
      </c>
      <c r="D3" t="str">
        <v>Productielijn</v>
      </c>
      <c r="E3" t="str">
        <v>939</v>
      </c>
      <c r="F3" t="str">
        <v>1398</v>
      </c>
      <c r="G3" t="str">
        <v>Muiden</v>
      </c>
      <c r="H3" t="str">
        <v>Gooise Meren</v>
      </c>
      <c r="I3" t="str">
        <v>Noord-Holland</v>
      </c>
      <c r="J3" t="str">
        <v>West-Nederland</v>
      </c>
      <c r="K3" t="str">
        <v>Te koop</v>
      </c>
      <c r="L3" t="str">
        <v>2026-07-10</v>
      </c>
      <c r="M3">
        <v>3</v>
      </c>
      <c r="N3">
        <v>750000</v>
      </c>
      <c r="O3" t="str">
        <v>v.o.n.</v>
      </c>
      <c r="P3">
        <v>113</v>
      </c>
      <c r="Q3">
        <v>6637</v>
      </c>
      <c r="R3" t="str">
        <v>Onbekend</v>
      </c>
      <c r="S3" t="str">
        <v>A+++</v>
      </c>
      <c r="T3">
        <v>4</v>
      </c>
      <c r="U3">
        <v>3</v>
      </c>
      <c r="V3" t="str">
        <v>Grondgebonden</v>
      </c>
      <c r="W3" t="str">
        <v>Tussenwoning</v>
      </c>
      <c r="X3" t="str">
        <v>N.v.t.</v>
      </c>
      <c r="Y3" t="str">
        <v>Ja</v>
      </c>
      <c r="Z3" t="str">
        <v>eigen parkeerplaats</v>
      </c>
      <c r="AA3" t="str">
        <v>2026</v>
      </c>
      <c r="AB3" t="str">
        <v>Nee</v>
      </c>
      <c r="AC3" t="str">
        <v>NEE</v>
      </c>
      <c r="AD3" t="str">
        <v>JA</v>
      </c>
    </row>
    <row r="4">
      <c r="A4" t="str">
        <v>44435495</v>
      </c>
      <c r="B4" t="str">
        <v>https://www.funda.nl/detail/koop/muiden/huis-productielijn-bouwnr-937/44435495/</v>
      </c>
      <c r="C4" t="str">
        <v>De Krijgsman Fase 9 - Kruitpadwal &amp; Productielijn</v>
      </c>
      <c r="D4" t="str">
        <v>Productielijn</v>
      </c>
      <c r="E4" t="str">
        <v>937</v>
      </c>
      <c r="F4" t="str">
        <v>1398</v>
      </c>
      <c r="G4" t="str">
        <v>Muiden</v>
      </c>
      <c r="H4" t="str">
        <v>Gooise Meren</v>
      </c>
      <c r="I4" t="str">
        <v>Noord-Holland</v>
      </c>
      <c r="J4" t="str">
        <v>West-Nederland</v>
      </c>
      <c r="K4" t="str">
        <v>Te koop</v>
      </c>
      <c r="L4" t="str">
        <v>Onbekend</v>
      </c>
      <c r="M4" t="str">
        <v>Onbekend</v>
      </c>
      <c r="N4">
        <v>785000</v>
      </c>
      <c r="O4" t="str">
        <v>v.o.n.</v>
      </c>
      <c r="P4">
        <v>113</v>
      </c>
      <c r="Q4">
        <v>6947</v>
      </c>
      <c r="R4" t="str">
        <v>Onbekend</v>
      </c>
      <c r="S4" t="str">
        <v>A+++</v>
      </c>
      <c r="T4">
        <v>4</v>
      </c>
      <c r="U4">
        <v>3</v>
      </c>
      <c r="V4" t="str">
        <v>Grondgebonden</v>
      </c>
      <c r="W4" t="str">
        <v>Hoekwoning</v>
      </c>
      <c r="X4" t="str">
        <v>N.v.t.</v>
      </c>
      <c r="Y4" t="str">
        <v>Ja</v>
      </c>
      <c r="Z4" t="str">
        <v>eigen parkeerplaats</v>
      </c>
      <c r="AA4" t="str">
        <v>2026</v>
      </c>
      <c r="AB4" t="str">
        <v>Nee</v>
      </c>
      <c r="AC4" t="str">
        <v>NEE</v>
      </c>
      <c r="AD4" t="str">
        <v>JA</v>
      </c>
    </row>
    <row r="5">
      <c r="A5" t="str">
        <v>44435494</v>
      </c>
      <c r="B5" t="str">
        <v>https://www.funda.nl/detail/koop/muiden/huis-productielijn-bouwnr-938/44435494/</v>
      </c>
      <c r="C5" t="str">
        <v>De Krijgsman Fase 9 - Kruitpadwal &amp; Productielijn</v>
      </c>
      <c r="D5" t="str">
        <v>Productielijn</v>
      </c>
      <c r="E5" t="str">
        <v>938</v>
      </c>
      <c r="F5" t="str">
        <v>1398</v>
      </c>
      <c r="G5" t="str">
        <v>Muiden</v>
      </c>
      <c r="H5" t="str">
        <v>Gooise Meren</v>
      </c>
      <c r="I5" t="str">
        <v>Noord-Holland</v>
      </c>
      <c r="J5" t="str">
        <v>West-Nederland</v>
      </c>
      <c r="K5" t="str">
        <v>V.O.V.</v>
      </c>
      <c r="L5" t="str">
        <v>Onbekend</v>
      </c>
      <c r="M5" t="str">
        <v>Onbekend</v>
      </c>
      <c r="N5">
        <v>750000</v>
      </c>
      <c r="O5" t="str">
        <v>v.o.n.</v>
      </c>
      <c r="P5">
        <v>113</v>
      </c>
      <c r="Q5">
        <v>6637</v>
      </c>
      <c r="R5" t="str">
        <v>Onbekend</v>
      </c>
      <c r="S5" t="str">
        <v>A+++</v>
      </c>
      <c r="T5">
        <v>4</v>
      </c>
      <c r="U5">
        <v>3</v>
      </c>
      <c r="V5" t="str">
        <v>Grondgebonden</v>
      </c>
      <c r="W5" t="str">
        <v>Tussenwoning</v>
      </c>
      <c r="X5" t="str">
        <v>N.v.t.</v>
      </c>
      <c r="Y5" t="str">
        <v>Ja</v>
      </c>
      <c r="Z5" t="str">
        <v>eigen parkeerplaats</v>
      </c>
      <c r="AA5" t="str">
        <v>2026</v>
      </c>
      <c r="AB5" t="str">
        <v>Nee</v>
      </c>
      <c r="AC5" t="str">
        <v>NEE</v>
      </c>
      <c r="AD5" t="str">
        <v>JA</v>
      </c>
    </row>
    <row r="6">
      <c r="A6" t="str">
        <v>80888465</v>
      </c>
      <c r="B6" t="str">
        <v>https://www.funda.nl/detail/koop/zevenaar/appartement-juvenaathof-4/80888465/</v>
      </c>
      <c r="C6" t="str">
        <v>Onbekend</v>
      </c>
      <c r="D6" t="str">
        <v>Juvenaathof 4</v>
      </c>
      <c r="E6" t="str">
        <v>Onbekend</v>
      </c>
      <c r="F6" t="str">
        <v>6901 MT</v>
      </c>
      <c r="G6" t="str">
        <v>Zevenaar</v>
      </c>
      <c r="H6" t="str">
        <v>Zevenaar</v>
      </c>
      <c r="I6" t="str">
        <v>Gelderland</v>
      </c>
      <c r="J6" t="str">
        <v>Oost-Nederland</v>
      </c>
      <c r="K6" t="str">
        <v>Te koop</v>
      </c>
      <c r="L6" t="str">
        <v>2026-07-09</v>
      </c>
      <c r="M6">
        <v>4</v>
      </c>
      <c r="N6">
        <v>287500</v>
      </c>
      <c r="O6" t="str">
        <v>v.o.n.</v>
      </c>
      <c r="P6">
        <v>51</v>
      </c>
      <c r="Q6">
        <v>5637</v>
      </c>
      <c r="R6" t="str">
        <v>Onbekend</v>
      </c>
      <c r="S6" t="str">
        <v>A+++</v>
      </c>
      <c r="T6">
        <v>2</v>
      </c>
      <c r="U6">
        <v>1</v>
      </c>
      <c r="V6" t="str">
        <v>Appartement</v>
      </c>
      <c r="W6" t="str">
        <v>Appartement</v>
      </c>
      <c r="X6" t="str">
        <v>Appartement 50-75 m²</v>
      </c>
      <c r="Y6" t="str">
        <v>Ja</v>
      </c>
      <c r="Z6" t="str">
        <v>openbare parkeerplaats</v>
      </c>
      <c r="AA6" t="str">
        <v>2026</v>
      </c>
      <c r="AB6" t="str">
        <v>Nee</v>
      </c>
      <c r="AC6" t="str">
        <v>NEE</v>
      </c>
      <c r="AD6" t="str">
        <v>JA</v>
      </c>
    </row>
    <row r="7">
      <c r="A7" t="str">
        <v>80888833</v>
      </c>
      <c r="B7" t="str">
        <v>https://www.funda.nl/detail/koop/purmerend/appartement-waterlandlaan-9-h/80888833/</v>
      </c>
      <c r="C7" t="str">
        <v>Purmerend | Terrazza</v>
      </c>
      <c r="D7" t="str">
        <v>Waterlandlaan 9-H</v>
      </c>
      <c r="E7" t="str">
        <v>Onbekend</v>
      </c>
      <c r="F7" t="str">
        <v>1441 RS</v>
      </c>
      <c r="G7" t="str">
        <v>Purmerend</v>
      </c>
      <c r="H7" t="str">
        <v>Purmerend</v>
      </c>
      <c r="I7" t="str">
        <v>Noord-Holland</v>
      </c>
      <c r="J7" t="str">
        <v>West-Nederland</v>
      </c>
      <c r="K7" t="str">
        <v>Te koop</v>
      </c>
      <c r="L7" t="str">
        <v>Onbekend</v>
      </c>
      <c r="M7" t="str">
        <v>Onbekend</v>
      </c>
      <c r="N7">
        <v>545000</v>
      </c>
      <c r="O7" t="str">
        <v>v.o.n.</v>
      </c>
      <c r="P7">
        <v>86</v>
      </c>
      <c r="Q7">
        <v>6337</v>
      </c>
      <c r="R7" t="str">
        <v>Onbekend</v>
      </c>
      <c r="S7" t="str">
        <v>A+</v>
      </c>
      <c r="T7">
        <v>3</v>
      </c>
      <c r="U7">
        <v>2</v>
      </c>
      <c r="V7" t="str">
        <v>Appartement</v>
      </c>
      <c r="W7" t="str">
        <v>Appartement</v>
      </c>
      <c r="X7" t="str">
        <v>Appartement 75-100 m²</v>
      </c>
      <c r="Y7" t="str">
        <v>Ja</v>
      </c>
      <c r="Z7" t="str">
        <v>garage</v>
      </c>
      <c r="AA7" t="str">
        <v>2026</v>
      </c>
      <c r="AB7" t="str">
        <v>Nee</v>
      </c>
      <c r="AC7" t="str">
        <v>NEE</v>
      </c>
      <c r="AD7" t="str">
        <v>JA</v>
      </c>
    </row>
    <row r="8">
      <c r="A8" t="str">
        <v>80888795</v>
      </c>
      <c r="B8" t="str">
        <v>https://www.funda.nl/detail/koop/purmerend/appartement-waterlandlaan-9-f/80888795/</v>
      </c>
      <c r="C8" t="str">
        <v>Purmerend | Terrazza</v>
      </c>
      <c r="D8" t="str">
        <v>Waterlandlaan 9-F</v>
      </c>
      <c r="E8" t="str">
        <v>Onbekend</v>
      </c>
      <c r="F8" t="str">
        <v>1441 RS</v>
      </c>
      <c r="G8" t="str">
        <v>Purmerend</v>
      </c>
      <c r="H8" t="str">
        <v>Purmerend</v>
      </c>
      <c r="I8" t="str">
        <v>Noord-Holland</v>
      </c>
      <c r="J8" t="str">
        <v>West-Nederland</v>
      </c>
      <c r="K8" t="str">
        <v>Te koop</v>
      </c>
      <c r="L8" t="str">
        <v>Onbekend</v>
      </c>
      <c r="M8" t="str">
        <v>Onbekend</v>
      </c>
      <c r="N8">
        <v>550000</v>
      </c>
      <c r="O8" t="str">
        <v>v.o.n.</v>
      </c>
      <c r="P8">
        <v>86</v>
      </c>
      <c r="Q8">
        <v>6395</v>
      </c>
      <c r="R8" t="str">
        <v>Onbekend</v>
      </c>
      <c r="S8" t="str">
        <v>A+</v>
      </c>
      <c r="T8">
        <v>3</v>
      </c>
      <c r="U8">
        <v>2</v>
      </c>
      <c r="V8" t="str">
        <v>Appartement</v>
      </c>
      <c r="W8" t="str">
        <v>Appartement</v>
      </c>
      <c r="X8" t="str">
        <v>Appartement 75-100 m²</v>
      </c>
      <c r="Y8" t="str">
        <v>Ja</v>
      </c>
      <c r="Z8" t="str">
        <v>garage</v>
      </c>
      <c r="AA8" t="str">
        <v>2026</v>
      </c>
      <c r="AB8" t="str">
        <v>Nee</v>
      </c>
      <c r="AC8" t="str">
        <v>NEE</v>
      </c>
      <c r="AD8" t="str">
        <v>JA</v>
      </c>
    </row>
    <row r="9">
      <c r="A9" t="str">
        <v>80888769</v>
      </c>
      <c r="B9" t="str">
        <v>https://www.funda.nl/detail/koop/purmerend/appartement-waterlandlaan-7-b/80888769/</v>
      </c>
      <c r="C9" t="str">
        <v>Purmerend | Terrazza</v>
      </c>
      <c r="D9" t="str">
        <v>Waterlandlaan 7-B</v>
      </c>
      <c r="E9" t="str">
        <v>Onbekend</v>
      </c>
      <c r="F9" t="str">
        <v>1441 RS</v>
      </c>
      <c r="G9" t="str">
        <v>Purmerend</v>
      </c>
      <c r="H9" t="str">
        <v>Purmerend</v>
      </c>
      <c r="I9" t="str">
        <v>Noord-Holland</v>
      </c>
      <c r="J9" t="str">
        <v>West-Nederland</v>
      </c>
      <c r="K9" t="str">
        <v>Te koop</v>
      </c>
      <c r="L9" t="str">
        <v>Onbekend</v>
      </c>
      <c r="M9" t="str">
        <v>Onbekend</v>
      </c>
      <c r="N9">
        <v>452500</v>
      </c>
      <c r="O9" t="str">
        <v>v.o.n.</v>
      </c>
      <c r="P9">
        <v>69</v>
      </c>
      <c r="Q9">
        <v>6558</v>
      </c>
      <c r="R9" t="str">
        <v>Onbekend</v>
      </c>
      <c r="S9" t="str">
        <v>A+</v>
      </c>
      <c r="T9">
        <v>3</v>
      </c>
      <c r="U9">
        <v>2</v>
      </c>
      <c r="V9" t="str">
        <v>Appartement</v>
      </c>
      <c r="W9" t="str">
        <v>Appartement</v>
      </c>
      <c r="X9" t="str">
        <v>Appartement 50-75 m²</v>
      </c>
      <c r="Y9" t="str">
        <v>Ja</v>
      </c>
      <c r="Z9" t="str">
        <v>garage</v>
      </c>
      <c r="AA9" t="str">
        <v>2026</v>
      </c>
      <c r="AB9" t="str">
        <v>Nee</v>
      </c>
      <c r="AC9" t="str">
        <v>NEE</v>
      </c>
      <c r="AD9" t="str">
        <v>JA</v>
      </c>
    </row>
    <row r="10">
      <c r="A10" t="str">
        <v>44424267</v>
      </c>
      <c r="B10" t="str">
        <v>https://www.funda.nl/detail/koop/breda/appartement-groot-ypelaardreef-12-bouwnr-b1/44424267/</v>
      </c>
      <c r="C10" t="str">
        <v>De YP | 6 nieuwbouw appartementen | Start verkoop augustus 2026 | Schrijf je in!</v>
      </c>
      <c r="D10" t="str">
        <v>Groot Ypelaardreef 12 -</v>
      </c>
      <c r="E10" t="str">
        <v>B1</v>
      </c>
      <c r="F10" t="str">
        <v>4834 HD</v>
      </c>
      <c r="G10" t="str">
        <v>Breda</v>
      </c>
      <c r="H10" t="str">
        <v>Breda</v>
      </c>
      <c r="I10" t="str">
        <v>Noord-Brabant</v>
      </c>
      <c r="J10" t="str">
        <v>Zuid-Nederland</v>
      </c>
      <c r="K10" t="str">
        <v>Te koop</v>
      </c>
      <c r="L10" t="str">
        <v>Onbekend</v>
      </c>
      <c r="M10" t="str">
        <v>Onbekend</v>
      </c>
      <c r="N10">
        <v>460000</v>
      </c>
      <c r="O10" t="str">
        <v>v.o.n.</v>
      </c>
      <c r="P10">
        <v>79</v>
      </c>
      <c r="Q10">
        <v>5823</v>
      </c>
      <c r="R10" t="str">
        <v>Onbekend</v>
      </c>
      <c r="S10" t="str">
        <v>A+++</v>
      </c>
      <c r="T10">
        <v>3</v>
      </c>
      <c r="U10">
        <v>2</v>
      </c>
      <c r="V10" t="str">
        <v>Appartement</v>
      </c>
      <c r="W10" t="str">
        <v>Appartement</v>
      </c>
      <c r="X10" t="str">
        <v>Appartement 75-100 m²</v>
      </c>
      <c r="Y10" t="str">
        <v>Ja</v>
      </c>
      <c r="Z10" t="str">
        <v>eigen parkeerplaats</v>
      </c>
      <c r="AA10" t="str">
        <v>2026</v>
      </c>
      <c r="AB10" t="str">
        <v>Nee</v>
      </c>
      <c r="AC10" t="str">
        <v>NEE</v>
      </c>
      <c r="AD10" t="str">
        <v>JA</v>
      </c>
    </row>
    <row r="11">
      <c r="A11" t="str">
        <v>44424266</v>
      </c>
      <c r="B11" t="str">
        <v>https://www.funda.nl/detail/koop/breda/appartement-groot-ypelaardreef-12-bouwnr-a1/44424266/</v>
      </c>
      <c r="C11" t="str">
        <v>De YP | 6 nieuwbouw appartementen | Start verkoop augustus 2026 | Schrijf je in!</v>
      </c>
      <c r="D11" t="str">
        <v>Groot Ypelaardreef 12 -</v>
      </c>
      <c r="E11" t="str">
        <v>A1</v>
      </c>
      <c r="F11" t="str">
        <v>4834 HD</v>
      </c>
      <c r="G11" t="str">
        <v>Breda</v>
      </c>
      <c r="H11" t="str">
        <v>Breda</v>
      </c>
      <c r="I11" t="str">
        <v>Noord-Brabant</v>
      </c>
      <c r="J11" t="str">
        <v>Zuid-Nederland</v>
      </c>
      <c r="K11" t="str">
        <v>Te koop</v>
      </c>
      <c r="L11" t="str">
        <v>Onbekend</v>
      </c>
      <c r="M11" t="str">
        <v>Onbekend</v>
      </c>
      <c r="N11">
        <v>455000</v>
      </c>
      <c r="O11" t="str">
        <v>v.o.n.</v>
      </c>
      <c r="P11">
        <v>81</v>
      </c>
      <c r="Q11">
        <v>5617</v>
      </c>
      <c r="R11" t="str">
        <v>Onbekend</v>
      </c>
      <c r="S11" t="str">
        <v>A+++</v>
      </c>
      <c r="T11">
        <v>3</v>
      </c>
      <c r="U11">
        <v>2</v>
      </c>
      <c r="V11" t="str">
        <v>Appartement</v>
      </c>
      <c r="W11" t="str">
        <v>Appartement</v>
      </c>
      <c r="X11" t="str">
        <v>Appartement 75-100 m²</v>
      </c>
      <c r="Y11" t="str">
        <v>Ja</v>
      </c>
      <c r="Z11" t="str">
        <v>eigen parkeerplaats</v>
      </c>
      <c r="AA11" t="str">
        <v>2026</v>
      </c>
      <c r="AB11" t="str">
        <v>Nee</v>
      </c>
      <c r="AC11" t="str">
        <v>NEE</v>
      </c>
      <c r="AD11" t="str">
        <v>JA</v>
      </c>
    </row>
    <row r="12">
      <c r="A12" t="str">
        <v>44424265</v>
      </c>
      <c r="B12" t="str">
        <v>https://www.funda.nl/detail/koop/breda/appartement-groot-ypelaardreef-12-bouwnr-a3/44424265/</v>
      </c>
      <c r="C12" t="str">
        <v>De YP | 6 nieuwbouw appartementen | Start verkoop augustus 2026 | Schrijf je in!</v>
      </c>
      <c r="D12" t="str">
        <v>Groot Ypelaardreef 12 -</v>
      </c>
      <c r="E12" t="str">
        <v>A3</v>
      </c>
      <c r="F12" t="str">
        <v>4834 HD</v>
      </c>
      <c r="G12" t="str">
        <v>Breda</v>
      </c>
      <c r="H12" t="str">
        <v>Breda</v>
      </c>
      <c r="I12" t="str">
        <v>Noord-Brabant</v>
      </c>
      <c r="J12" t="str">
        <v>Zuid-Nederland</v>
      </c>
      <c r="K12" t="str">
        <v>Te koop</v>
      </c>
      <c r="L12" t="str">
        <v>Onbekend</v>
      </c>
      <c r="M12" t="str">
        <v>Onbekend</v>
      </c>
      <c r="N12">
        <v>470000</v>
      </c>
      <c r="O12" t="str">
        <v>v.o.n.</v>
      </c>
      <c r="P12">
        <v>84</v>
      </c>
      <c r="Q12">
        <v>5595</v>
      </c>
      <c r="R12" t="str">
        <v>Onbekend</v>
      </c>
      <c r="S12" t="str">
        <v>A+++</v>
      </c>
      <c r="T12">
        <v>3</v>
      </c>
      <c r="U12">
        <v>2</v>
      </c>
      <c r="V12" t="str">
        <v>Appartement</v>
      </c>
      <c r="W12" t="str">
        <v>Appartement</v>
      </c>
      <c r="X12" t="str">
        <v>Appartement 75-100 m²</v>
      </c>
      <c r="Y12" t="str">
        <v>Ja</v>
      </c>
      <c r="Z12" t="str">
        <v>eigen parkeerplaats</v>
      </c>
      <c r="AA12" t="str">
        <v>2026</v>
      </c>
      <c r="AB12" t="str">
        <v>Nee</v>
      </c>
      <c r="AC12" t="str">
        <v>NEE</v>
      </c>
      <c r="AD12" t="str">
        <v>JA</v>
      </c>
    </row>
    <row r="13">
      <c r="A13" t="str">
        <v>44424152</v>
      </c>
      <c r="B13" t="str">
        <v>https://www.funda.nl/detail/koop/breda/appartement-groot-ypelaardreef-12-bouwnr-b3/44424152/</v>
      </c>
      <c r="C13" t="str">
        <v>De YP | 6 nieuwbouw appartementen | Start verkoop augustus 2026 | Schrijf je in!</v>
      </c>
      <c r="D13" t="str">
        <v>Groot Ypelaardreef 12 -</v>
      </c>
      <c r="E13" t="str">
        <v>B3</v>
      </c>
      <c r="F13" t="str">
        <v>4834 HD</v>
      </c>
      <c r="G13" t="str">
        <v>Breda</v>
      </c>
      <c r="H13" t="str">
        <v>Breda</v>
      </c>
      <c r="I13" t="str">
        <v>Noord-Brabant</v>
      </c>
      <c r="J13" t="str">
        <v>Zuid-Nederland</v>
      </c>
      <c r="K13" t="str">
        <v>Te koop</v>
      </c>
      <c r="L13" t="str">
        <v>Onbekend</v>
      </c>
      <c r="M13" t="str">
        <v>Onbekend</v>
      </c>
      <c r="N13">
        <v>465000</v>
      </c>
      <c r="O13" t="str">
        <v>v.o.n.</v>
      </c>
      <c r="P13">
        <v>80</v>
      </c>
      <c r="Q13">
        <v>5812</v>
      </c>
      <c r="R13" t="str">
        <v>Onbekend</v>
      </c>
      <c r="S13" t="str">
        <v>A+++</v>
      </c>
      <c r="T13">
        <v>3</v>
      </c>
      <c r="U13">
        <v>2</v>
      </c>
      <c r="V13" t="str">
        <v>Appartement</v>
      </c>
      <c r="W13" t="str">
        <v>Appartement</v>
      </c>
      <c r="X13" t="str">
        <v>Appartement 75-100 m²</v>
      </c>
      <c r="Y13" t="str">
        <v>Ja</v>
      </c>
      <c r="Z13" t="str">
        <v>eigen parkeerplaats</v>
      </c>
      <c r="AA13" t="str">
        <v>2026</v>
      </c>
      <c r="AB13" t="str">
        <v>Nee</v>
      </c>
      <c r="AC13" t="str">
        <v>NEE</v>
      </c>
      <c r="AD13" t="str">
        <v>JA</v>
      </c>
    </row>
    <row r="14">
      <c r="A14" t="str">
        <v>44424268</v>
      </c>
      <c r="B14" t="str">
        <v>https://www.funda.nl/detail/koop/breda/appartement-groot-ypelaardreef-12-bouwnr-b2/44424268/</v>
      </c>
      <c r="C14" t="str">
        <v>De YP | 6 nieuwbouw appartementen | Start verkoop augustus 2026 | Schrijf je in!</v>
      </c>
      <c r="D14" t="str">
        <v>Groot Ypelaardreef 12 -</v>
      </c>
      <c r="E14" t="str">
        <v>B2</v>
      </c>
      <c r="F14" t="str">
        <v>4834 HD</v>
      </c>
      <c r="G14" t="str">
        <v>Breda</v>
      </c>
      <c r="H14" t="str">
        <v>Breda</v>
      </c>
      <c r="I14" t="str">
        <v>Noord-Brabant</v>
      </c>
      <c r="J14" t="str">
        <v>Zuid-Nederland</v>
      </c>
      <c r="K14" t="str">
        <v>Te koop</v>
      </c>
      <c r="L14" t="str">
        <v>Onbekend</v>
      </c>
      <c r="M14" t="str">
        <v>Onbekend</v>
      </c>
      <c r="N14">
        <v>395000</v>
      </c>
      <c r="O14" t="str">
        <v>v.o.n.</v>
      </c>
      <c r="P14">
        <v>67</v>
      </c>
      <c r="Q14">
        <v>5896</v>
      </c>
      <c r="R14" t="str">
        <v>Onbekend</v>
      </c>
      <c r="S14" t="str">
        <v>A+++</v>
      </c>
      <c r="T14">
        <v>2</v>
      </c>
      <c r="U14">
        <v>1</v>
      </c>
      <c r="V14" t="str">
        <v>Appartement</v>
      </c>
      <c r="W14" t="str">
        <v>Appartement</v>
      </c>
      <c r="X14" t="str">
        <v>Appartement 50-75 m²</v>
      </c>
      <c r="Y14" t="str">
        <v>Ja</v>
      </c>
      <c r="Z14" t="str">
        <v>eigen parkeerplaats</v>
      </c>
      <c r="AA14" t="str">
        <v>2026</v>
      </c>
      <c r="AB14" t="str">
        <v>Nee</v>
      </c>
      <c r="AC14" t="str">
        <v>NEE</v>
      </c>
      <c r="AD14" t="str">
        <v>JA</v>
      </c>
    </row>
    <row r="15">
      <c r="A15" t="str">
        <v>44424263</v>
      </c>
      <c r="B15" t="str">
        <v>https://www.funda.nl/detail/koop/breda/appartement-groot-ypelaardreef-12-bouwnr-a2/44424263/</v>
      </c>
      <c r="C15" t="str">
        <v>De YP | 6 nieuwbouw appartementen | Start verkoop augustus 2026 | Schrijf je in!</v>
      </c>
      <c r="D15" t="str">
        <v>Groot Ypelaardreef 12 -</v>
      </c>
      <c r="E15" t="str">
        <v>A2</v>
      </c>
      <c r="F15" t="str">
        <v>4834 HD</v>
      </c>
      <c r="G15" t="str">
        <v>Breda</v>
      </c>
      <c r="H15" t="str">
        <v>Breda</v>
      </c>
      <c r="I15" t="str">
        <v>Noord-Brabant</v>
      </c>
      <c r="J15" t="str">
        <v>Zuid-Nederland</v>
      </c>
      <c r="K15" t="str">
        <v>Te koop</v>
      </c>
      <c r="L15" t="str">
        <v>Onbekend</v>
      </c>
      <c r="M15" t="str">
        <v>Onbekend</v>
      </c>
      <c r="N15">
        <v>390000</v>
      </c>
      <c r="O15" t="str">
        <v>v.o.n.</v>
      </c>
      <c r="P15">
        <v>67</v>
      </c>
      <c r="Q15">
        <v>5821</v>
      </c>
      <c r="R15" t="str">
        <v>Onbekend</v>
      </c>
      <c r="S15" t="str">
        <v>A+++</v>
      </c>
      <c r="T15">
        <v>2</v>
      </c>
      <c r="U15">
        <v>1</v>
      </c>
      <c r="V15" t="str">
        <v>Appartement</v>
      </c>
      <c r="W15" t="str">
        <v>Appartement</v>
      </c>
      <c r="X15" t="str">
        <v>Appartement 50-75 m²</v>
      </c>
      <c r="Y15" t="str">
        <v>Ja</v>
      </c>
      <c r="Z15" t="str">
        <v>eigen parkeerplaats</v>
      </c>
      <c r="AA15" t="str">
        <v>2026</v>
      </c>
      <c r="AB15" t="str">
        <v>Nee</v>
      </c>
      <c r="AC15" t="str">
        <v>NEE</v>
      </c>
      <c r="AD15" t="str">
        <v>JA</v>
      </c>
    </row>
    <row r="16">
      <c r="A16" t="str">
        <v>44424942</v>
      </c>
      <c r="B16" t="str">
        <v>https://www.funda.nl/detail/koop/waalre/appartement-b3-02-2kmr-s1-rudolf-brabantia-bouwnr-35/44424942/</v>
      </c>
      <c r="C16" t="str">
        <v>Brabantiapark - Waalre</v>
      </c>
      <c r="D16" t="str">
        <v>B3-02 | 2kmr | S1 | Rudolf | Brabantia</v>
      </c>
      <c r="E16" t="str">
        <v>35</v>
      </c>
      <c r="F16" t="str">
        <v>5583 BP</v>
      </c>
      <c r="G16" t="str">
        <v>Waalre</v>
      </c>
      <c r="H16" t="str">
        <v>Waalre</v>
      </c>
      <c r="I16" t="str">
        <v>Noord-Brabant</v>
      </c>
      <c r="J16" t="str">
        <v>Zuid-Nederland</v>
      </c>
      <c r="K16" t="str">
        <v>Te koop</v>
      </c>
      <c r="L16" t="str">
        <v>Onbekend</v>
      </c>
      <c r="M16" t="str">
        <v>Onbekend</v>
      </c>
      <c r="N16">
        <v>339000</v>
      </c>
      <c r="O16" t="str">
        <v>v.o.n.</v>
      </c>
      <c r="P16">
        <v>49</v>
      </c>
      <c r="Q16">
        <v>6918</v>
      </c>
      <c r="R16" t="str">
        <v>Onbekend</v>
      </c>
      <c r="S16" t="str">
        <v>A++</v>
      </c>
      <c r="T16">
        <v>2</v>
      </c>
      <c r="U16">
        <v>1</v>
      </c>
      <c r="V16" t="str">
        <v>Appartement</v>
      </c>
      <c r="W16" t="str">
        <v>Appartement</v>
      </c>
      <c r="X16" t="str">
        <v>Appartement &lt;50 m²</v>
      </c>
      <c r="Y16" t="str">
        <v>Ja</v>
      </c>
      <c r="Z16" t="str">
        <v>garage</v>
      </c>
      <c r="AA16" t="str">
        <v>2026</v>
      </c>
      <c r="AB16" t="str">
        <v>Nee</v>
      </c>
      <c r="AC16" t="str">
        <v>NEE</v>
      </c>
      <c r="AD16" t="str">
        <v>JA</v>
      </c>
    </row>
    <row r="17">
      <c r="A17" t="str">
        <v>44424941</v>
      </c>
      <c r="B17" t="str">
        <v>https://www.funda.nl/detail/koop/waalre/appartement-b2-16-penthouse-m-petrus-brabantia-bouwnr-33/44424941/</v>
      </c>
      <c r="C17" t="str">
        <v>Brabantiapark - Waalre</v>
      </c>
      <c r="D17" t="str">
        <v>B2-16 | Penthouse | M | Petrus | Brabantia</v>
      </c>
      <c r="E17" t="str">
        <v>33</v>
      </c>
      <c r="F17" t="str">
        <v>5583 BP</v>
      </c>
      <c r="G17" t="str">
        <v>Waalre</v>
      </c>
      <c r="H17" t="str">
        <v>Waalre</v>
      </c>
      <c r="I17" t="str">
        <v>Noord-Brabant</v>
      </c>
      <c r="J17" t="str">
        <v>Zuid-Nederland</v>
      </c>
      <c r="K17" t="str">
        <v>Te koop</v>
      </c>
      <c r="L17" t="str">
        <v>2026-07-09</v>
      </c>
      <c r="M17">
        <v>4</v>
      </c>
      <c r="N17">
        <v>1150000</v>
      </c>
      <c r="O17" t="str">
        <v>v.o.n.</v>
      </c>
      <c r="P17">
        <v>160</v>
      </c>
      <c r="Q17">
        <v>7188</v>
      </c>
      <c r="R17" t="str">
        <v>Onbekend</v>
      </c>
      <c r="S17" t="str">
        <v>A++</v>
      </c>
      <c r="T17">
        <v>5</v>
      </c>
      <c r="U17">
        <v>3</v>
      </c>
      <c r="V17" t="str">
        <v>Appartement</v>
      </c>
      <c r="W17" t="str">
        <v>Appartement</v>
      </c>
      <c r="X17" t="str">
        <v>Appartement &gt;100 m²</v>
      </c>
      <c r="Y17" t="str">
        <v>Ja</v>
      </c>
      <c r="Z17" t="str">
        <v>garage</v>
      </c>
      <c r="AA17" t="str">
        <v>2026</v>
      </c>
      <c r="AB17" t="str">
        <v>Nee</v>
      </c>
      <c r="AC17" t="str">
        <v>NEE</v>
      </c>
      <c r="AD17" t="str">
        <v>JA</v>
      </c>
    </row>
    <row r="18">
      <c r="A18" t="str">
        <v>44424940</v>
      </c>
      <c r="B18" t="str">
        <v>https://www.funda.nl/detail/koop/waalre/appartement-b3-01-2kmr-s1-rudolf-brabantia-bouwnr-34/44424940/</v>
      </c>
      <c r="C18" t="str">
        <v>Brabantiapark - Waalre</v>
      </c>
      <c r="D18" t="str">
        <v>B3-01 | 2kmr | S1 | Rudolf | Brabantia</v>
      </c>
      <c r="E18" t="str">
        <v>34</v>
      </c>
      <c r="F18" t="str">
        <v>5583 BP</v>
      </c>
      <c r="G18" t="str">
        <v>Waalre</v>
      </c>
      <c r="H18" t="str">
        <v>Waalre</v>
      </c>
      <c r="I18" t="str">
        <v>Noord-Brabant</v>
      </c>
      <c r="J18" t="str">
        <v>Zuid-Nederland</v>
      </c>
      <c r="K18" t="str">
        <v>Te koop</v>
      </c>
      <c r="L18" t="str">
        <v>Onbekend</v>
      </c>
      <c r="M18" t="str">
        <v>Onbekend</v>
      </c>
      <c r="N18">
        <v>339000</v>
      </c>
      <c r="O18" t="str">
        <v>v.o.n.</v>
      </c>
      <c r="P18">
        <v>49</v>
      </c>
      <c r="Q18">
        <v>6918</v>
      </c>
      <c r="R18" t="str">
        <v>Onbekend</v>
      </c>
      <c r="S18" t="str">
        <v>A++</v>
      </c>
      <c r="T18">
        <v>2</v>
      </c>
      <c r="U18">
        <v>1</v>
      </c>
      <c r="V18" t="str">
        <v>Appartement</v>
      </c>
      <c r="W18" t="str">
        <v>Appartement</v>
      </c>
      <c r="X18" t="str">
        <v>Appartement &lt;50 m²</v>
      </c>
      <c r="Y18" t="str">
        <v>Ja</v>
      </c>
      <c r="Z18" t="str">
        <v>garage</v>
      </c>
      <c r="AA18" t="str">
        <v>2026</v>
      </c>
      <c r="AB18" t="str">
        <v>Nee</v>
      </c>
      <c r="AC18" t="str">
        <v>NEE</v>
      </c>
      <c r="AD18" t="str">
        <v>JA</v>
      </c>
    </row>
    <row r="19">
      <c r="A19" t="str">
        <v>44424944</v>
      </c>
      <c r="B19" t="str">
        <v>https://www.funda.nl/detail/koop/waalre/appartement-b3-05-2kmr-s1-rudolf-brabantia-bouwnr-38/44424944/</v>
      </c>
      <c r="C19" t="str">
        <v>Brabantiapark - Waalre</v>
      </c>
      <c r="D19" t="str">
        <v>B3-05 | 2kmr | S1 | Rudolf | Brabantia</v>
      </c>
      <c r="E19" t="str">
        <v>38</v>
      </c>
      <c r="F19" t="str">
        <v>5583 BP</v>
      </c>
      <c r="G19" t="str">
        <v>Waalre</v>
      </c>
      <c r="H19" t="str">
        <v>Waalre</v>
      </c>
      <c r="I19" t="str">
        <v>Noord-Brabant</v>
      </c>
      <c r="J19" t="str">
        <v>Zuid-Nederland</v>
      </c>
      <c r="K19" t="str">
        <v>Te koop</v>
      </c>
      <c r="L19" t="str">
        <v>Onbekend</v>
      </c>
      <c r="M19" t="str">
        <v>Onbekend</v>
      </c>
      <c r="N19">
        <v>345500</v>
      </c>
      <c r="O19" t="str">
        <v>v.o.n.</v>
      </c>
      <c r="P19">
        <v>49</v>
      </c>
      <c r="Q19">
        <v>7051</v>
      </c>
      <c r="R19" t="str">
        <v>Onbekend</v>
      </c>
      <c r="S19" t="str">
        <v>A++</v>
      </c>
      <c r="T19">
        <v>2</v>
      </c>
      <c r="U19">
        <v>1</v>
      </c>
      <c r="V19" t="str">
        <v>Appartement</v>
      </c>
      <c r="W19" t="str">
        <v>Appartement</v>
      </c>
      <c r="X19" t="str">
        <v>Appartement &lt;50 m²</v>
      </c>
      <c r="Y19" t="str">
        <v>Ja</v>
      </c>
      <c r="Z19" t="str">
        <v>garage</v>
      </c>
      <c r="AA19" t="str">
        <v>2026</v>
      </c>
      <c r="AB19" t="str">
        <v>Nee</v>
      </c>
      <c r="AC19" t="str">
        <v>NEE</v>
      </c>
      <c r="AD19" t="str">
        <v>JA</v>
      </c>
    </row>
    <row r="20">
      <c r="A20" t="str">
        <v>44424933</v>
      </c>
      <c r="B20" t="str">
        <v>https://www.funda.nl/detail/koop/waalre/appartement-b3-08-2kmr-s1-rudolf-brabantia-bouwnr-41/44424933/</v>
      </c>
      <c r="C20" t="str">
        <v>Brabantiapark - Waalre</v>
      </c>
      <c r="D20" t="str">
        <v>B3-08 | 2kmr | S1 | Rudolf | Brabantia</v>
      </c>
      <c r="E20" t="str">
        <v>41</v>
      </c>
      <c r="F20" t="str">
        <v>5583 BP</v>
      </c>
      <c r="G20" t="str">
        <v>Waalre</v>
      </c>
      <c r="H20" t="str">
        <v>Waalre</v>
      </c>
      <c r="I20" t="str">
        <v>Noord-Brabant</v>
      </c>
      <c r="J20" t="str">
        <v>Zuid-Nederland</v>
      </c>
      <c r="K20" t="str">
        <v>Te koop</v>
      </c>
      <c r="L20" t="str">
        <v>Onbekend</v>
      </c>
      <c r="M20" t="str">
        <v>Onbekend</v>
      </c>
      <c r="N20">
        <v>345500</v>
      </c>
      <c r="O20" t="str">
        <v>v.o.n.</v>
      </c>
      <c r="P20">
        <v>49</v>
      </c>
      <c r="Q20">
        <v>7051</v>
      </c>
      <c r="R20" t="str">
        <v>Onbekend</v>
      </c>
      <c r="S20" t="str">
        <v>A++</v>
      </c>
      <c r="T20">
        <v>2</v>
      </c>
      <c r="U20">
        <v>1</v>
      </c>
      <c r="V20" t="str">
        <v>Appartement</v>
      </c>
      <c r="W20" t="str">
        <v>Appartement</v>
      </c>
      <c r="X20" t="str">
        <v>Appartement &lt;50 m²</v>
      </c>
      <c r="Y20" t="str">
        <v>Ja</v>
      </c>
      <c r="Z20" t="str">
        <v>garage</v>
      </c>
      <c r="AA20" t="str">
        <v>2026</v>
      </c>
      <c r="AB20" t="str">
        <v>Nee</v>
      </c>
      <c r="AC20" t="str">
        <v>NEE</v>
      </c>
      <c r="AD20" t="str">
        <v>JA</v>
      </c>
    </row>
    <row r="21">
      <c r="A21" t="str">
        <v>44424925</v>
      </c>
      <c r="B21" t="str">
        <v>https://www.funda.nl/detail/koop/waalre/appartement-b1-17-penthouse-k-dorus-brabantia-bouwnr-17/44424925/</v>
      </c>
      <c r="C21" t="str">
        <v>Brabantiapark - Waalre</v>
      </c>
      <c r="D21" t="str">
        <v>B1-17 | Penthouse | K | Dorus | Brabantia</v>
      </c>
      <c r="E21" t="str">
        <v>17</v>
      </c>
      <c r="F21" t="str">
        <v>5583 BP</v>
      </c>
      <c r="G21" t="str">
        <v>Waalre</v>
      </c>
      <c r="H21" t="str">
        <v>Waalre</v>
      </c>
      <c r="I21" t="str">
        <v>Noord-Brabant</v>
      </c>
      <c r="J21" t="str">
        <v>Zuid-Nederland</v>
      </c>
      <c r="K21" t="str">
        <v>Te koop</v>
      </c>
      <c r="L21" t="str">
        <v>Onbekend</v>
      </c>
      <c r="M21" t="str">
        <v>Onbekend</v>
      </c>
      <c r="N21">
        <v>1225000</v>
      </c>
      <c r="O21" t="str">
        <v>v.o.n.</v>
      </c>
      <c r="P21">
        <v>177</v>
      </c>
      <c r="Q21">
        <v>6921</v>
      </c>
      <c r="R21" t="str">
        <v>Onbekend</v>
      </c>
      <c r="S21" t="str">
        <v>A++</v>
      </c>
      <c r="T21">
        <v>4</v>
      </c>
      <c r="U21">
        <v>3</v>
      </c>
      <c r="V21" t="str">
        <v>Appartement</v>
      </c>
      <c r="W21" t="str">
        <v>Appartement</v>
      </c>
      <c r="X21" t="str">
        <v>Appartement &gt;100 m²</v>
      </c>
      <c r="Y21" t="str">
        <v>Ja</v>
      </c>
      <c r="Z21" t="str">
        <v>garage</v>
      </c>
      <c r="AA21" t="str">
        <v>2026</v>
      </c>
      <c r="AB21" t="str">
        <v>Nee</v>
      </c>
      <c r="AC21" t="str">
        <v>NEE</v>
      </c>
      <c r="AD21" t="str">
        <v>JA</v>
      </c>
    </row>
    <row r="22">
      <c r="A22" t="str">
        <v>44424079</v>
      </c>
      <c r="B22" t="str">
        <v>https://www.funda.nl/detail/koop/waalre/appartement-b3-21-2kmr-s5-rudolf-brabantia-bouwnr-54/44424079/</v>
      </c>
      <c r="C22" t="str">
        <v>Brabantiapark - Waalre</v>
      </c>
      <c r="D22" t="str">
        <v>B3-21 | 2kmr | S5 | Rudolf | Brabantia</v>
      </c>
      <c r="E22" t="str">
        <v>54</v>
      </c>
      <c r="F22" t="str">
        <v>5583 BP</v>
      </c>
      <c r="G22" t="str">
        <v>Waalre</v>
      </c>
      <c r="H22" t="str">
        <v>Waalre</v>
      </c>
      <c r="I22" t="str">
        <v>Noord-Brabant</v>
      </c>
      <c r="J22" t="str">
        <v>Zuid-Nederland</v>
      </c>
      <c r="K22" t="str">
        <v>Te koop</v>
      </c>
      <c r="L22" t="str">
        <v>Onbekend</v>
      </c>
      <c r="M22" t="str">
        <v>Onbekend</v>
      </c>
      <c r="N22">
        <v>337000</v>
      </c>
      <c r="O22" t="str">
        <v>v.o.n.</v>
      </c>
      <c r="P22">
        <v>49</v>
      </c>
      <c r="Q22">
        <v>6878</v>
      </c>
      <c r="R22" t="str">
        <v>Onbekend</v>
      </c>
      <c r="S22" t="str">
        <v>A++</v>
      </c>
      <c r="T22">
        <v>2</v>
      </c>
      <c r="U22">
        <v>1</v>
      </c>
      <c r="V22" t="str">
        <v>Appartement</v>
      </c>
      <c r="W22" t="str">
        <v>Appartement</v>
      </c>
      <c r="X22" t="str">
        <v>Appartement &lt;50 m²</v>
      </c>
      <c r="Y22" t="str">
        <v>Ja</v>
      </c>
      <c r="Z22" t="str">
        <v>garage</v>
      </c>
      <c r="AA22" t="str">
        <v>2026</v>
      </c>
      <c r="AB22" t="str">
        <v>Nee</v>
      </c>
      <c r="AC22" t="str">
        <v>NEE</v>
      </c>
      <c r="AD22" t="str">
        <v>JA</v>
      </c>
    </row>
    <row r="23">
      <c r="A23" t="str">
        <v>44424077</v>
      </c>
      <c r="B23" t="str">
        <v>https://www.funda.nl/detail/koop/waalre/appartement-b3-28-2kmr-s5-rudolf-brabantia-bouwnr-61/44424077/</v>
      </c>
      <c r="C23" t="str">
        <v>Brabantiapark - Waalre</v>
      </c>
      <c r="D23" t="str">
        <v>B3-28 | 2kmr | S5 | Rudolf | Brabantia</v>
      </c>
      <c r="E23" t="str">
        <v>61</v>
      </c>
      <c r="F23" t="str">
        <v>5583 BP</v>
      </c>
      <c r="G23" t="str">
        <v>Waalre</v>
      </c>
      <c r="H23" t="str">
        <v>Waalre</v>
      </c>
      <c r="I23" t="str">
        <v>Noord-Brabant</v>
      </c>
      <c r="J23" t="str">
        <v>Zuid-Nederland</v>
      </c>
      <c r="K23" t="str">
        <v>Te koop</v>
      </c>
      <c r="L23" t="str">
        <v>Onbekend</v>
      </c>
      <c r="M23" t="str">
        <v>Onbekend</v>
      </c>
      <c r="N23">
        <v>337000</v>
      </c>
      <c r="O23" t="str">
        <v>v.o.n.</v>
      </c>
      <c r="P23">
        <v>49</v>
      </c>
      <c r="Q23">
        <v>6878</v>
      </c>
      <c r="R23" t="str">
        <v>Onbekend</v>
      </c>
      <c r="S23" t="str">
        <v>A++</v>
      </c>
      <c r="T23">
        <v>2</v>
      </c>
      <c r="U23">
        <v>1</v>
      </c>
      <c r="V23" t="str">
        <v>Appartement</v>
      </c>
      <c r="W23" t="str">
        <v>Appartement</v>
      </c>
      <c r="X23" t="str">
        <v>Appartement &lt;50 m²</v>
      </c>
      <c r="Y23" t="str">
        <v>Ja</v>
      </c>
      <c r="Z23" t="str">
        <v>garage</v>
      </c>
      <c r="AA23" t="str">
        <v>2026</v>
      </c>
      <c r="AB23" t="str">
        <v>Nee</v>
      </c>
      <c r="AC23" t="str">
        <v>NEE</v>
      </c>
      <c r="AD23" t="str">
        <v>JA</v>
      </c>
    </row>
    <row r="24">
      <c r="A24" t="str">
        <v>44424076</v>
      </c>
      <c r="B24" t="str">
        <v>https://www.funda.nl/detail/koop/waalre/appartement-b3-26-2kmr-s4-rudolf-brabantia-bouwnr-59/44424076/</v>
      </c>
      <c r="C24" t="str">
        <v>Brabantiapark - Waalre</v>
      </c>
      <c r="D24" t="str">
        <v>B3-26 | 2kmr | S4 | Rudolf | Brabantia</v>
      </c>
      <c r="E24" t="str">
        <v>59</v>
      </c>
      <c r="F24" t="str">
        <v>5583 BP</v>
      </c>
      <c r="G24" t="str">
        <v>Waalre</v>
      </c>
      <c r="H24" t="str">
        <v>Waalre</v>
      </c>
      <c r="I24" t="str">
        <v>Noord-Brabant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332500</v>
      </c>
      <c r="O24" t="str">
        <v>v.o.n.</v>
      </c>
      <c r="P24">
        <v>49</v>
      </c>
      <c r="Q24">
        <v>6786</v>
      </c>
      <c r="R24" t="str">
        <v>Onbekend</v>
      </c>
      <c r="S24" t="str">
        <v>A++</v>
      </c>
      <c r="T24">
        <v>2</v>
      </c>
      <c r="U24">
        <v>1</v>
      </c>
      <c r="V24" t="str">
        <v>Appartement</v>
      </c>
      <c r="W24" t="str">
        <v>Appartement</v>
      </c>
      <c r="X24" t="str">
        <v>Appartement &lt;50 m²</v>
      </c>
      <c r="Y24" t="str">
        <v>Ja</v>
      </c>
      <c r="Z24" t="str">
        <v>garage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44424075</v>
      </c>
      <c r="B25" t="str">
        <v>https://www.funda.nl/detail/koop/waalre/appartement-b3-29-2kmr-s4-rudolf-brabantia-bouwnr-62/44424075/</v>
      </c>
      <c r="C25" t="str">
        <v>Brabantiapark - Waalre</v>
      </c>
      <c r="D25" t="str">
        <v>B3-29 | 2kmr | S4 | Rudolf | Brabantia</v>
      </c>
      <c r="E25" t="str">
        <v>62</v>
      </c>
      <c r="F25" t="str">
        <v>5583 BP</v>
      </c>
      <c r="G25" t="str">
        <v>Waalre</v>
      </c>
      <c r="H25" t="str">
        <v>Waalre</v>
      </c>
      <c r="I25" t="str">
        <v>Noord-Brabant</v>
      </c>
      <c r="J25" t="str">
        <v>Zuid-Nederland</v>
      </c>
      <c r="K25" t="str">
        <v>Te koop</v>
      </c>
      <c r="L25" t="str">
        <v>Onbekend</v>
      </c>
      <c r="M25" t="str">
        <v>Onbekend</v>
      </c>
      <c r="N25">
        <v>337000</v>
      </c>
      <c r="O25" t="str">
        <v>v.o.n.</v>
      </c>
      <c r="P25">
        <v>49</v>
      </c>
      <c r="Q25">
        <v>6878</v>
      </c>
      <c r="R25" t="str">
        <v>Onbekend</v>
      </c>
      <c r="S25" t="str">
        <v>A++</v>
      </c>
      <c r="T25">
        <v>2</v>
      </c>
      <c r="U25">
        <v>1</v>
      </c>
      <c r="V25" t="str">
        <v>Appartement</v>
      </c>
      <c r="W25" t="str">
        <v>Appartement</v>
      </c>
      <c r="X25" t="str">
        <v>Appartement &lt;50 m²</v>
      </c>
      <c r="Y25" t="str">
        <v>Ja</v>
      </c>
      <c r="Z25" t="str">
        <v>garage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44424074</v>
      </c>
      <c r="B26" t="str">
        <v>https://www.funda.nl/detail/koop/waalre/appartement-b3-15-2kmr-s5-rudolf-brabantia-bouwnr-48/44424074/</v>
      </c>
      <c r="C26" t="str">
        <v>Brabantiapark - Waalre</v>
      </c>
      <c r="D26" t="str">
        <v>B3-15 | 2kmr | S5 | Rudolf | Brabantia</v>
      </c>
      <c r="E26" t="str">
        <v>48</v>
      </c>
      <c r="F26" t="str">
        <v>5583 BP</v>
      </c>
      <c r="G26" t="str">
        <v>Waalre</v>
      </c>
      <c r="H26" t="str">
        <v>Waalre</v>
      </c>
      <c r="I26" t="str">
        <v>Noord-Brabant</v>
      </c>
      <c r="J26" t="str">
        <v>Zuid-Nederland</v>
      </c>
      <c r="K26" t="str">
        <v>Te koop</v>
      </c>
      <c r="L26" t="str">
        <v>Onbekend</v>
      </c>
      <c r="M26" t="str">
        <v>Onbekend</v>
      </c>
      <c r="N26">
        <v>335500</v>
      </c>
      <c r="O26" t="str">
        <v>v.o.n.</v>
      </c>
      <c r="P26">
        <v>49</v>
      </c>
      <c r="Q26">
        <v>6847</v>
      </c>
      <c r="R26" t="str">
        <v>Onbekend</v>
      </c>
      <c r="S26" t="str">
        <v>A++</v>
      </c>
      <c r="T26">
        <v>2</v>
      </c>
      <c r="U26">
        <v>1</v>
      </c>
      <c r="V26" t="str">
        <v>Appartement</v>
      </c>
      <c r="W26" t="str">
        <v>Appartement</v>
      </c>
      <c r="X26" t="str">
        <v>Appartement &lt;50 m²</v>
      </c>
      <c r="Y26" t="str">
        <v>Ja</v>
      </c>
      <c r="Z26" t="str">
        <v>garage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44424073</v>
      </c>
      <c r="B27" t="str">
        <v>https://www.funda.nl/detail/koop/waalre/appartement-b3-22-2kmr-s5-rudolf-brabantia-bouwnr-55/44424073/</v>
      </c>
      <c r="C27" t="str">
        <v>Brabantiapark - Waalre</v>
      </c>
      <c r="D27" t="str">
        <v>B3-22 | 2kmr | S5 | Rudolf | Brabantia</v>
      </c>
      <c r="E27" t="str">
        <v>55</v>
      </c>
      <c r="F27" t="str">
        <v>5583 BP</v>
      </c>
      <c r="G27" t="str">
        <v>Waalre</v>
      </c>
      <c r="H27" t="str">
        <v>Waalre</v>
      </c>
      <c r="I27" t="str">
        <v>Noord-Brabant</v>
      </c>
      <c r="J27" t="str">
        <v>Zuid-Nederland</v>
      </c>
      <c r="K27" t="str">
        <v>Te koop</v>
      </c>
      <c r="L27" t="str">
        <v>Onbekend</v>
      </c>
      <c r="M27" t="str">
        <v>Onbekend</v>
      </c>
      <c r="N27">
        <v>337000</v>
      </c>
      <c r="O27" t="str">
        <v>v.o.n.</v>
      </c>
      <c r="P27">
        <v>49</v>
      </c>
      <c r="Q27">
        <v>6878</v>
      </c>
      <c r="R27" t="str">
        <v>Onbekend</v>
      </c>
      <c r="S27" t="str">
        <v>A++</v>
      </c>
      <c r="T27">
        <v>2</v>
      </c>
      <c r="U27">
        <v>1</v>
      </c>
      <c r="V27" t="str">
        <v>Appartement</v>
      </c>
      <c r="W27" t="str">
        <v>Appartement</v>
      </c>
      <c r="X27" t="str">
        <v>Appartement &lt;50 m²</v>
      </c>
      <c r="Y27" t="str">
        <v>Ja</v>
      </c>
      <c r="Z27" t="str">
        <v>garage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44424062</v>
      </c>
      <c r="B28" t="str">
        <v>https://www.funda.nl/detail/koop/waalre/appartement-b3-32-2kmr-s4-rudolf-brabantia-bouwnr-65/44424062/</v>
      </c>
      <c r="C28" t="str">
        <v>Brabantiapark - Waalre</v>
      </c>
      <c r="D28" t="str">
        <v>B3-32 | 2kmr | S4 | Rudolf | Brabantia</v>
      </c>
      <c r="E28" t="str">
        <v>65</v>
      </c>
      <c r="F28" t="str">
        <v>5583 BP</v>
      </c>
      <c r="G28" t="str">
        <v>Waalre</v>
      </c>
      <c r="H28" t="str">
        <v>Waalre</v>
      </c>
      <c r="I28" t="str">
        <v>Noord-Brabant</v>
      </c>
      <c r="J28" t="str">
        <v>Zuid-Nederland</v>
      </c>
      <c r="K28" t="str">
        <v>Te koop</v>
      </c>
      <c r="L28" t="str">
        <v>Onbekend</v>
      </c>
      <c r="M28" t="str">
        <v>Onbekend</v>
      </c>
      <c r="N28">
        <v>337000</v>
      </c>
      <c r="O28" t="str">
        <v>v.o.n.</v>
      </c>
      <c r="P28">
        <v>49</v>
      </c>
      <c r="Q28">
        <v>6878</v>
      </c>
      <c r="R28" t="str">
        <v>Onbekend</v>
      </c>
      <c r="S28" t="str">
        <v>A++</v>
      </c>
      <c r="T28">
        <v>2</v>
      </c>
      <c r="U28">
        <v>1</v>
      </c>
      <c r="V28" t="str">
        <v>Appartement</v>
      </c>
      <c r="W28" t="str">
        <v>Appartement</v>
      </c>
      <c r="X28" t="str">
        <v>Appartement &lt;50 m²</v>
      </c>
      <c r="Y28" t="str">
        <v>Ja</v>
      </c>
      <c r="Z28" t="str">
        <v>garage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44424061</v>
      </c>
      <c r="B29" t="str">
        <v>https://www.funda.nl/detail/koop/waalre/appartement-b3-33-2kmr-s5-rudolf-brabantia-bouwnr-66/44424061/</v>
      </c>
      <c r="C29" t="str">
        <v>Brabantiapark - Waalre</v>
      </c>
      <c r="D29" t="str">
        <v>B3-33 | 2kmr | S5 | Rudolf | Brabantia</v>
      </c>
      <c r="E29" t="str">
        <v>66</v>
      </c>
      <c r="F29" t="str">
        <v>5583 BP</v>
      </c>
      <c r="G29" t="str">
        <v>Waalre</v>
      </c>
      <c r="H29" t="str">
        <v>Waalre</v>
      </c>
      <c r="I29" t="str">
        <v>Noord-Brabant</v>
      </c>
      <c r="J29" t="str">
        <v>Zuid-Nederland</v>
      </c>
      <c r="K29" t="str">
        <v>Te koop</v>
      </c>
      <c r="L29" t="str">
        <v>Onbekend</v>
      </c>
      <c r="M29" t="str">
        <v>Onbekend</v>
      </c>
      <c r="N29">
        <v>338500</v>
      </c>
      <c r="O29" t="str">
        <v>v.o.n.</v>
      </c>
      <c r="P29">
        <v>49</v>
      </c>
      <c r="Q29">
        <v>6908</v>
      </c>
      <c r="R29" t="str">
        <v>Onbekend</v>
      </c>
      <c r="S29" t="str">
        <v>A++</v>
      </c>
      <c r="T29">
        <v>2</v>
      </c>
      <c r="U29">
        <v>1</v>
      </c>
      <c r="V29" t="str">
        <v>Appartement</v>
      </c>
      <c r="W29" t="str">
        <v>Appartement</v>
      </c>
      <c r="X29" t="str">
        <v>Appartement &lt;50 m²</v>
      </c>
      <c r="Y29" t="str">
        <v>Ja</v>
      </c>
      <c r="Z29" t="str">
        <v>garage</v>
      </c>
      <c r="AA29" t="str">
        <v>2026</v>
      </c>
      <c r="AB29" t="str">
        <v>Nee</v>
      </c>
      <c r="AC29" t="str">
        <v>NEE</v>
      </c>
      <c r="AD29" t="str">
        <v>JA</v>
      </c>
    </row>
    <row r="30">
      <c r="A30" t="str">
        <v>44424060</v>
      </c>
      <c r="B30" t="str">
        <v>https://www.funda.nl/detail/koop/waalre/appartement-b3-27-2kmr-s5-rudolf-brabantia-bouwnr-60/44424060/</v>
      </c>
      <c r="C30" t="str">
        <v>Brabantiapark - Waalre</v>
      </c>
      <c r="D30" t="str">
        <v>B3-27 | 2kmr | S5 | Rudolf | Brabantia</v>
      </c>
      <c r="E30" t="str">
        <v>60</v>
      </c>
      <c r="F30" t="str">
        <v>5583 BP</v>
      </c>
      <c r="G30" t="str">
        <v>Waalre</v>
      </c>
      <c r="H30" t="str">
        <v>Waalre</v>
      </c>
      <c r="I30" t="str">
        <v>Noord-Brabant</v>
      </c>
      <c r="J30" t="str">
        <v>Zuid-Nederland</v>
      </c>
      <c r="K30" t="str">
        <v>Te koop</v>
      </c>
      <c r="L30" t="str">
        <v>Onbekend</v>
      </c>
      <c r="M30" t="str">
        <v>Onbekend</v>
      </c>
      <c r="N30">
        <v>337000</v>
      </c>
      <c r="O30" t="str">
        <v>v.o.n.</v>
      </c>
      <c r="P30">
        <v>49</v>
      </c>
      <c r="Q30">
        <v>6878</v>
      </c>
      <c r="R30" t="str">
        <v>Onbekend</v>
      </c>
      <c r="S30" t="str">
        <v>A++</v>
      </c>
      <c r="T30">
        <v>2</v>
      </c>
      <c r="U30">
        <v>1</v>
      </c>
      <c r="V30" t="str">
        <v>Appartement</v>
      </c>
      <c r="W30" t="str">
        <v>Appartement</v>
      </c>
      <c r="X30" t="str">
        <v>Appartement &lt;50 m²</v>
      </c>
      <c r="Y30" t="str">
        <v>Ja</v>
      </c>
      <c r="Z30" t="str">
        <v>garage</v>
      </c>
      <c r="AA30" t="str">
        <v>2026</v>
      </c>
      <c r="AB30" t="str">
        <v>Nee</v>
      </c>
      <c r="AC30" t="str">
        <v>NEE</v>
      </c>
      <c r="AD30" t="str">
        <v>JA</v>
      </c>
    </row>
    <row r="31">
      <c r="A31" t="str">
        <v>44424069</v>
      </c>
      <c r="B31" t="str">
        <v>https://www.funda.nl/detail/koop/waalre/appartement-b3-16-2kmr-s5-rudolf-brabantia-bouwnr-49/44424069/</v>
      </c>
      <c r="C31" t="str">
        <v>Brabantiapark - Waalre</v>
      </c>
      <c r="D31" t="str">
        <v>B3-16 | 2kmr | S5 | Rudolf | Brabantia</v>
      </c>
      <c r="E31" t="str">
        <v>49</v>
      </c>
      <c r="F31" t="str">
        <v>5583 BP</v>
      </c>
      <c r="G31" t="str">
        <v>Waalre</v>
      </c>
      <c r="H31" t="str">
        <v>Waalre</v>
      </c>
      <c r="I31" t="str">
        <v>Noord-Brabant</v>
      </c>
      <c r="J31" t="str">
        <v>Zuid-Nederland</v>
      </c>
      <c r="K31" t="str">
        <v>Te koop</v>
      </c>
      <c r="L31" t="str">
        <v>Onbekend</v>
      </c>
      <c r="M31" t="str">
        <v>Onbekend</v>
      </c>
      <c r="N31">
        <v>335500</v>
      </c>
      <c r="O31" t="str">
        <v>v.o.n.</v>
      </c>
      <c r="P31">
        <v>49</v>
      </c>
      <c r="Q31">
        <v>6847</v>
      </c>
      <c r="R31" t="str">
        <v>Onbekend</v>
      </c>
      <c r="S31" t="str">
        <v>A++</v>
      </c>
      <c r="T31">
        <v>2</v>
      </c>
      <c r="U31">
        <v>1</v>
      </c>
      <c r="V31" t="str">
        <v>Appartement</v>
      </c>
      <c r="W31" t="str">
        <v>Appartement</v>
      </c>
      <c r="X31" t="str">
        <v>Appartement &lt;50 m²</v>
      </c>
      <c r="Y31" t="str">
        <v>Ja</v>
      </c>
      <c r="Z31" t="str">
        <v>garage</v>
      </c>
      <c r="AA31" t="str">
        <v>2026</v>
      </c>
      <c r="AB31" t="str">
        <v>Nee</v>
      </c>
      <c r="AC31" t="str">
        <v>NEE</v>
      </c>
      <c r="AD31" t="str">
        <v>JA</v>
      </c>
    </row>
    <row r="32">
      <c r="A32" t="str">
        <v>44424068</v>
      </c>
      <c r="B32" t="str">
        <v>https://www.funda.nl/detail/koop/waalre/appartement-b3-34-2kmr-s5-rudolf-brabantia-bouwnr-67/44424068/</v>
      </c>
      <c r="C32" t="str">
        <v>Brabantiapark - Waalre</v>
      </c>
      <c r="D32" t="str">
        <v>B3-34 | 2kmr | S5 | Rudolf | Brabantia</v>
      </c>
      <c r="E32" t="str">
        <v>67</v>
      </c>
      <c r="F32" t="str">
        <v>5583 BP</v>
      </c>
      <c r="G32" t="str">
        <v>Waalre</v>
      </c>
      <c r="H32" t="str">
        <v>Waalre</v>
      </c>
      <c r="I32" t="str">
        <v>Noord-Brabant</v>
      </c>
      <c r="J32" t="str">
        <v>Zuid-Nederland</v>
      </c>
      <c r="K32" t="str">
        <v>Te koop</v>
      </c>
      <c r="L32" t="str">
        <v>2026-07-09</v>
      </c>
      <c r="M32">
        <v>4</v>
      </c>
      <c r="N32">
        <v>338500</v>
      </c>
      <c r="O32" t="str">
        <v>v.o.n.</v>
      </c>
      <c r="P32">
        <v>49</v>
      </c>
      <c r="Q32">
        <v>6908</v>
      </c>
      <c r="R32" t="str">
        <v>Onbekend</v>
      </c>
      <c r="S32" t="str">
        <v>A++</v>
      </c>
      <c r="T32">
        <v>2</v>
      </c>
      <c r="U32">
        <v>1</v>
      </c>
      <c r="V32" t="str">
        <v>Appartement</v>
      </c>
      <c r="W32" t="str">
        <v>Appartement</v>
      </c>
      <c r="X32" t="str">
        <v>Appartement &lt;50 m²</v>
      </c>
      <c r="Y32" t="str">
        <v>Ja</v>
      </c>
      <c r="Z32" t="str">
        <v>garage</v>
      </c>
      <c r="AA32" t="str">
        <v>2026</v>
      </c>
      <c r="AB32" t="str">
        <v>Nee</v>
      </c>
      <c r="AC32" t="str">
        <v>NEE</v>
      </c>
      <c r="AD32" t="str">
        <v>JA</v>
      </c>
    </row>
    <row r="33">
      <c r="A33" t="str">
        <v>44424063</v>
      </c>
      <c r="B33" t="str">
        <v>https://www.funda.nl/detail/koop/waalre/appartement-b3-25-2kmr-s3-rudolf-brabantia-bouwnr-58/44424063/</v>
      </c>
      <c r="C33" t="str">
        <v>Brabantiapark - Waalre</v>
      </c>
      <c r="D33" t="str">
        <v>B3-25 | 2kmr | S3 | Rudolf | Brabantia</v>
      </c>
      <c r="E33" t="str">
        <v>58</v>
      </c>
      <c r="F33" t="str">
        <v>5583 BP</v>
      </c>
      <c r="G33" t="str">
        <v>Waalre</v>
      </c>
      <c r="H33" t="str">
        <v>Waalre</v>
      </c>
      <c r="I33" t="str">
        <v>Noord-Brabant</v>
      </c>
      <c r="J33" t="str">
        <v>Zuid-Nederland</v>
      </c>
      <c r="K33" t="str">
        <v>Te koop</v>
      </c>
      <c r="L33" t="str">
        <v>Onbekend</v>
      </c>
      <c r="M33" t="str">
        <v>Onbekend</v>
      </c>
      <c r="N33">
        <v>333500</v>
      </c>
      <c r="O33" t="str">
        <v>v.o.n.</v>
      </c>
      <c r="P33">
        <v>49</v>
      </c>
      <c r="Q33">
        <v>6806</v>
      </c>
      <c r="R33" t="str">
        <v>Onbekend</v>
      </c>
      <c r="S33" t="str">
        <v>A++</v>
      </c>
      <c r="T33">
        <v>2</v>
      </c>
      <c r="U33">
        <v>1</v>
      </c>
      <c r="V33" t="str">
        <v>Appartement</v>
      </c>
      <c r="W33" t="str">
        <v>Appartement</v>
      </c>
      <c r="X33" t="str">
        <v>Appartement &lt;50 m²</v>
      </c>
      <c r="Y33" t="str">
        <v>Ja</v>
      </c>
      <c r="Z33" t="str">
        <v>garage</v>
      </c>
      <c r="AA33" t="str">
        <v>2026</v>
      </c>
      <c r="AB33" t="str">
        <v>Nee</v>
      </c>
      <c r="AC33" t="str">
        <v>NEE</v>
      </c>
      <c r="AD33" t="str">
        <v>JA</v>
      </c>
    </row>
    <row r="34">
      <c r="A34" t="str">
        <v>44424952</v>
      </c>
      <c r="B34" t="str">
        <v>https://www.funda.nl/detail/koop/waalre/appartement-b3-24-2kmr-s3-rudolf-brabantia-bouwnr-57/44424952/</v>
      </c>
      <c r="C34" t="str">
        <v>Brabantiapark - Waalre</v>
      </c>
      <c r="D34" t="str">
        <v>B3-24 | 2kmr | S3 | Rudolf | Brabantia</v>
      </c>
      <c r="E34" t="str">
        <v>57</v>
      </c>
      <c r="F34" t="str">
        <v>5583 BP</v>
      </c>
      <c r="G34" t="str">
        <v>Waalre</v>
      </c>
      <c r="H34" t="str">
        <v>Waalre</v>
      </c>
      <c r="I34" t="str">
        <v>Noord-Brabant</v>
      </c>
      <c r="J34" t="str">
        <v>Zuid-Nederland</v>
      </c>
      <c r="K34" t="str">
        <v>Te koop</v>
      </c>
      <c r="L34" t="str">
        <v>Onbekend</v>
      </c>
      <c r="M34" t="str">
        <v>Onbekend</v>
      </c>
      <c r="N34">
        <v>333500</v>
      </c>
      <c r="O34" t="str">
        <v>v.o.n.</v>
      </c>
      <c r="P34">
        <v>49</v>
      </c>
      <c r="Q34">
        <v>6806</v>
      </c>
      <c r="R34" t="str">
        <v>Onbekend</v>
      </c>
      <c r="S34" t="str">
        <v>A++</v>
      </c>
      <c r="T34">
        <v>2</v>
      </c>
      <c r="U34">
        <v>1</v>
      </c>
      <c r="V34" t="str">
        <v>Appartement</v>
      </c>
      <c r="W34" t="str">
        <v>Appartement</v>
      </c>
      <c r="X34" t="str">
        <v>Appartement &lt;50 m²</v>
      </c>
      <c r="Y34" t="str">
        <v>Ja</v>
      </c>
      <c r="Z34" t="str">
        <v>garage</v>
      </c>
      <c r="AA34" t="str">
        <v>2026</v>
      </c>
      <c r="AB34" t="str">
        <v>Nee</v>
      </c>
      <c r="AC34" t="str">
        <v>NEE</v>
      </c>
      <c r="AD34" t="str">
        <v>JA</v>
      </c>
    </row>
    <row r="35">
      <c r="A35" t="str">
        <v>44424951</v>
      </c>
      <c r="B35" t="str">
        <v>https://www.funda.nl/detail/koop/waalre/appartement-b3-14-2kmr-s4-rudolf-brabantia-bouwnr-47/44424951/</v>
      </c>
      <c r="C35" t="str">
        <v>Brabantiapark - Waalre</v>
      </c>
      <c r="D35" t="str">
        <v>B3-14 | 2kmr | S4 | Rudolf | Brabantia</v>
      </c>
      <c r="E35" t="str">
        <v>47</v>
      </c>
      <c r="F35" t="str">
        <v>5583 BP</v>
      </c>
      <c r="G35" t="str">
        <v>Waalre</v>
      </c>
      <c r="H35" t="str">
        <v>Waalre</v>
      </c>
      <c r="I35" t="str">
        <v>Noord-Brabant</v>
      </c>
      <c r="J35" t="str">
        <v>Zuid-Nederland</v>
      </c>
      <c r="K35" t="str">
        <v>Te koop</v>
      </c>
      <c r="L35" t="str">
        <v>Onbekend</v>
      </c>
      <c r="M35" t="str">
        <v>Onbekend</v>
      </c>
      <c r="N35">
        <v>331000</v>
      </c>
      <c r="O35" t="str">
        <v>v.o.n.</v>
      </c>
      <c r="P35">
        <v>49</v>
      </c>
      <c r="Q35">
        <v>6755</v>
      </c>
      <c r="R35" t="str">
        <v>Onbekend</v>
      </c>
      <c r="S35" t="str">
        <v>A++</v>
      </c>
      <c r="T35">
        <v>2</v>
      </c>
      <c r="U35">
        <v>1</v>
      </c>
      <c r="V35" t="str">
        <v>Appartement</v>
      </c>
      <c r="W35" t="str">
        <v>Appartement</v>
      </c>
      <c r="X35" t="str">
        <v>Appartement &lt;50 m²</v>
      </c>
      <c r="Y35" t="str">
        <v>Ja</v>
      </c>
      <c r="Z35" t="str">
        <v>garage</v>
      </c>
      <c r="AA35" t="str">
        <v>2026</v>
      </c>
      <c r="AB35" t="str">
        <v>Nee</v>
      </c>
      <c r="AC35" t="str">
        <v>NEE</v>
      </c>
      <c r="AD35" t="str">
        <v>JA</v>
      </c>
    </row>
    <row r="36">
      <c r="A36" t="str">
        <v>44424950</v>
      </c>
      <c r="B36" t="str">
        <v>https://www.funda.nl/detail/koop/waalre/appartement-b3-17-2kmr-s4-rudolf-brabantia-bouwnr-50/44424950/</v>
      </c>
      <c r="C36" t="str">
        <v>Brabantiapark - Waalre</v>
      </c>
      <c r="D36" t="str">
        <v>B3-17 | 2kmr | S4 | Rudolf | Brabantia</v>
      </c>
      <c r="E36" t="str">
        <v>50</v>
      </c>
      <c r="F36" t="str">
        <v>5583 BP</v>
      </c>
      <c r="G36" t="str">
        <v>Waalre</v>
      </c>
      <c r="H36" t="str">
        <v>Waalre</v>
      </c>
      <c r="I36" t="str">
        <v>Noord-Brabant</v>
      </c>
      <c r="J36" t="str">
        <v>Zuid-Nederland</v>
      </c>
      <c r="K36" t="str">
        <v>Te koop</v>
      </c>
      <c r="L36" t="str">
        <v>Onbekend</v>
      </c>
      <c r="M36" t="str">
        <v>Onbekend</v>
      </c>
      <c r="N36">
        <v>335500</v>
      </c>
      <c r="O36" t="str">
        <v>v.o.n.</v>
      </c>
      <c r="P36">
        <v>49</v>
      </c>
      <c r="Q36">
        <v>6847</v>
      </c>
      <c r="R36" t="str">
        <v>Onbekend</v>
      </c>
      <c r="S36" t="str">
        <v>A+++</v>
      </c>
      <c r="T36">
        <v>2</v>
      </c>
      <c r="U36">
        <v>1</v>
      </c>
      <c r="V36" t="str">
        <v>Appartement</v>
      </c>
      <c r="W36" t="str">
        <v>Appartement</v>
      </c>
      <c r="X36" t="str">
        <v>Appartement &lt;50 m²</v>
      </c>
      <c r="Y36" t="str">
        <v>Ja</v>
      </c>
      <c r="Z36" t="str">
        <v>garage</v>
      </c>
      <c r="AA36" t="str">
        <v>2026</v>
      </c>
      <c r="AB36" t="str">
        <v>Nee</v>
      </c>
      <c r="AC36" t="str">
        <v>NEE</v>
      </c>
      <c r="AD36" t="str">
        <v>JA</v>
      </c>
    </row>
    <row r="37">
      <c r="A37" t="str">
        <v>44424959</v>
      </c>
      <c r="B37" t="str">
        <v>https://www.funda.nl/detail/koop/waalre/appartement-b3-20-2kmr-s4-rudolf-brabantia-bouwnr-53/44424959/</v>
      </c>
      <c r="C37" t="str">
        <v>Brabantiapark - Waalre</v>
      </c>
      <c r="D37" t="str">
        <v>B3-20 | 2kmr | S4 | Rudolf | Brabantia</v>
      </c>
      <c r="E37" t="str">
        <v>53</v>
      </c>
      <c r="F37" t="str">
        <v>5583 BP</v>
      </c>
      <c r="G37" t="str">
        <v>Waalre</v>
      </c>
      <c r="H37" t="str">
        <v>Waalre</v>
      </c>
      <c r="I37" t="str">
        <v>Noord-Brabant</v>
      </c>
      <c r="J37" t="str">
        <v>Zuid-Nederland</v>
      </c>
      <c r="K37" t="str">
        <v>Te koop</v>
      </c>
      <c r="L37" t="str">
        <v>Onbekend</v>
      </c>
      <c r="M37" t="str">
        <v>Onbekend</v>
      </c>
      <c r="N37">
        <v>335500</v>
      </c>
      <c r="O37" t="str">
        <v>v.o.n.</v>
      </c>
      <c r="P37">
        <v>49</v>
      </c>
      <c r="Q37">
        <v>6847</v>
      </c>
      <c r="R37" t="str">
        <v>Onbekend</v>
      </c>
      <c r="S37" t="str">
        <v>A++</v>
      </c>
      <c r="T37">
        <v>2</v>
      </c>
      <c r="U37">
        <v>1</v>
      </c>
      <c r="V37" t="str">
        <v>Appartement</v>
      </c>
      <c r="W37" t="str">
        <v>Appartement</v>
      </c>
      <c r="X37" t="str">
        <v>Appartement &lt;50 m²</v>
      </c>
      <c r="Y37" t="str">
        <v>Ja</v>
      </c>
      <c r="Z37" t="str">
        <v>garage</v>
      </c>
      <c r="AA37" t="str">
        <v>2026</v>
      </c>
      <c r="AB37" t="str">
        <v>Nee</v>
      </c>
      <c r="AC37" t="str">
        <v>NEE</v>
      </c>
      <c r="AD37" t="str">
        <v>JA</v>
      </c>
    </row>
    <row r="38">
      <c r="A38" t="str">
        <v>44424958</v>
      </c>
      <c r="B38" t="str">
        <v>https://www.funda.nl/detail/koop/waalre/appartement-b3-31-2kmr-s3-rudolf-brabantia-bouwnr-64/44424958/</v>
      </c>
      <c r="C38" t="str">
        <v>Brabantiapark - Waalre</v>
      </c>
      <c r="D38" t="str">
        <v>B3-31 | 2kmr | S3 | Rudolf | Brabantia</v>
      </c>
      <c r="E38" t="str">
        <v>64</v>
      </c>
      <c r="F38" t="str">
        <v>5583 BP</v>
      </c>
      <c r="G38" t="str">
        <v>Waalre</v>
      </c>
      <c r="H38" t="str">
        <v>Waalre</v>
      </c>
      <c r="I38" t="str">
        <v>Noord-Brabant</v>
      </c>
      <c r="J38" t="str">
        <v>Zuid-Nederland</v>
      </c>
      <c r="K38" t="str">
        <v>Te koop</v>
      </c>
      <c r="L38" t="str">
        <v>Onbekend</v>
      </c>
      <c r="M38" t="str">
        <v>Onbekend</v>
      </c>
      <c r="N38">
        <v>332500</v>
      </c>
      <c r="O38" t="str">
        <v>v.o.n.</v>
      </c>
      <c r="P38">
        <v>49</v>
      </c>
      <c r="Q38">
        <v>6786</v>
      </c>
      <c r="R38" t="str">
        <v>Onbekend</v>
      </c>
      <c r="S38" t="str">
        <v>A++</v>
      </c>
      <c r="T38">
        <v>2</v>
      </c>
      <c r="U38">
        <v>1</v>
      </c>
      <c r="V38" t="str">
        <v>Appartement</v>
      </c>
      <c r="W38" t="str">
        <v>Appartement</v>
      </c>
      <c r="X38" t="str">
        <v>Appartement &lt;50 m²</v>
      </c>
      <c r="Y38" t="str">
        <v>Ja</v>
      </c>
      <c r="Z38" t="str">
        <v>garage</v>
      </c>
      <c r="AA38" t="str">
        <v>2026</v>
      </c>
      <c r="AB38" t="str">
        <v>Nee</v>
      </c>
      <c r="AC38" t="str">
        <v>NEE</v>
      </c>
      <c r="AD38" t="str">
        <v>JA</v>
      </c>
    </row>
    <row r="39">
      <c r="A39" t="str">
        <v>44424956</v>
      </c>
      <c r="B39" t="str">
        <v>https://www.funda.nl/detail/koop/waalre/appartement-b3-30-2kmr-s3-rudolf-brabantia-bouwnr-63/44424956/</v>
      </c>
      <c r="C39" t="str">
        <v>Brabantiapark - Waalre</v>
      </c>
      <c r="D39" t="str">
        <v>B3-30 | 2kmr | S3 | Rudolf | Brabantia</v>
      </c>
      <c r="E39" t="str">
        <v>63</v>
      </c>
      <c r="F39" t="str">
        <v>5583 BP</v>
      </c>
      <c r="G39" t="str">
        <v>Waalre</v>
      </c>
      <c r="H39" t="str">
        <v>Waalre</v>
      </c>
      <c r="I39" t="str">
        <v>Noord-Brabant</v>
      </c>
      <c r="J39" t="str">
        <v>Zuid-Nederland</v>
      </c>
      <c r="K39" t="str">
        <v>Te koop</v>
      </c>
      <c r="L39" t="str">
        <v>Onbekend</v>
      </c>
      <c r="M39" t="str">
        <v>Onbekend</v>
      </c>
      <c r="N39">
        <v>332500</v>
      </c>
      <c r="O39" t="str">
        <v>v.o.n.</v>
      </c>
      <c r="P39">
        <v>49</v>
      </c>
      <c r="Q39">
        <v>6786</v>
      </c>
      <c r="R39" t="str">
        <v>Onbekend</v>
      </c>
      <c r="S39" t="str">
        <v>A++</v>
      </c>
      <c r="T39">
        <v>2</v>
      </c>
      <c r="U39">
        <v>1</v>
      </c>
      <c r="V39" t="str">
        <v>Appartement</v>
      </c>
      <c r="W39" t="str">
        <v>Appartement</v>
      </c>
      <c r="X39" t="str">
        <v>Appartement &lt;50 m²</v>
      </c>
      <c r="Y39" t="str">
        <v>Ja</v>
      </c>
      <c r="Z39" t="str">
        <v>garage</v>
      </c>
      <c r="AA39" t="str">
        <v>2026</v>
      </c>
      <c r="AB39" t="str">
        <v>Nee</v>
      </c>
      <c r="AC39" t="str">
        <v>NEE</v>
      </c>
      <c r="AD39" t="str">
        <v>JA</v>
      </c>
    </row>
    <row r="40">
      <c r="A40" t="str">
        <v>44424955</v>
      </c>
      <c r="B40" t="str">
        <v>https://www.funda.nl/detail/koop/waalre/appartement-b3-19-2kmr-s3-rudolf-brabantia-bouwnr-52/44424955/</v>
      </c>
      <c r="C40" t="str">
        <v>Brabantiapark - Waalre</v>
      </c>
      <c r="D40" t="str">
        <v>B3-19 | 2kmr | S3 | Rudolf | Brabantia</v>
      </c>
      <c r="E40" t="str">
        <v>52</v>
      </c>
      <c r="F40" t="str">
        <v>5583 BP</v>
      </c>
      <c r="G40" t="str">
        <v>Waalre</v>
      </c>
      <c r="H40" t="str">
        <v>Waalre</v>
      </c>
      <c r="I40" t="str">
        <v>Noord-Brabant</v>
      </c>
      <c r="J40" t="str">
        <v>Zuid-Nederland</v>
      </c>
      <c r="K40" t="str">
        <v>Te koop</v>
      </c>
      <c r="L40" t="str">
        <v>Onbekend</v>
      </c>
      <c r="M40" t="str">
        <v>Onbekend</v>
      </c>
      <c r="N40">
        <v>331000</v>
      </c>
      <c r="O40" t="str">
        <v>v.o.n.</v>
      </c>
      <c r="P40">
        <v>49</v>
      </c>
      <c r="Q40">
        <v>6755</v>
      </c>
      <c r="R40" t="str">
        <v>Onbekend</v>
      </c>
      <c r="S40" t="str">
        <v>A+++</v>
      </c>
      <c r="T40">
        <v>2</v>
      </c>
      <c r="U40">
        <v>1</v>
      </c>
      <c r="V40" t="str">
        <v>Appartement</v>
      </c>
      <c r="W40" t="str">
        <v>Appartement</v>
      </c>
      <c r="X40" t="str">
        <v>Appartement &lt;50 m²</v>
      </c>
      <c r="Y40" t="str">
        <v>Ja</v>
      </c>
      <c r="Z40" t="str">
        <v>garage</v>
      </c>
      <c r="AA40" t="str">
        <v>2026</v>
      </c>
      <c r="AB40" t="str">
        <v>Nee</v>
      </c>
      <c r="AC40" t="str">
        <v>NEE</v>
      </c>
      <c r="AD40" t="str">
        <v>JA</v>
      </c>
    </row>
    <row r="41">
      <c r="A41" t="str">
        <v>44424954</v>
      </c>
      <c r="B41" t="str">
        <v>https://www.funda.nl/detail/koop/waalre/appartement-b3-11-2kmr-s4-rudolf-brabantia-bouwnr-44/44424954/</v>
      </c>
      <c r="C41" t="str">
        <v>Brabantiapark - Waalre</v>
      </c>
      <c r="D41" t="str">
        <v>B3-11 | 2kmr | S4 | Rudolf | Brabantia</v>
      </c>
      <c r="E41" t="str">
        <v>44</v>
      </c>
      <c r="F41" t="str">
        <v>5583 BP</v>
      </c>
      <c r="G41" t="str">
        <v>Waalre</v>
      </c>
      <c r="H41" t="str">
        <v>Waalre</v>
      </c>
      <c r="I41" t="str">
        <v>Noord-Brabant</v>
      </c>
      <c r="J41" t="str">
        <v>Zuid-Nederland</v>
      </c>
      <c r="K41" t="str">
        <v>Te koop</v>
      </c>
      <c r="L41" t="str">
        <v>Onbekend</v>
      </c>
      <c r="M41" t="str">
        <v>Onbekend</v>
      </c>
      <c r="N41">
        <v>331000</v>
      </c>
      <c r="O41" t="str">
        <v>v.o.n.</v>
      </c>
      <c r="P41">
        <v>49</v>
      </c>
      <c r="Q41">
        <v>6755</v>
      </c>
      <c r="R41" t="str">
        <v>Onbekend</v>
      </c>
      <c r="S41" t="str">
        <v>A++</v>
      </c>
      <c r="T41">
        <v>2</v>
      </c>
      <c r="U41">
        <v>1</v>
      </c>
      <c r="V41" t="str">
        <v>Appartement</v>
      </c>
      <c r="W41" t="str">
        <v>Appartement</v>
      </c>
      <c r="X41" t="str">
        <v>Appartement &lt;50 m²</v>
      </c>
      <c r="Y41" t="str">
        <v>Ja</v>
      </c>
      <c r="Z41" t="str">
        <v>garage</v>
      </c>
      <c r="AA41" t="str">
        <v>2026</v>
      </c>
      <c r="AB41" t="str">
        <v>Nee</v>
      </c>
      <c r="AC41" t="str">
        <v>NEE</v>
      </c>
      <c r="AD41" t="str">
        <v>JA</v>
      </c>
    </row>
    <row r="42">
      <c r="A42" t="str">
        <v>44424953</v>
      </c>
      <c r="B42" t="str">
        <v>https://www.funda.nl/detail/koop/waalre/appartement-b3-23-2kmr-s4-rudolf-brabantia-bouwnr-56/44424953/</v>
      </c>
      <c r="C42" t="str">
        <v>Brabantiapark - Waalre</v>
      </c>
      <c r="D42" t="str">
        <v>B3-23 | 2kmr | S4 | Rudolf | Brabantia</v>
      </c>
      <c r="E42" t="str">
        <v>56</v>
      </c>
      <c r="F42" t="str">
        <v>5583 BP</v>
      </c>
      <c r="G42" t="str">
        <v>Waalre</v>
      </c>
      <c r="H42" t="str">
        <v>Waalre</v>
      </c>
      <c r="I42" t="str">
        <v>Noord-Brabant</v>
      </c>
      <c r="J42" t="str">
        <v>Zuid-Nederland</v>
      </c>
      <c r="K42" t="str">
        <v>Te koop</v>
      </c>
      <c r="L42" t="str">
        <v>Onbekend</v>
      </c>
      <c r="M42" t="str">
        <v>Onbekend</v>
      </c>
      <c r="N42">
        <v>332500</v>
      </c>
      <c r="O42" t="str">
        <v>v.o.n.</v>
      </c>
      <c r="P42">
        <v>49</v>
      </c>
      <c r="Q42">
        <v>6786</v>
      </c>
      <c r="R42" t="str">
        <v>Onbekend</v>
      </c>
      <c r="S42" t="str">
        <v>A++</v>
      </c>
      <c r="T42">
        <v>2</v>
      </c>
      <c r="U42">
        <v>1</v>
      </c>
      <c r="V42" t="str">
        <v>Appartement</v>
      </c>
      <c r="W42" t="str">
        <v>Appartement</v>
      </c>
      <c r="X42" t="str">
        <v>Appartement &lt;50 m²</v>
      </c>
      <c r="Y42" t="str">
        <v>Ja</v>
      </c>
      <c r="Z42" t="str">
        <v>garage</v>
      </c>
      <c r="AA42" t="str">
        <v>2026</v>
      </c>
      <c r="AB42" t="str">
        <v>Nee</v>
      </c>
      <c r="AC42" t="str">
        <v>NEE</v>
      </c>
      <c r="AD42" t="str">
        <v>JA</v>
      </c>
    </row>
    <row r="43">
      <c r="A43" t="str">
        <v>44424949</v>
      </c>
      <c r="B43" t="str">
        <v>https://www.funda.nl/detail/koop/waalre/appartement-b1-14-3kmr-i-dorus-brabantia-bouwnr-14/44424949/</v>
      </c>
      <c r="C43" t="str">
        <v>Brabantiapark - Waalre</v>
      </c>
      <c r="D43" t="str">
        <v>B1-14 | 3kmr | I | Dorus | Brabantia</v>
      </c>
      <c r="E43" t="str">
        <v>14</v>
      </c>
      <c r="F43" t="str">
        <v>5583 BP</v>
      </c>
      <c r="G43" t="str">
        <v>Waalre</v>
      </c>
      <c r="H43" t="str">
        <v>Waalre</v>
      </c>
      <c r="I43" t="str">
        <v>Noord-Brabant</v>
      </c>
      <c r="J43" t="str">
        <v>Zuid-Nederland</v>
      </c>
      <c r="K43" t="str">
        <v>Te koop</v>
      </c>
      <c r="L43" t="str">
        <v>Onbekend</v>
      </c>
      <c r="M43" t="str">
        <v>Onbekend</v>
      </c>
      <c r="N43">
        <v>935000</v>
      </c>
      <c r="O43" t="str">
        <v>v.o.n.</v>
      </c>
      <c r="P43">
        <v>137</v>
      </c>
      <c r="Q43">
        <v>6825</v>
      </c>
      <c r="R43" t="str">
        <v>Onbekend</v>
      </c>
      <c r="S43" t="str">
        <v>A+++</v>
      </c>
      <c r="T43">
        <v>3</v>
      </c>
      <c r="U43">
        <v>2</v>
      </c>
      <c r="V43" t="str">
        <v>Appartement</v>
      </c>
      <c r="W43" t="str">
        <v>Appartement</v>
      </c>
      <c r="X43" t="str">
        <v>Appartement &gt;100 m²</v>
      </c>
      <c r="Y43" t="str">
        <v>Ja</v>
      </c>
      <c r="Z43" t="str">
        <v>garage</v>
      </c>
      <c r="AA43" t="str">
        <v>2026</v>
      </c>
      <c r="AB43" t="str">
        <v>Nee</v>
      </c>
      <c r="AC43" t="str">
        <v>NEE</v>
      </c>
      <c r="AD43" t="str">
        <v>JA</v>
      </c>
    </row>
    <row r="44">
      <c r="A44" t="str">
        <v>44424948</v>
      </c>
      <c r="B44" t="str">
        <v>https://www.funda.nl/detail/koop/waalre/appartement-b1-09-3kmr-d-dorus-brabantia-bouwnr-9/44424948/</v>
      </c>
      <c r="C44" t="str">
        <v>Brabantiapark - Waalre</v>
      </c>
      <c r="D44" t="str">
        <v>B1-09 | 3kmr | D | Dorus | Brabantia</v>
      </c>
      <c r="E44" t="str">
        <v>9</v>
      </c>
      <c r="F44" t="str">
        <v>5583 BP</v>
      </c>
      <c r="G44" t="str">
        <v>Waalre</v>
      </c>
      <c r="H44" t="str">
        <v>Waalre</v>
      </c>
      <c r="I44" t="str">
        <v>Noord-Brabant</v>
      </c>
      <c r="J44" t="str">
        <v>Zuid-Nederland</v>
      </c>
      <c r="K44" t="str">
        <v>Te koop</v>
      </c>
      <c r="L44" t="str">
        <v>Onbekend</v>
      </c>
      <c r="M44" t="str">
        <v>Onbekend</v>
      </c>
      <c r="N44">
        <v>797000</v>
      </c>
      <c r="O44" t="str">
        <v>v.o.n.</v>
      </c>
      <c r="P44">
        <v>116</v>
      </c>
      <c r="Q44">
        <v>6871</v>
      </c>
      <c r="R44" t="str">
        <v>Onbekend</v>
      </c>
      <c r="S44" t="str">
        <v>A+++</v>
      </c>
      <c r="T44">
        <v>3</v>
      </c>
      <c r="U44">
        <v>2</v>
      </c>
      <c r="V44" t="str">
        <v>Appartement</v>
      </c>
      <c r="W44" t="str">
        <v>Appartement</v>
      </c>
      <c r="X44" t="str">
        <v>Appartement &gt;100 m²</v>
      </c>
      <c r="Y44" t="str">
        <v>Ja</v>
      </c>
      <c r="Z44" t="str">
        <v>garage</v>
      </c>
      <c r="AA44" t="str">
        <v>2026</v>
      </c>
      <c r="AB44" t="str">
        <v>Nee</v>
      </c>
      <c r="AC44" t="str">
        <v>NEE</v>
      </c>
      <c r="AD44" t="str">
        <v>JA</v>
      </c>
    </row>
    <row r="45">
      <c r="A45" t="str">
        <v>44424947</v>
      </c>
      <c r="B45" t="str">
        <v>https://www.funda.nl/detail/koop/waalre/appartement-b3-13-2kmr-s3-rudolf-brabantia-bouwnr-46/44424947/</v>
      </c>
      <c r="C45" t="str">
        <v>Brabantiapark - Waalre</v>
      </c>
      <c r="D45" t="str">
        <v>B3-13 | 2kmr | S3 | Rudolf | Brabantia</v>
      </c>
      <c r="E45" t="str">
        <v>46</v>
      </c>
      <c r="F45" t="str">
        <v>5583 BP</v>
      </c>
      <c r="G45" t="str">
        <v>Waalre</v>
      </c>
      <c r="H45" t="str">
        <v>Waalre</v>
      </c>
      <c r="I45" t="str">
        <v>Noord-Brabant</v>
      </c>
      <c r="J45" t="str">
        <v>Zuid-Nederland</v>
      </c>
      <c r="K45" t="str">
        <v>Te koop</v>
      </c>
      <c r="L45" t="str">
        <v>Onbekend</v>
      </c>
      <c r="M45" t="str">
        <v>Onbekend</v>
      </c>
      <c r="N45">
        <v>332000</v>
      </c>
      <c r="O45" t="str">
        <v>v.o.n.</v>
      </c>
      <c r="P45">
        <v>49</v>
      </c>
      <c r="Q45">
        <v>6776</v>
      </c>
      <c r="R45" t="str">
        <v>Onbekend</v>
      </c>
      <c r="S45" t="str">
        <v>A+++</v>
      </c>
      <c r="T45">
        <v>2</v>
      </c>
      <c r="U45">
        <v>1</v>
      </c>
      <c r="V45" t="str">
        <v>Appartement</v>
      </c>
      <c r="W45" t="str">
        <v>Appartement</v>
      </c>
      <c r="X45" t="str">
        <v>Appartement &lt;50 m²</v>
      </c>
      <c r="Y45" t="str">
        <v>Ja</v>
      </c>
      <c r="Z45" t="str">
        <v>garage</v>
      </c>
      <c r="AA45" t="str">
        <v>2026</v>
      </c>
      <c r="AB45" t="str">
        <v>Nee</v>
      </c>
      <c r="AC45" t="str">
        <v>NEE</v>
      </c>
      <c r="AD45" t="str">
        <v>JA</v>
      </c>
    </row>
    <row r="46">
      <c r="A46" t="str">
        <v>44424946</v>
      </c>
      <c r="B46" t="str">
        <v>https://www.funda.nl/detail/koop/waalre/appartement-b3-03-2kmr-s2-rudolf-brabantia-bouwnr-36/44424946/</v>
      </c>
      <c r="C46" t="str">
        <v>Brabantiapark - Waalre</v>
      </c>
      <c r="D46" t="str">
        <v>B3-03 | 2kmr | S2 | Rudolf | Brabantia</v>
      </c>
      <c r="E46" t="str">
        <v>36</v>
      </c>
      <c r="F46" t="str">
        <v>5583 BP</v>
      </c>
      <c r="G46" t="str">
        <v>Waalre</v>
      </c>
      <c r="H46" t="str">
        <v>Waalre</v>
      </c>
      <c r="I46" t="str">
        <v>Noord-Brabant</v>
      </c>
      <c r="J46" t="str">
        <v>Zuid-Nederland</v>
      </c>
      <c r="K46" t="str">
        <v>Te koop</v>
      </c>
      <c r="L46" t="str">
        <v>Onbekend</v>
      </c>
      <c r="M46" t="str">
        <v>Onbekend</v>
      </c>
      <c r="N46">
        <v>345500</v>
      </c>
      <c r="O46" t="str">
        <v>v.o.n.</v>
      </c>
      <c r="P46">
        <v>49</v>
      </c>
      <c r="Q46">
        <v>7051</v>
      </c>
      <c r="R46" t="str">
        <v>Onbekend</v>
      </c>
      <c r="S46" t="str">
        <v>A++</v>
      </c>
      <c r="T46">
        <v>2</v>
      </c>
      <c r="U46">
        <v>1</v>
      </c>
      <c r="V46" t="str">
        <v>Appartement</v>
      </c>
      <c r="W46" t="str">
        <v>Appartement</v>
      </c>
      <c r="X46" t="str">
        <v>Appartement &lt;50 m²</v>
      </c>
      <c r="Y46" t="str">
        <v>Ja</v>
      </c>
      <c r="Z46" t="str">
        <v>garage</v>
      </c>
      <c r="AA46" t="str">
        <v>2026</v>
      </c>
      <c r="AB46" t="str">
        <v>Nee</v>
      </c>
      <c r="AC46" t="str">
        <v>NEE</v>
      </c>
      <c r="AD46" t="str">
        <v>JA</v>
      </c>
    </row>
    <row r="47">
      <c r="A47" t="str">
        <v>44424945</v>
      </c>
      <c r="B47" t="str">
        <v>https://www.funda.nl/detail/koop/waalre/appartement-b2-12-3kmr-g-petrus-brabantia-bouwnr-29/44424945/</v>
      </c>
      <c r="C47" t="str">
        <v>Brabantiapark - Waalre</v>
      </c>
      <c r="D47" t="str">
        <v>B2-12 | 3kmr | G | Petrus | Brabantia</v>
      </c>
      <c r="E47" t="str">
        <v>29</v>
      </c>
      <c r="F47" t="str">
        <v>5583 BP</v>
      </c>
      <c r="G47" t="str">
        <v>Waalre</v>
      </c>
      <c r="H47" t="str">
        <v>Waalre</v>
      </c>
      <c r="I47" t="str">
        <v>Noord-Brabant</v>
      </c>
      <c r="J47" t="str">
        <v>Zuid-Nederland</v>
      </c>
      <c r="K47" t="str">
        <v>Te koop</v>
      </c>
      <c r="L47" t="str">
        <v>2026-07-09</v>
      </c>
      <c r="M47">
        <v>4</v>
      </c>
      <c r="N47">
        <v>1093000</v>
      </c>
      <c r="O47" t="str">
        <v>v.o.n.</v>
      </c>
      <c r="P47">
        <v>165</v>
      </c>
      <c r="Q47">
        <v>6624</v>
      </c>
      <c r="R47" t="str">
        <v>Onbekend</v>
      </c>
      <c r="S47" t="str">
        <v>A++</v>
      </c>
      <c r="T47">
        <v>3</v>
      </c>
      <c r="U47">
        <v>2</v>
      </c>
      <c r="V47" t="str">
        <v>Appartement</v>
      </c>
      <c r="W47" t="str">
        <v>Appartement</v>
      </c>
      <c r="X47" t="str">
        <v>Appartement &gt;100 m²</v>
      </c>
      <c r="Y47" t="str">
        <v>Ja</v>
      </c>
      <c r="Z47" t="str">
        <v>garage</v>
      </c>
      <c r="AA47" t="str">
        <v>2026</v>
      </c>
      <c r="AB47" t="str">
        <v>Nee</v>
      </c>
      <c r="AC47" t="str">
        <v>NEE</v>
      </c>
      <c r="AD47" t="str">
        <v>JA</v>
      </c>
    </row>
    <row r="48">
      <c r="A48" t="str">
        <v>44424943</v>
      </c>
      <c r="B48" t="str">
        <v>https://www.funda.nl/detail/koop/waalre/appartement-b3-12-2kmr-s3-rudolf-brabantia-bouwnr-45/44424943/</v>
      </c>
      <c r="C48" t="str">
        <v>Brabantiapark - Waalre</v>
      </c>
      <c r="D48" t="str">
        <v>B3-12 | 2kmr | S3 | Rudolf | Brabantia</v>
      </c>
      <c r="E48" t="str">
        <v>45</v>
      </c>
      <c r="F48" t="str">
        <v>5583 BP</v>
      </c>
      <c r="G48" t="str">
        <v>Waalre</v>
      </c>
      <c r="H48" t="str">
        <v>Waalre</v>
      </c>
      <c r="I48" t="str">
        <v>Noord-Brabant</v>
      </c>
      <c r="J48" t="str">
        <v>Zuid-Nederland</v>
      </c>
      <c r="K48" t="str">
        <v>Te koop</v>
      </c>
      <c r="L48" t="str">
        <v>Onbekend</v>
      </c>
      <c r="M48" t="str">
        <v>Onbekend</v>
      </c>
      <c r="N48">
        <v>332000</v>
      </c>
      <c r="O48" t="str">
        <v>v.o.n.</v>
      </c>
      <c r="P48">
        <v>49</v>
      </c>
      <c r="Q48">
        <v>6776</v>
      </c>
      <c r="R48" t="str">
        <v>Onbekend</v>
      </c>
      <c r="S48" t="str">
        <v>A+++</v>
      </c>
      <c r="T48">
        <v>2</v>
      </c>
      <c r="U48">
        <v>1</v>
      </c>
      <c r="V48" t="str">
        <v>Appartement</v>
      </c>
      <c r="W48" t="str">
        <v>Appartement</v>
      </c>
      <c r="X48" t="str">
        <v>Appartement &lt;50 m²</v>
      </c>
      <c r="Y48" t="str">
        <v>Ja</v>
      </c>
      <c r="Z48" t="str">
        <v>garage</v>
      </c>
      <c r="AA48" t="str">
        <v>2026</v>
      </c>
      <c r="AB48" t="str">
        <v>Nee</v>
      </c>
      <c r="AC48" t="str">
        <v>NEE</v>
      </c>
      <c r="AD48" t="str">
        <v>JA</v>
      </c>
    </row>
    <row r="49">
      <c r="A49" t="str">
        <v>44424932</v>
      </c>
      <c r="B49" t="str">
        <v>https://www.funda.nl/detail/koop/waalre/appartement-b1-15-3kmr-j-dorus-brabantia-bouwnr-15/44424932/</v>
      </c>
      <c r="C49" t="str">
        <v>Brabantiapark - Waalre</v>
      </c>
      <c r="D49" t="str">
        <v>B1-15 | 3kmr | J | Dorus | Brabantia</v>
      </c>
      <c r="E49" t="str">
        <v>15</v>
      </c>
      <c r="F49" t="str">
        <v>5583 BP</v>
      </c>
      <c r="G49" t="str">
        <v>Waalre</v>
      </c>
      <c r="H49" t="str">
        <v>Waalre</v>
      </c>
      <c r="I49" t="str">
        <v>Noord-Brabant</v>
      </c>
      <c r="J49" t="str">
        <v>Zuid-Nederland</v>
      </c>
      <c r="K49" t="str">
        <v>Te koop</v>
      </c>
      <c r="L49" t="str">
        <v>Onbekend</v>
      </c>
      <c r="M49" t="str">
        <v>Onbekend</v>
      </c>
      <c r="N49">
        <v>945000</v>
      </c>
      <c r="O49" t="str">
        <v>v.o.n.</v>
      </c>
      <c r="P49">
        <v>136</v>
      </c>
      <c r="Q49">
        <v>6949</v>
      </c>
      <c r="R49" t="str">
        <v>Onbekend</v>
      </c>
      <c r="S49" t="str">
        <v>A+++</v>
      </c>
      <c r="T49">
        <v>3</v>
      </c>
      <c r="U49">
        <v>2</v>
      </c>
      <c r="V49" t="str">
        <v>Appartement</v>
      </c>
      <c r="W49" t="str">
        <v>Appartement</v>
      </c>
      <c r="X49" t="str">
        <v>Appartement &gt;100 m²</v>
      </c>
      <c r="Y49" t="str">
        <v>Ja</v>
      </c>
      <c r="Z49" t="str">
        <v>garage</v>
      </c>
      <c r="AA49" t="str">
        <v>2026</v>
      </c>
      <c r="AB49" t="str">
        <v>Nee</v>
      </c>
      <c r="AC49" t="str">
        <v>NEE</v>
      </c>
      <c r="AD49" t="str">
        <v>JA</v>
      </c>
    </row>
    <row r="50">
      <c r="A50" t="str">
        <v>44424931</v>
      </c>
      <c r="B50" t="str">
        <v>https://www.funda.nl/detail/koop/waalre/appartement-b2-13-3kmr-h-petrus-brabantia-bouwnr-30/44424931/</v>
      </c>
      <c r="C50" t="str">
        <v>Brabantiapark - Waalre</v>
      </c>
      <c r="D50" t="str">
        <v>B2-13 | 3kmr | H | Petrus | Brabantia</v>
      </c>
      <c r="E50" t="str">
        <v>30</v>
      </c>
      <c r="F50" t="str">
        <v>5583 BP</v>
      </c>
      <c r="G50" t="str">
        <v>Waalre</v>
      </c>
      <c r="H50" t="str">
        <v>Waalre</v>
      </c>
      <c r="I50" t="str">
        <v>Noord-Brabant</v>
      </c>
      <c r="J50" t="str">
        <v>Zuid-Nederland</v>
      </c>
      <c r="K50" t="str">
        <v>Te koop</v>
      </c>
      <c r="L50" t="str">
        <v>Onbekend</v>
      </c>
      <c r="M50" t="str">
        <v>Onbekend</v>
      </c>
      <c r="N50">
        <v>842000</v>
      </c>
      <c r="O50" t="str">
        <v>v.o.n.</v>
      </c>
      <c r="P50">
        <v>125</v>
      </c>
      <c r="Q50">
        <v>6736</v>
      </c>
      <c r="R50" t="str">
        <v>Onbekend</v>
      </c>
      <c r="S50" t="str">
        <v>A+++</v>
      </c>
      <c r="T50">
        <v>3</v>
      </c>
      <c r="U50">
        <v>2</v>
      </c>
      <c r="V50" t="str">
        <v>Appartement</v>
      </c>
      <c r="W50" t="str">
        <v>Appartement</v>
      </c>
      <c r="X50" t="str">
        <v>Appartement &gt;100 m²</v>
      </c>
      <c r="Y50" t="str">
        <v>Ja</v>
      </c>
      <c r="Z50" t="str">
        <v>garage</v>
      </c>
      <c r="AA50" t="str">
        <v>2026</v>
      </c>
      <c r="AB50" t="str">
        <v>Nee</v>
      </c>
      <c r="AC50" t="str">
        <v>NEE</v>
      </c>
      <c r="AD50" t="str">
        <v>JA</v>
      </c>
    </row>
    <row r="51">
      <c r="A51" t="str">
        <v>44424930</v>
      </c>
      <c r="B51" t="str">
        <v>https://www.funda.nl/detail/koop/waalre/appartement-b1-03-3kmr-c-dorus-brabantia-bouwnr-3/44424930/</v>
      </c>
      <c r="C51" t="str">
        <v>Brabantiapark - Waalre</v>
      </c>
      <c r="D51" t="str">
        <v>B1-03 | 3kmr | C | Dorus | Brabantia</v>
      </c>
      <c r="E51" t="str">
        <v>3</v>
      </c>
      <c r="F51" t="str">
        <v>5583 BP</v>
      </c>
      <c r="G51" t="str">
        <v>Waalre</v>
      </c>
      <c r="H51" t="str">
        <v>Waalre</v>
      </c>
      <c r="I51" t="str">
        <v>Noord-Brabant</v>
      </c>
      <c r="J51" t="str">
        <v>Zuid-Nederland</v>
      </c>
      <c r="K51" t="str">
        <v>Te koop</v>
      </c>
      <c r="L51" t="str">
        <v>Onbekend</v>
      </c>
      <c r="M51" t="str">
        <v>Onbekend</v>
      </c>
      <c r="N51">
        <v>848000</v>
      </c>
      <c r="O51" t="str">
        <v>v.o.n.</v>
      </c>
      <c r="P51">
        <v>128</v>
      </c>
      <c r="Q51">
        <v>6625</v>
      </c>
      <c r="R51" t="str">
        <v>Onbekend</v>
      </c>
      <c r="S51" t="str">
        <v>A++</v>
      </c>
      <c r="T51">
        <v>3</v>
      </c>
      <c r="U51">
        <v>2</v>
      </c>
      <c r="V51" t="str">
        <v>Appartement</v>
      </c>
      <c r="W51" t="str">
        <v>Appartement</v>
      </c>
      <c r="X51" t="str">
        <v>Appartement &gt;100 m²</v>
      </c>
      <c r="Y51" t="str">
        <v>Ja</v>
      </c>
      <c r="Z51" t="str">
        <v>garage</v>
      </c>
      <c r="AA51" t="str">
        <v>2026</v>
      </c>
      <c r="AB51" t="str">
        <v>Nee</v>
      </c>
      <c r="AC51" t="str">
        <v>NEE</v>
      </c>
      <c r="AD51" t="str">
        <v>JA</v>
      </c>
    </row>
    <row r="52">
      <c r="A52" t="str">
        <v>44424938</v>
      </c>
      <c r="B52" t="str">
        <v>https://www.funda.nl/detail/koop/waalre/appartement-b3-10-2kmr-s2-rudolf-brabantia-bouwnr-43/44424938/</v>
      </c>
      <c r="C52" t="str">
        <v>Brabantiapark - Waalre</v>
      </c>
      <c r="D52" t="str">
        <v>B3-10 | 2kmr | S2 | Rudolf | Brabantia</v>
      </c>
      <c r="E52" t="str">
        <v>43</v>
      </c>
      <c r="F52" t="str">
        <v>5583 BP</v>
      </c>
      <c r="G52" t="str">
        <v>Waalre</v>
      </c>
      <c r="H52" t="str">
        <v>Waalre</v>
      </c>
      <c r="I52" t="str">
        <v>Noord-Brabant</v>
      </c>
      <c r="J52" t="str">
        <v>Zuid-Nederland</v>
      </c>
      <c r="K52" t="str">
        <v>Te koop</v>
      </c>
      <c r="L52" t="str">
        <v>Onbekend</v>
      </c>
      <c r="M52" t="str">
        <v>Onbekend</v>
      </c>
      <c r="N52">
        <v>347000</v>
      </c>
      <c r="O52" t="str">
        <v>v.o.n.</v>
      </c>
      <c r="P52">
        <v>49</v>
      </c>
      <c r="Q52">
        <v>7082</v>
      </c>
      <c r="R52" t="str">
        <v>Onbekend</v>
      </c>
      <c r="S52" t="str">
        <v>A++</v>
      </c>
      <c r="T52">
        <v>2</v>
      </c>
      <c r="U52">
        <v>1</v>
      </c>
      <c r="V52" t="str">
        <v>Appartement</v>
      </c>
      <c r="W52" t="str">
        <v>Appartement</v>
      </c>
      <c r="X52" t="str">
        <v>Appartement &lt;50 m²</v>
      </c>
      <c r="Y52" t="str">
        <v>Ja</v>
      </c>
      <c r="Z52" t="str">
        <v>garage</v>
      </c>
      <c r="AA52" t="str">
        <v>2026</v>
      </c>
      <c r="AB52" t="str">
        <v>Nee</v>
      </c>
      <c r="AC52" t="str">
        <v>NEE</v>
      </c>
      <c r="AD52" t="str">
        <v>JA</v>
      </c>
    </row>
    <row r="53">
      <c r="A53" t="str">
        <v>44424937</v>
      </c>
      <c r="B53" t="str">
        <v>https://www.funda.nl/detail/koop/waalre/appartement-b1-16-3kmr-j-dorus-brabantia-bouwnr-16/44424937/</v>
      </c>
      <c r="C53" t="str">
        <v>Brabantiapark - Waalre</v>
      </c>
      <c r="D53" t="str">
        <v>B1-16 | 3kmr | J | Dorus | Brabantia</v>
      </c>
      <c r="E53" t="str">
        <v>16</v>
      </c>
      <c r="F53" t="str">
        <v>5583 BP</v>
      </c>
      <c r="G53" t="str">
        <v>Waalre</v>
      </c>
      <c r="H53" t="str">
        <v>Waalre</v>
      </c>
      <c r="I53" t="str">
        <v>Noord-Brabant</v>
      </c>
      <c r="J53" t="str">
        <v>Zuid-Nederland</v>
      </c>
      <c r="K53" t="str">
        <v>Te koop</v>
      </c>
      <c r="L53" t="str">
        <v>Onbekend</v>
      </c>
      <c r="M53" t="str">
        <v>Onbekend</v>
      </c>
      <c r="N53">
        <v>935000</v>
      </c>
      <c r="O53" t="str">
        <v>v.o.n.</v>
      </c>
      <c r="P53">
        <v>136</v>
      </c>
      <c r="Q53">
        <v>6875</v>
      </c>
      <c r="R53" t="str">
        <v>Onbekend</v>
      </c>
      <c r="S53" t="str">
        <v>A++</v>
      </c>
      <c r="T53">
        <v>3</v>
      </c>
      <c r="U53">
        <v>2</v>
      </c>
      <c r="V53" t="str">
        <v>Appartement</v>
      </c>
      <c r="W53" t="str">
        <v>Appartement</v>
      </c>
      <c r="X53" t="str">
        <v>Appartement &gt;100 m²</v>
      </c>
      <c r="Y53" t="str">
        <v>Ja</v>
      </c>
      <c r="Z53" t="str">
        <v>garage</v>
      </c>
      <c r="AA53" t="str">
        <v>2026</v>
      </c>
      <c r="AB53" t="str">
        <v>Nee</v>
      </c>
      <c r="AC53" t="str">
        <v>NEE</v>
      </c>
      <c r="AD53" t="str">
        <v>JA</v>
      </c>
    </row>
    <row r="54">
      <c r="A54" t="str">
        <v>44424936</v>
      </c>
      <c r="B54" t="str">
        <v>https://www.funda.nl/detail/koop/waalre/appartement-b3-06-2kmr-s3-rudolf-brabantia-bouwnr-39/44424936/</v>
      </c>
      <c r="C54" t="str">
        <v>Brabantiapark - Waalre</v>
      </c>
      <c r="D54" t="str">
        <v>B3-06 | 2kmr | S3 | Rudolf | Brabantia</v>
      </c>
      <c r="E54" t="str">
        <v>39</v>
      </c>
      <c r="F54" t="str">
        <v>5583 BP</v>
      </c>
      <c r="G54" t="str">
        <v>Waalre</v>
      </c>
      <c r="H54" t="str">
        <v>Waalre</v>
      </c>
      <c r="I54" t="str">
        <v>Noord-Brabant</v>
      </c>
      <c r="J54" t="str">
        <v>Zuid-Nederland</v>
      </c>
      <c r="K54" t="str">
        <v>Te koop</v>
      </c>
      <c r="L54" t="str">
        <v>Onbekend</v>
      </c>
      <c r="M54" t="str">
        <v>Onbekend</v>
      </c>
      <c r="N54">
        <v>328500</v>
      </c>
      <c r="O54" t="str">
        <v>v.o.n.</v>
      </c>
      <c r="P54">
        <v>49</v>
      </c>
      <c r="Q54">
        <v>6704</v>
      </c>
      <c r="R54" t="str">
        <v>Onbekend</v>
      </c>
      <c r="S54" t="str">
        <v>A+++</v>
      </c>
      <c r="T54">
        <v>2</v>
      </c>
      <c r="U54">
        <v>1</v>
      </c>
      <c r="V54" t="str">
        <v>Appartement</v>
      </c>
      <c r="W54" t="str">
        <v>Appartement</v>
      </c>
      <c r="X54" t="str">
        <v>Appartement &lt;50 m²</v>
      </c>
      <c r="Y54" t="str">
        <v>Ja</v>
      </c>
      <c r="Z54" t="str">
        <v>garage</v>
      </c>
      <c r="AA54" t="str">
        <v>2026</v>
      </c>
      <c r="AB54" t="str">
        <v>Nee</v>
      </c>
      <c r="AC54" t="str">
        <v>NEE</v>
      </c>
      <c r="AD54" t="str">
        <v>JA</v>
      </c>
    </row>
    <row r="55">
      <c r="A55" t="str">
        <v>44424935</v>
      </c>
      <c r="B55" t="str">
        <v>https://www.funda.nl/detail/koop/waalre/appartement-b3-09-2kmr-s2-rudolf-brabantia-bouwnr-42/44424935/</v>
      </c>
      <c r="C55" t="str">
        <v>Brabantiapark - Waalre</v>
      </c>
      <c r="D55" t="str">
        <v>B3-09 | 2kmr | S2 | Rudolf | Brabantia</v>
      </c>
      <c r="E55" t="str">
        <v>42</v>
      </c>
      <c r="F55" t="str">
        <v>5583 BP</v>
      </c>
      <c r="G55" t="str">
        <v>Waalre</v>
      </c>
      <c r="H55" t="str">
        <v>Waalre</v>
      </c>
      <c r="I55" t="str">
        <v>Noord-Brabant</v>
      </c>
      <c r="J55" t="str">
        <v>Zuid-Nederland</v>
      </c>
      <c r="K55" t="str">
        <v>Te koop</v>
      </c>
      <c r="L55" t="str">
        <v>Onbekend</v>
      </c>
      <c r="M55" t="str">
        <v>Onbekend</v>
      </c>
      <c r="N55">
        <v>347000</v>
      </c>
      <c r="O55" t="str">
        <v>v.o.n.</v>
      </c>
      <c r="P55">
        <v>49</v>
      </c>
      <c r="Q55">
        <v>7082</v>
      </c>
      <c r="R55" t="str">
        <v>Onbekend</v>
      </c>
      <c r="S55" t="str">
        <v>A++</v>
      </c>
      <c r="T55">
        <v>2</v>
      </c>
      <c r="U55">
        <v>1</v>
      </c>
      <c r="V55" t="str">
        <v>Appartement</v>
      </c>
      <c r="W55" t="str">
        <v>Appartement</v>
      </c>
      <c r="X55" t="str">
        <v>Appartement &lt;50 m²</v>
      </c>
      <c r="Y55" t="str">
        <v>Ja</v>
      </c>
      <c r="Z55" t="str">
        <v>garage</v>
      </c>
      <c r="AA55" t="str">
        <v>2026</v>
      </c>
      <c r="AB55" t="str">
        <v>Nee</v>
      </c>
      <c r="AC55" t="str">
        <v>NEE</v>
      </c>
      <c r="AD55" t="str">
        <v>JA</v>
      </c>
    </row>
    <row r="56">
      <c r="A56" t="str">
        <v>44424934</v>
      </c>
      <c r="B56" t="str">
        <v>https://www.funda.nl/detail/koop/waalre/appartement-b2-14-3kmr-i-petrus-brabantia-bouwnr-31/44424934/</v>
      </c>
      <c r="C56" t="str">
        <v>Brabantiapark - Waalre</v>
      </c>
      <c r="D56" t="str">
        <v>B2-14 | 3kmr | I | Petrus | Brabantia</v>
      </c>
      <c r="E56" t="str">
        <v>31</v>
      </c>
      <c r="F56" t="str">
        <v>5583 BP</v>
      </c>
      <c r="G56" t="str">
        <v>Waalre</v>
      </c>
      <c r="H56" t="str">
        <v>Waalre</v>
      </c>
      <c r="I56" t="str">
        <v>Noord-Brabant</v>
      </c>
      <c r="J56" t="str">
        <v>Zuid-Nederland</v>
      </c>
      <c r="K56" t="str">
        <v>Te koop</v>
      </c>
      <c r="L56" t="str">
        <v>Onbekend</v>
      </c>
      <c r="M56" t="str">
        <v>Onbekend</v>
      </c>
      <c r="N56">
        <v>930000</v>
      </c>
      <c r="O56" t="str">
        <v>v.o.n.</v>
      </c>
      <c r="P56">
        <v>137</v>
      </c>
      <c r="Q56">
        <v>6788</v>
      </c>
      <c r="R56" t="str">
        <v>Onbekend</v>
      </c>
      <c r="S56" t="str">
        <v>A++</v>
      </c>
      <c r="T56">
        <v>3</v>
      </c>
      <c r="U56">
        <v>2</v>
      </c>
      <c r="V56" t="str">
        <v>Appartement</v>
      </c>
      <c r="W56" t="str">
        <v>Appartement</v>
      </c>
      <c r="X56" t="str">
        <v>Appartement &gt;100 m²</v>
      </c>
      <c r="Y56" t="str">
        <v>Ja</v>
      </c>
      <c r="Z56" t="str">
        <v>garage</v>
      </c>
      <c r="AA56" t="str">
        <v>2026</v>
      </c>
      <c r="AB56" t="str">
        <v>Nee</v>
      </c>
      <c r="AC56" t="str">
        <v>NEE</v>
      </c>
      <c r="AD56" t="str">
        <v>JA</v>
      </c>
    </row>
    <row r="57">
      <c r="A57" t="str">
        <v>44424922</v>
      </c>
      <c r="B57" t="str">
        <v>https://www.funda.nl/detail/koop/waalre/appartement-b2-10-3kmr-e-petrus-brabantia-bouwnr-27/44424922/</v>
      </c>
      <c r="C57" t="str">
        <v>Brabantiapark - Waalre</v>
      </c>
      <c r="D57" t="str">
        <v>B2-10 | 3kmr | E | Petrus | Brabantia</v>
      </c>
      <c r="E57" t="str">
        <v>27</v>
      </c>
      <c r="F57" t="str">
        <v>5583 BP</v>
      </c>
      <c r="G57" t="str">
        <v>Waalre</v>
      </c>
      <c r="H57" t="str">
        <v>Waalre</v>
      </c>
      <c r="I57" t="str">
        <v>Noord-Brabant</v>
      </c>
      <c r="J57" t="str">
        <v>Zuid-Nederland</v>
      </c>
      <c r="K57" t="str">
        <v>Te koop</v>
      </c>
      <c r="L57" t="str">
        <v>Onbekend</v>
      </c>
      <c r="M57" t="str">
        <v>Onbekend</v>
      </c>
      <c r="N57">
        <v>836500</v>
      </c>
      <c r="O57" t="str">
        <v>v.o.n.</v>
      </c>
      <c r="P57">
        <v>125</v>
      </c>
      <c r="Q57">
        <v>6692</v>
      </c>
      <c r="R57" t="str">
        <v>Onbekend</v>
      </c>
      <c r="S57" t="str">
        <v>A++</v>
      </c>
      <c r="T57">
        <v>3</v>
      </c>
      <c r="U57">
        <v>2</v>
      </c>
      <c r="V57" t="str">
        <v>Appartement</v>
      </c>
      <c r="W57" t="str">
        <v>Appartement</v>
      </c>
      <c r="X57" t="str">
        <v>Appartement &gt;100 m²</v>
      </c>
      <c r="Y57" t="str">
        <v>Ja</v>
      </c>
      <c r="Z57" t="str">
        <v>garage</v>
      </c>
      <c r="AA57" t="str">
        <v>2026</v>
      </c>
      <c r="AB57" t="str">
        <v>Nee</v>
      </c>
      <c r="AC57" t="str">
        <v>NEE</v>
      </c>
      <c r="AD57" t="str">
        <v>JA</v>
      </c>
    </row>
    <row r="58">
      <c r="A58" t="str">
        <v>44424921</v>
      </c>
      <c r="B58" t="str">
        <v>https://www.funda.nl/detail/koop/waalre/appartement-b3-07-2kmr-s3-rudolf-brabantia-bouwnr-40/44424921/</v>
      </c>
      <c r="C58" t="str">
        <v>Brabantiapark - Waalre</v>
      </c>
      <c r="D58" t="str">
        <v>B3-07 | 2kmr | S3 | Rudolf | Brabantia</v>
      </c>
      <c r="E58" t="str">
        <v>40</v>
      </c>
      <c r="F58" t="str">
        <v>5583 BP</v>
      </c>
      <c r="G58" t="str">
        <v>Waalre</v>
      </c>
      <c r="H58" t="str">
        <v>Waalre</v>
      </c>
      <c r="I58" t="str">
        <v>Noord-Brabant</v>
      </c>
      <c r="J58" t="str">
        <v>Zuid-Nederland</v>
      </c>
      <c r="K58" t="str">
        <v>Te koop</v>
      </c>
      <c r="L58" t="str">
        <v>Onbekend</v>
      </c>
      <c r="M58" t="str">
        <v>Onbekend</v>
      </c>
      <c r="N58">
        <v>328500</v>
      </c>
      <c r="O58" t="str">
        <v>v.o.n.</v>
      </c>
      <c r="P58">
        <v>49</v>
      </c>
      <c r="Q58">
        <v>6704</v>
      </c>
      <c r="R58" t="str">
        <v>Onbekend</v>
      </c>
      <c r="S58" t="str">
        <v>A+++</v>
      </c>
      <c r="T58">
        <v>2</v>
      </c>
      <c r="U58">
        <v>1</v>
      </c>
      <c r="V58" t="str">
        <v>Appartement</v>
      </c>
      <c r="W58" t="str">
        <v>Appartement</v>
      </c>
      <c r="X58" t="str">
        <v>Appartement &lt;50 m²</v>
      </c>
      <c r="Y58" t="str">
        <v>Ja</v>
      </c>
      <c r="Z58" t="str">
        <v>garage</v>
      </c>
      <c r="AA58" t="str">
        <v>2026</v>
      </c>
      <c r="AB58" t="str">
        <v>Nee</v>
      </c>
      <c r="AC58" t="str">
        <v>NEE</v>
      </c>
      <c r="AD58" t="str">
        <v>JA</v>
      </c>
    </row>
    <row r="59">
      <c r="A59" t="str">
        <v>44424920</v>
      </c>
      <c r="B59" t="str">
        <v>https://www.funda.nl/detail/koop/waalre/appartement-b3-04-2kmr-s2-rudolf-brabantia-bouwnr-37/44424920/</v>
      </c>
      <c r="C59" t="str">
        <v>Brabantiapark - Waalre</v>
      </c>
      <c r="D59" t="str">
        <v>B3-04 | 2kmr | S2 | Rudolf | Brabantia</v>
      </c>
      <c r="E59" t="str">
        <v>37</v>
      </c>
      <c r="F59" t="str">
        <v>5583 BP</v>
      </c>
      <c r="G59" t="str">
        <v>Waalre</v>
      </c>
      <c r="H59" t="str">
        <v>Waalre</v>
      </c>
      <c r="I59" t="str">
        <v>Noord-Brabant</v>
      </c>
      <c r="J59" t="str">
        <v>Zuid-Nederland</v>
      </c>
      <c r="K59" t="str">
        <v>Te koop</v>
      </c>
      <c r="L59" t="str">
        <v>Onbekend</v>
      </c>
      <c r="M59" t="str">
        <v>Onbekend</v>
      </c>
      <c r="N59">
        <v>345500</v>
      </c>
      <c r="O59" t="str">
        <v>v.o.n.</v>
      </c>
      <c r="P59">
        <v>49</v>
      </c>
      <c r="Q59">
        <v>7051</v>
      </c>
      <c r="R59" t="str">
        <v>Onbekend</v>
      </c>
      <c r="S59" t="str">
        <v>A++</v>
      </c>
      <c r="T59">
        <v>2</v>
      </c>
      <c r="U59">
        <v>1</v>
      </c>
      <c r="V59" t="str">
        <v>Appartement</v>
      </c>
      <c r="W59" t="str">
        <v>Appartement</v>
      </c>
      <c r="X59" t="str">
        <v>Appartement &lt;50 m²</v>
      </c>
      <c r="Y59" t="str">
        <v>Ja</v>
      </c>
      <c r="Z59" t="str">
        <v>garage</v>
      </c>
      <c r="AA59" t="str">
        <v>2026</v>
      </c>
      <c r="AB59" t="str">
        <v>Nee</v>
      </c>
      <c r="AC59" t="str">
        <v>NEE</v>
      </c>
      <c r="AD59" t="str">
        <v>JA</v>
      </c>
    </row>
    <row r="60">
      <c r="A60" t="str">
        <v>44424928</v>
      </c>
      <c r="B60" t="str">
        <v>https://www.funda.nl/detail/koop/waalre/appartement-b1-11-3kmr-f-dorus-brabantia-bouwnr-11/44424928/</v>
      </c>
      <c r="C60" t="str">
        <v>Brabantiapark - Waalre</v>
      </c>
      <c r="D60" t="str">
        <v>B1-11 | 3kmr | F | Dorus | Brabantia</v>
      </c>
      <c r="E60" t="str">
        <v>11</v>
      </c>
      <c r="F60" t="str">
        <v>5583 BP</v>
      </c>
      <c r="G60" t="str">
        <v>Waalre</v>
      </c>
      <c r="H60" t="str">
        <v>Waalre</v>
      </c>
      <c r="I60" t="str">
        <v>Noord-Brabant</v>
      </c>
      <c r="J60" t="str">
        <v>Zuid-Nederland</v>
      </c>
      <c r="K60" t="str">
        <v>Te koop</v>
      </c>
      <c r="L60" t="str">
        <v>Onbekend</v>
      </c>
      <c r="M60" t="str">
        <v>Onbekend</v>
      </c>
      <c r="N60">
        <v>844500</v>
      </c>
      <c r="O60" t="str">
        <v>v.o.n.</v>
      </c>
      <c r="P60">
        <v>125</v>
      </c>
      <c r="Q60">
        <v>6756</v>
      </c>
      <c r="R60" t="str">
        <v>Onbekend</v>
      </c>
      <c r="S60" t="str">
        <v>A+++</v>
      </c>
      <c r="T60">
        <v>3</v>
      </c>
      <c r="U60">
        <v>2</v>
      </c>
      <c r="V60" t="str">
        <v>Appartement</v>
      </c>
      <c r="W60" t="str">
        <v>Appartement</v>
      </c>
      <c r="X60" t="str">
        <v>Appartement &gt;100 m²</v>
      </c>
      <c r="Y60" t="str">
        <v>Ja</v>
      </c>
      <c r="Z60" t="str">
        <v>garage</v>
      </c>
      <c r="AA60" t="str">
        <v>2026</v>
      </c>
      <c r="AB60" t="str">
        <v>Nee</v>
      </c>
      <c r="AC60" t="str">
        <v>NEE</v>
      </c>
      <c r="AD60" t="str">
        <v>JA</v>
      </c>
    </row>
    <row r="61">
      <c r="A61" t="str">
        <v>44424927</v>
      </c>
      <c r="B61" t="str">
        <v>https://www.funda.nl/detail/koop/waalre/appartement-b2-02-3kmr-b-petrus-brabantia-bouwnr-19/44424927/</v>
      </c>
      <c r="C61" t="str">
        <v>Brabantiapark - Waalre</v>
      </c>
      <c r="D61" t="str">
        <v>B2-02 | 3kmr | B | Petrus | Brabantia</v>
      </c>
      <c r="E61" t="str">
        <v>19</v>
      </c>
      <c r="F61" t="str">
        <v>5583 BP</v>
      </c>
      <c r="G61" t="str">
        <v>Waalre</v>
      </c>
      <c r="H61" t="str">
        <v>Waalre</v>
      </c>
      <c r="I61" t="str">
        <v>Noord-Brabant</v>
      </c>
      <c r="J61" t="str">
        <v>Zuid-Nederland</v>
      </c>
      <c r="K61" t="str">
        <v>Te koop</v>
      </c>
      <c r="L61" t="str">
        <v>Onbekend</v>
      </c>
      <c r="M61" t="str">
        <v>Onbekend</v>
      </c>
      <c r="N61">
        <v>937500</v>
      </c>
      <c r="O61" t="str">
        <v>v.o.n.</v>
      </c>
      <c r="P61">
        <v>140</v>
      </c>
      <c r="Q61">
        <v>6696</v>
      </c>
      <c r="R61" t="str">
        <v>Onbekend</v>
      </c>
      <c r="S61" t="str">
        <v>A++</v>
      </c>
      <c r="T61">
        <v>3</v>
      </c>
      <c r="U61">
        <v>2</v>
      </c>
      <c r="V61" t="str">
        <v>Appartement</v>
      </c>
      <c r="W61" t="str">
        <v>Appartement</v>
      </c>
      <c r="X61" t="str">
        <v>Appartement &gt;100 m²</v>
      </c>
      <c r="Y61" t="str">
        <v>Ja</v>
      </c>
      <c r="Z61" t="str">
        <v>garage</v>
      </c>
      <c r="AA61" t="str">
        <v>2026</v>
      </c>
      <c r="AB61" t="str">
        <v>Nee</v>
      </c>
      <c r="AC61" t="str">
        <v>NEE</v>
      </c>
      <c r="AD61" t="str">
        <v>JA</v>
      </c>
    </row>
    <row r="62">
      <c r="A62" t="str">
        <v>44424924</v>
      </c>
      <c r="B62" t="str">
        <v>https://www.funda.nl/detail/koop/waalre/appartement-b2-07-3kmr-b-petrus-brabantia-bouwnr-24/44424924/</v>
      </c>
      <c r="C62" t="str">
        <v>Brabantiapark - Waalre</v>
      </c>
      <c r="D62" t="str">
        <v>B2-07 | 3kmr | B | Petrus | Brabantia</v>
      </c>
      <c r="E62" t="str">
        <v>24</v>
      </c>
      <c r="F62" t="str">
        <v>5583 BP</v>
      </c>
      <c r="G62" t="str">
        <v>Waalre</v>
      </c>
      <c r="H62" t="str">
        <v>Waalre</v>
      </c>
      <c r="I62" t="str">
        <v>Noord-Brabant</v>
      </c>
      <c r="J62" t="str">
        <v>Zuid-Nederland</v>
      </c>
      <c r="K62" t="str">
        <v>Te koop</v>
      </c>
      <c r="L62" t="str">
        <v>2026-07-09</v>
      </c>
      <c r="M62">
        <v>4</v>
      </c>
      <c r="N62">
        <v>941500</v>
      </c>
      <c r="O62" t="str">
        <v>v.o.n.</v>
      </c>
      <c r="P62">
        <v>140</v>
      </c>
      <c r="Q62">
        <v>6725</v>
      </c>
      <c r="R62" t="str">
        <v>Onbekend</v>
      </c>
      <c r="S62" t="str">
        <v>A+++</v>
      </c>
      <c r="T62">
        <v>3</v>
      </c>
      <c r="U62">
        <v>2</v>
      </c>
      <c r="V62" t="str">
        <v>Appartement</v>
      </c>
      <c r="W62" t="str">
        <v>Appartement</v>
      </c>
      <c r="X62" t="str">
        <v>Appartement &gt;100 m²</v>
      </c>
      <c r="Y62" t="str">
        <v>Ja</v>
      </c>
      <c r="Z62" t="str">
        <v>garage</v>
      </c>
      <c r="AA62" t="str">
        <v>2026</v>
      </c>
      <c r="AB62" t="str">
        <v>Nee</v>
      </c>
      <c r="AC62" t="str">
        <v>NEE</v>
      </c>
      <c r="AD62" t="str">
        <v>JA</v>
      </c>
    </row>
    <row r="63">
      <c r="A63" t="str">
        <v>44424923</v>
      </c>
      <c r="B63" t="str">
        <v>https://www.funda.nl/detail/koop/waalre/appartement-b1-12-3kmr-g-dorus-brabantia-bouwnr-12/44424923/</v>
      </c>
      <c r="C63" t="str">
        <v>Brabantiapark - Waalre</v>
      </c>
      <c r="D63" t="str">
        <v>B1-12 | 3kmr | G | Dorus | Brabantia</v>
      </c>
      <c r="E63" t="str">
        <v>12</v>
      </c>
      <c r="F63" t="str">
        <v>5583 BP</v>
      </c>
      <c r="G63" t="str">
        <v>Waalre</v>
      </c>
      <c r="H63" t="str">
        <v>Waalre</v>
      </c>
      <c r="I63" t="str">
        <v>Noord-Brabant</v>
      </c>
      <c r="J63" t="str">
        <v>Zuid-Nederland</v>
      </c>
      <c r="K63" t="str">
        <v>Te koop</v>
      </c>
      <c r="L63" t="str">
        <v>Onbekend</v>
      </c>
      <c r="M63" t="str">
        <v>Onbekend</v>
      </c>
      <c r="N63">
        <v>1099000</v>
      </c>
      <c r="O63" t="str">
        <v>v.o.n.</v>
      </c>
      <c r="P63">
        <v>165</v>
      </c>
      <c r="Q63">
        <v>6661</v>
      </c>
      <c r="R63" t="str">
        <v>Onbekend</v>
      </c>
      <c r="S63" t="str">
        <v>A+++</v>
      </c>
      <c r="T63">
        <v>3</v>
      </c>
      <c r="U63">
        <v>2</v>
      </c>
      <c r="V63" t="str">
        <v>Appartement</v>
      </c>
      <c r="W63" t="str">
        <v>Appartement</v>
      </c>
      <c r="X63" t="str">
        <v>Appartement &gt;100 m²</v>
      </c>
      <c r="Y63" t="str">
        <v>Ja</v>
      </c>
      <c r="Z63" t="str">
        <v>garage</v>
      </c>
      <c r="AA63" t="str">
        <v>2026</v>
      </c>
      <c r="AB63" t="str">
        <v>Nee</v>
      </c>
      <c r="AC63" t="str">
        <v>NEE</v>
      </c>
      <c r="AD63" t="str">
        <v>JA</v>
      </c>
    </row>
    <row r="64">
      <c r="A64" t="str">
        <v>44424912</v>
      </c>
      <c r="B64" t="str">
        <v>https://www.funda.nl/detail/koop/waalre/appartement-b2-05-3kmr-e-petrus-brabantia-bouwnr-22/44424912/</v>
      </c>
      <c r="C64" t="str">
        <v>Brabantiapark - Waalre</v>
      </c>
      <c r="D64" t="str">
        <v>B2-05 | 3kmr | E | Petrus | Brabantia</v>
      </c>
      <c r="E64" t="str">
        <v>22</v>
      </c>
      <c r="F64" t="str">
        <v>5583 BP</v>
      </c>
      <c r="G64" t="str">
        <v>Waalre</v>
      </c>
      <c r="H64" t="str">
        <v>Waalre</v>
      </c>
      <c r="I64" t="str">
        <v>Noord-Brabant</v>
      </c>
      <c r="J64" t="str">
        <v>Zuid-Nederland</v>
      </c>
      <c r="K64" t="str">
        <v>Te koop</v>
      </c>
      <c r="L64" t="str">
        <v>Onbekend</v>
      </c>
      <c r="M64" t="str">
        <v>Onbekend</v>
      </c>
      <c r="N64">
        <v>832500</v>
      </c>
      <c r="O64" t="str">
        <v>v.o.n.</v>
      </c>
      <c r="P64">
        <v>125</v>
      </c>
      <c r="Q64">
        <v>6660</v>
      </c>
      <c r="R64" t="str">
        <v>Onbekend</v>
      </c>
      <c r="S64" t="str">
        <v>A++</v>
      </c>
      <c r="T64">
        <v>3</v>
      </c>
      <c r="U64">
        <v>2</v>
      </c>
      <c r="V64" t="str">
        <v>Appartement</v>
      </c>
      <c r="W64" t="str">
        <v>Appartement</v>
      </c>
      <c r="X64" t="str">
        <v>Appartement &gt;100 m²</v>
      </c>
      <c r="Y64" t="str">
        <v>Ja</v>
      </c>
      <c r="Z64" t="str">
        <v>garage</v>
      </c>
      <c r="AA64" t="str">
        <v>2026</v>
      </c>
      <c r="AB64" t="str">
        <v>Nee</v>
      </c>
      <c r="AC64" t="str">
        <v>NEE</v>
      </c>
      <c r="AD64" t="str">
        <v>JA</v>
      </c>
    </row>
    <row r="65">
      <c r="A65" t="str">
        <v>44424911</v>
      </c>
      <c r="B65" t="str">
        <v>https://www.funda.nl/detail/koop/waalre/appartement-b2-11-3kmr-f-dorus-brabantia-bouwnr-28/44424911/</v>
      </c>
      <c r="C65" t="str">
        <v>Brabantiapark - Waalre</v>
      </c>
      <c r="D65" t="str">
        <v>B2-11 | 3kmr | F | Dorus | Brabantia</v>
      </c>
      <c r="E65" t="str">
        <v>28</v>
      </c>
      <c r="F65" t="str">
        <v>5583 BP</v>
      </c>
      <c r="G65" t="str">
        <v>Waalre</v>
      </c>
      <c r="H65" t="str">
        <v>Waalre</v>
      </c>
      <c r="I65" t="str">
        <v>Noord-Brabant</v>
      </c>
      <c r="J65" t="str">
        <v>Zuid-Nederland</v>
      </c>
      <c r="K65" t="str">
        <v>Te koop</v>
      </c>
      <c r="L65" t="str">
        <v>Onbekend</v>
      </c>
      <c r="M65" t="str">
        <v>Onbekend</v>
      </c>
      <c r="N65">
        <v>860000</v>
      </c>
      <c r="O65" t="str">
        <v>v.o.n.</v>
      </c>
      <c r="P65">
        <v>125</v>
      </c>
      <c r="Q65">
        <v>6880</v>
      </c>
      <c r="R65" t="str">
        <v>Onbekend</v>
      </c>
      <c r="S65" t="str">
        <v>A+++</v>
      </c>
      <c r="T65">
        <v>3</v>
      </c>
      <c r="U65">
        <v>2</v>
      </c>
      <c r="V65" t="str">
        <v>Appartement</v>
      </c>
      <c r="W65" t="str">
        <v>Appartement</v>
      </c>
      <c r="X65" t="str">
        <v>Appartement &gt;100 m²</v>
      </c>
      <c r="Y65" t="str">
        <v>Ja</v>
      </c>
      <c r="Z65" t="str">
        <v>garage</v>
      </c>
      <c r="AA65" t="str">
        <v>2026</v>
      </c>
      <c r="AB65" t="str">
        <v>Nee</v>
      </c>
      <c r="AC65" t="str">
        <v>NEE</v>
      </c>
      <c r="AD65" t="str">
        <v>JA</v>
      </c>
    </row>
    <row r="66">
      <c r="A66" t="str">
        <v>44424910</v>
      </c>
      <c r="B66" t="str">
        <v>https://www.funda.nl/detail/koop/waalre/appartement-b2-04-3kmr-d-petrus-brabantia-bouwnr-21/44424910/</v>
      </c>
      <c r="C66" t="str">
        <v>Brabantiapark - Waalre</v>
      </c>
      <c r="D66" t="str">
        <v>B2-04 | 3kmr | D | Petrus | Brabantia</v>
      </c>
      <c r="E66" t="str">
        <v>21</v>
      </c>
      <c r="F66" t="str">
        <v>5583 BP</v>
      </c>
      <c r="G66" t="str">
        <v>Waalre</v>
      </c>
      <c r="H66" t="str">
        <v>Waalre</v>
      </c>
      <c r="I66" t="str">
        <v>Noord-Brabant</v>
      </c>
      <c r="J66" t="str">
        <v>Zuid-Nederland</v>
      </c>
      <c r="K66" t="str">
        <v>Te koop</v>
      </c>
      <c r="L66" t="str">
        <v>Onbekend</v>
      </c>
      <c r="M66" t="str">
        <v>Onbekend</v>
      </c>
      <c r="N66">
        <v>791000</v>
      </c>
      <c r="O66" t="str">
        <v>v.o.n.</v>
      </c>
      <c r="P66">
        <v>116</v>
      </c>
      <c r="Q66">
        <v>6819</v>
      </c>
      <c r="R66" t="str">
        <v>Onbekend</v>
      </c>
      <c r="S66" t="str">
        <v>A++</v>
      </c>
      <c r="T66">
        <v>3</v>
      </c>
      <c r="U66">
        <v>2</v>
      </c>
      <c r="V66" t="str">
        <v>Appartement</v>
      </c>
      <c r="W66" t="str">
        <v>Appartement</v>
      </c>
      <c r="X66" t="str">
        <v>Appartement &gt;100 m²</v>
      </c>
      <c r="Y66" t="str">
        <v>Ja</v>
      </c>
      <c r="Z66" t="str">
        <v>garage</v>
      </c>
      <c r="AA66" t="str">
        <v>2026</v>
      </c>
      <c r="AB66" t="str">
        <v>Nee</v>
      </c>
      <c r="AC66" t="str">
        <v>NEE</v>
      </c>
      <c r="AD66" t="str">
        <v>JA</v>
      </c>
    </row>
    <row r="67">
      <c r="A67" t="str">
        <v>44424919</v>
      </c>
      <c r="B67" t="str">
        <v>https://www.funda.nl/detail/koop/waalre/appartement-b1-02-3kmr-b-dorus-brabantia-bouwnr-2/44424919/</v>
      </c>
      <c r="C67" t="str">
        <v>Brabantiapark - Waalre</v>
      </c>
      <c r="D67" t="str">
        <v>B1-02 | 3kmr | B | Dorus | Brabantia</v>
      </c>
      <c r="E67" t="str">
        <v>2</v>
      </c>
      <c r="F67" t="str">
        <v>5583 BP</v>
      </c>
      <c r="G67" t="str">
        <v>Waalre</v>
      </c>
      <c r="H67" t="str">
        <v>Waalre</v>
      </c>
      <c r="I67" t="str">
        <v>Noord-Brabant</v>
      </c>
      <c r="J67" t="str">
        <v>Zuid-Nederland</v>
      </c>
      <c r="K67" t="str">
        <v>Te koop</v>
      </c>
      <c r="L67" t="str">
        <v>Onbekend</v>
      </c>
      <c r="M67" t="str">
        <v>Onbekend</v>
      </c>
      <c r="N67">
        <v>935000</v>
      </c>
      <c r="O67" t="str">
        <v>v.o.n.</v>
      </c>
      <c r="P67">
        <v>141</v>
      </c>
      <c r="Q67">
        <v>6631</v>
      </c>
      <c r="R67" t="str">
        <v>Onbekend</v>
      </c>
      <c r="S67" t="str">
        <v>A+++</v>
      </c>
      <c r="T67">
        <v>3</v>
      </c>
      <c r="U67">
        <v>2</v>
      </c>
      <c r="V67" t="str">
        <v>Appartement</v>
      </c>
      <c r="W67" t="str">
        <v>Appartement</v>
      </c>
      <c r="X67" t="str">
        <v>Appartement &gt;100 m²</v>
      </c>
      <c r="Y67" t="str">
        <v>Ja</v>
      </c>
      <c r="Z67" t="str">
        <v>garage</v>
      </c>
      <c r="AA67" t="str">
        <v>2026</v>
      </c>
      <c r="AB67" t="str">
        <v>Nee</v>
      </c>
      <c r="AC67" t="str">
        <v>NEE</v>
      </c>
      <c r="AD67" t="str">
        <v>JA</v>
      </c>
    </row>
    <row r="68">
      <c r="A68" t="str">
        <v>44424918</v>
      </c>
      <c r="B68" t="str">
        <v>https://www.funda.nl/detail/koop/waalre/appartement-b1-13-3kmr-h-dorus-brabantia-bouwnr-13/44424918/</v>
      </c>
      <c r="C68" t="str">
        <v>Brabantiapark - Waalre</v>
      </c>
      <c r="D68" t="str">
        <v>B1-13 | 3kmr | H | Dorus | Brabantia</v>
      </c>
      <c r="E68" t="str">
        <v>13</v>
      </c>
      <c r="F68" t="str">
        <v>5583 BP</v>
      </c>
      <c r="G68" t="str">
        <v>Waalre</v>
      </c>
      <c r="H68" t="str">
        <v>Waalre</v>
      </c>
      <c r="I68" t="str">
        <v>Noord-Brabant</v>
      </c>
      <c r="J68" t="str">
        <v>Zuid-Nederland</v>
      </c>
      <c r="K68" t="str">
        <v>Te koop</v>
      </c>
      <c r="L68" t="str">
        <v>Onbekend</v>
      </c>
      <c r="M68" t="str">
        <v>Onbekend</v>
      </c>
      <c r="N68">
        <v>834000</v>
      </c>
      <c r="O68" t="str">
        <v>v.o.n.</v>
      </c>
      <c r="P68">
        <v>123</v>
      </c>
      <c r="Q68">
        <v>6780</v>
      </c>
      <c r="R68" t="str">
        <v>Onbekend</v>
      </c>
      <c r="S68" t="str">
        <v>A+++</v>
      </c>
      <c r="T68">
        <v>3</v>
      </c>
      <c r="U68">
        <v>2</v>
      </c>
      <c r="V68" t="str">
        <v>Appartement</v>
      </c>
      <c r="W68" t="str">
        <v>Appartement</v>
      </c>
      <c r="X68" t="str">
        <v>Appartement &gt;100 m²</v>
      </c>
      <c r="Y68" t="str">
        <v>Ja</v>
      </c>
      <c r="Z68" t="str">
        <v>garage</v>
      </c>
      <c r="AA68" t="str">
        <v>2026</v>
      </c>
      <c r="AB68" t="str">
        <v>Nee</v>
      </c>
      <c r="AC68" t="str">
        <v>NEE</v>
      </c>
      <c r="AD68" t="str">
        <v>JA</v>
      </c>
    </row>
    <row r="69">
      <c r="A69" t="str">
        <v>44424917</v>
      </c>
      <c r="B69" t="str">
        <v>https://www.funda.nl/detail/koop/waalre/appartement-b1-10-3kmr-e-dorus-brabantia-bouwnr-10/44424917/</v>
      </c>
      <c r="C69" t="str">
        <v>Brabantiapark - Waalre</v>
      </c>
      <c r="D69" t="str">
        <v>B1-10 | 3kmr | E | Dorus | Brabantia</v>
      </c>
      <c r="E69" t="str">
        <v>10</v>
      </c>
      <c r="F69" t="str">
        <v>5583 BP</v>
      </c>
      <c r="G69" t="str">
        <v>Waalre</v>
      </c>
      <c r="H69" t="str">
        <v>Waalre</v>
      </c>
      <c r="I69" t="str">
        <v>Noord-Brabant</v>
      </c>
      <c r="J69" t="str">
        <v>Zuid-Nederland</v>
      </c>
      <c r="K69" t="str">
        <v>Te koop</v>
      </c>
      <c r="L69" t="str">
        <v>Onbekend</v>
      </c>
      <c r="M69" t="str">
        <v>Onbekend</v>
      </c>
      <c r="N69">
        <v>842000</v>
      </c>
      <c r="O69" t="str">
        <v>v.o.n.</v>
      </c>
      <c r="P69">
        <v>125</v>
      </c>
      <c r="Q69">
        <v>6736</v>
      </c>
      <c r="R69" t="str">
        <v>Onbekend</v>
      </c>
      <c r="S69" t="str">
        <v>A+++</v>
      </c>
      <c r="T69">
        <v>3</v>
      </c>
      <c r="U69">
        <v>2</v>
      </c>
      <c r="V69" t="str">
        <v>Appartement</v>
      </c>
      <c r="W69" t="str">
        <v>Appartement</v>
      </c>
      <c r="X69" t="str">
        <v>Appartement &gt;100 m²</v>
      </c>
      <c r="Y69" t="str">
        <v>Ja</v>
      </c>
      <c r="Z69" t="str">
        <v>garage</v>
      </c>
      <c r="AA69" t="str">
        <v>2026</v>
      </c>
      <c r="AB69" t="str">
        <v>Nee</v>
      </c>
      <c r="AC69" t="str">
        <v>NEE</v>
      </c>
      <c r="AD69" t="str">
        <v>JA</v>
      </c>
    </row>
    <row r="70">
      <c r="A70" t="str">
        <v>44424916</v>
      </c>
      <c r="B70" t="str">
        <v>https://www.funda.nl/detail/koop/waalre/appartement-b1-08-3kmr-c-dorus-brabantia-bouwnr-8/44424916/</v>
      </c>
      <c r="C70" t="str">
        <v>Brabantiapark - Waalre</v>
      </c>
      <c r="D70" t="str">
        <v>B1-08 | 3kmr | C | Dorus | Brabantia</v>
      </c>
      <c r="E70" t="str">
        <v>8</v>
      </c>
      <c r="F70" t="str">
        <v>5583 BP</v>
      </c>
      <c r="G70" t="str">
        <v>Waalre</v>
      </c>
      <c r="H70" t="str">
        <v>Waalre</v>
      </c>
      <c r="I70" t="str">
        <v>Noord-Brabant</v>
      </c>
      <c r="J70" t="str">
        <v>Zuid-Nederland</v>
      </c>
      <c r="K70" t="str">
        <v>Te koop</v>
      </c>
      <c r="L70" t="str">
        <v>Onbekend</v>
      </c>
      <c r="M70" t="str">
        <v>Onbekend</v>
      </c>
      <c r="N70">
        <v>852000</v>
      </c>
      <c r="O70" t="str">
        <v>v.o.n.</v>
      </c>
      <c r="P70">
        <v>128</v>
      </c>
      <c r="Q70">
        <v>6656</v>
      </c>
      <c r="R70" t="str">
        <v>Onbekend</v>
      </c>
      <c r="S70" t="str">
        <v>A+++</v>
      </c>
      <c r="T70">
        <v>3</v>
      </c>
      <c r="U70">
        <v>2</v>
      </c>
      <c r="V70" t="str">
        <v>Appartement</v>
      </c>
      <c r="W70" t="str">
        <v>Appartement</v>
      </c>
      <c r="X70" t="str">
        <v>Appartement &gt;100 m²</v>
      </c>
      <c r="Y70" t="str">
        <v>Ja</v>
      </c>
      <c r="Z70" t="str">
        <v>garage</v>
      </c>
      <c r="AA70" t="str">
        <v>2026</v>
      </c>
      <c r="AB70" t="str">
        <v>Nee</v>
      </c>
      <c r="AC70" t="str">
        <v>NEE</v>
      </c>
      <c r="AD70" t="str">
        <v>JA</v>
      </c>
    </row>
    <row r="71">
      <c r="A71" t="str">
        <v>44424915</v>
      </c>
      <c r="B71" t="str">
        <v>https://www.funda.nl/detail/koop/waalre/appartement-b2-03-3kmr-c-petrus-brabantia-bouwnr-20/44424915/</v>
      </c>
      <c r="C71" t="str">
        <v>Brabantiapark - Waalre</v>
      </c>
      <c r="D71" t="str">
        <v>B2-03 | 3kmr | C | Petrus | Brabantia</v>
      </c>
      <c r="E71" t="str">
        <v>20</v>
      </c>
      <c r="F71" t="str">
        <v>5583 BP</v>
      </c>
      <c r="G71" t="str">
        <v>Waalre</v>
      </c>
      <c r="H71" t="str">
        <v>Waalre</v>
      </c>
      <c r="I71" t="str">
        <v>Noord-Brabant</v>
      </c>
      <c r="J71" t="str">
        <v>Zuid-Nederland</v>
      </c>
      <c r="K71" t="str">
        <v>Te koop</v>
      </c>
      <c r="L71" t="str">
        <v>Onbekend</v>
      </c>
      <c r="M71" t="str">
        <v>Onbekend</v>
      </c>
      <c r="N71">
        <v>873500</v>
      </c>
      <c r="O71" t="str">
        <v>v.o.n.</v>
      </c>
      <c r="P71">
        <v>128</v>
      </c>
      <c r="Q71">
        <v>6824</v>
      </c>
      <c r="R71" t="str">
        <v>Onbekend</v>
      </c>
      <c r="S71" t="str">
        <v>A++</v>
      </c>
      <c r="T71">
        <v>3</v>
      </c>
      <c r="U71">
        <v>2</v>
      </c>
      <c r="V71" t="str">
        <v>Appartement</v>
      </c>
      <c r="W71" t="str">
        <v>Appartement</v>
      </c>
      <c r="X71" t="str">
        <v>Appartement &gt;100 m²</v>
      </c>
      <c r="Y71" t="str">
        <v>Ja</v>
      </c>
      <c r="Z71" t="str">
        <v>garage</v>
      </c>
      <c r="AA71" t="str">
        <v>2026</v>
      </c>
      <c r="AB71" t="str">
        <v>Nee</v>
      </c>
      <c r="AC71" t="str">
        <v>NEE</v>
      </c>
      <c r="AD71" t="str">
        <v>JA</v>
      </c>
    </row>
    <row r="72">
      <c r="A72" t="str">
        <v>44424914</v>
      </c>
      <c r="B72" t="str">
        <v>https://www.funda.nl/detail/koop/waalre/appartement-b1-07-3kmr-b-dorus-brabantia-bouwnr-7/44424914/</v>
      </c>
      <c r="C72" t="str">
        <v>Brabantiapark - Waalre</v>
      </c>
      <c r="D72" t="str">
        <v>B1-07 | 3kmr | B | Dorus | Brabantia</v>
      </c>
      <c r="E72" t="str">
        <v>7</v>
      </c>
      <c r="F72" t="str">
        <v>5583 BP</v>
      </c>
      <c r="G72" t="str">
        <v>Waalre</v>
      </c>
      <c r="H72" t="str">
        <v>Waalre</v>
      </c>
      <c r="I72" t="str">
        <v>Noord-Brabant</v>
      </c>
      <c r="J72" t="str">
        <v>Zuid-Nederland</v>
      </c>
      <c r="K72" t="str">
        <v>Te koop</v>
      </c>
      <c r="L72" t="str">
        <v>Onbekend</v>
      </c>
      <c r="M72" t="str">
        <v>Onbekend</v>
      </c>
      <c r="N72">
        <v>939000</v>
      </c>
      <c r="O72" t="str">
        <v>v.o.n.</v>
      </c>
      <c r="P72">
        <v>141</v>
      </c>
      <c r="Q72">
        <v>6660</v>
      </c>
      <c r="R72" t="str">
        <v>Onbekend</v>
      </c>
      <c r="S72" t="str">
        <v>A+++</v>
      </c>
      <c r="T72">
        <v>3</v>
      </c>
      <c r="U72">
        <v>2</v>
      </c>
      <c r="V72" t="str">
        <v>Appartement</v>
      </c>
      <c r="W72" t="str">
        <v>Appartement</v>
      </c>
      <c r="X72" t="str">
        <v>Appartement &gt;100 m²</v>
      </c>
      <c r="Y72" t="str">
        <v>Ja</v>
      </c>
      <c r="Z72" t="str">
        <v>garage</v>
      </c>
      <c r="AA72" t="str">
        <v>2026</v>
      </c>
      <c r="AB72" t="str">
        <v>Nee</v>
      </c>
      <c r="AC72" t="str">
        <v>NEE</v>
      </c>
      <c r="AD72" t="str">
        <v>JA</v>
      </c>
    </row>
    <row r="73">
      <c r="A73" t="str">
        <v>44424913</v>
      </c>
      <c r="B73" t="str">
        <v>https://www.funda.nl/detail/koop/waalre/appartement-b1-04-3kmr-d-dorus-brabantia-bouwnr-4/44424913/</v>
      </c>
      <c r="C73" t="str">
        <v>Brabantiapark - Waalre</v>
      </c>
      <c r="D73" t="str">
        <v>B1-04 | 3kmr | D | Dorus | Brabantia</v>
      </c>
      <c r="E73" t="str">
        <v>4</v>
      </c>
      <c r="F73" t="str">
        <v>5583 BP</v>
      </c>
      <c r="G73" t="str">
        <v>Waalre</v>
      </c>
      <c r="H73" t="str">
        <v>Waalre</v>
      </c>
      <c r="I73" t="str">
        <v>Noord-Brabant</v>
      </c>
      <c r="J73" t="str">
        <v>Zuid-Nederland</v>
      </c>
      <c r="K73" t="str">
        <v>Te koop</v>
      </c>
      <c r="L73" t="str">
        <v>Onbekend</v>
      </c>
      <c r="M73" t="str">
        <v>Onbekend</v>
      </c>
      <c r="N73">
        <v>793000</v>
      </c>
      <c r="O73" t="str">
        <v>v.o.n.</v>
      </c>
      <c r="P73">
        <v>116</v>
      </c>
      <c r="Q73">
        <v>6836</v>
      </c>
      <c r="R73" t="str">
        <v>Onbekend</v>
      </c>
      <c r="S73" t="str">
        <v>A++</v>
      </c>
      <c r="T73">
        <v>3</v>
      </c>
      <c r="U73">
        <v>2</v>
      </c>
      <c r="V73" t="str">
        <v>Appartement</v>
      </c>
      <c r="W73" t="str">
        <v>Appartement</v>
      </c>
      <c r="X73" t="str">
        <v>Appartement &gt;100 m²</v>
      </c>
      <c r="Y73" t="str">
        <v>Ja</v>
      </c>
      <c r="Z73" t="str">
        <v>garage</v>
      </c>
      <c r="AA73" t="str">
        <v>2026</v>
      </c>
      <c r="AB73" t="str">
        <v>Nee</v>
      </c>
      <c r="AC73" t="str">
        <v>NEE</v>
      </c>
      <c r="AD73" t="str">
        <v>JA</v>
      </c>
    </row>
    <row r="74">
      <c r="A74" t="str">
        <v>44424902</v>
      </c>
      <c r="B74" t="str">
        <v>https://www.funda.nl/detail/koop/waalre/appartement-b1-01-2kmr-a-dorus-brabantia-bouwnr-1/44424902/</v>
      </c>
      <c r="C74" t="str">
        <v>Brabantiapark - Waalre</v>
      </c>
      <c r="D74" t="str">
        <v>B1-01 | 2kmr | A | Dorus | Brabantia</v>
      </c>
      <c r="E74" t="str">
        <v>1</v>
      </c>
      <c r="F74" t="str">
        <v>5583 BP</v>
      </c>
      <c r="G74" t="str">
        <v>Waalre</v>
      </c>
      <c r="H74" t="str">
        <v>Waalre</v>
      </c>
      <c r="I74" t="str">
        <v>Noord-Brabant</v>
      </c>
      <c r="J74" t="str">
        <v>Zuid-Nederland</v>
      </c>
      <c r="K74" t="str">
        <v>Te koop</v>
      </c>
      <c r="L74" t="str">
        <v>Onbekend</v>
      </c>
      <c r="M74" t="str">
        <v>Onbekend</v>
      </c>
      <c r="N74">
        <v>668500</v>
      </c>
      <c r="O74" t="str">
        <v>v.o.n.</v>
      </c>
      <c r="P74">
        <v>100</v>
      </c>
      <c r="Q74">
        <v>6685</v>
      </c>
      <c r="R74" t="str">
        <v>Onbekend</v>
      </c>
      <c r="S74" t="str">
        <v>A+++</v>
      </c>
      <c r="T74">
        <v>2</v>
      </c>
      <c r="U74">
        <v>1</v>
      </c>
      <c r="V74" t="str">
        <v>Appartement</v>
      </c>
      <c r="W74" t="str">
        <v>Appartement</v>
      </c>
      <c r="X74" t="str">
        <v>Appartement &gt;100 m²</v>
      </c>
      <c r="Y74" t="str">
        <v>Ja</v>
      </c>
      <c r="Z74" t="str">
        <v>garage</v>
      </c>
      <c r="AA74" t="str">
        <v>2026</v>
      </c>
      <c r="AB74" t="str">
        <v>Nee</v>
      </c>
      <c r="AC74" t="str">
        <v>NEE</v>
      </c>
      <c r="AD74" t="str">
        <v>JA</v>
      </c>
    </row>
    <row r="75">
      <c r="A75" t="str">
        <v>44424901</v>
      </c>
      <c r="B75" t="str">
        <v>https://www.funda.nl/detail/koop/waalre/appartement-b2-09-3kmr-d-petrus-brabantia-bouwnr-26/44424901/</v>
      </c>
      <c r="C75" t="str">
        <v>Brabantiapark - Waalre</v>
      </c>
      <c r="D75" t="str">
        <v>B2-09 | 3kmr | D | Petrus | Brabantia</v>
      </c>
      <c r="E75" t="str">
        <v>26</v>
      </c>
      <c r="F75" t="str">
        <v>5583 BP</v>
      </c>
      <c r="G75" t="str">
        <v>Waalre</v>
      </c>
      <c r="H75" t="str">
        <v>Waalre</v>
      </c>
      <c r="I75" t="str">
        <v>Noord-Brabant</v>
      </c>
      <c r="J75" t="str">
        <v>Zuid-Nederland</v>
      </c>
      <c r="K75" t="str">
        <v>Te koop</v>
      </c>
      <c r="L75" t="str">
        <v>Onbekend</v>
      </c>
      <c r="M75" t="str">
        <v>Onbekend</v>
      </c>
      <c r="N75">
        <v>795000</v>
      </c>
      <c r="O75" t="str">
        <v>v.o.n.</v>
      </c>
      <c r="P75">
        <v>116</v>
      </c>
      <c r="Q75">
        <v>6853</v>
      </c>
      <c r="R75" t="str">
        <v>Onbekend</v>
      </c>
      <c r="S75" t="str">
        <v>A+++</v>
      </c>
      <c r="T75">
        <v>3</v>
      </c>
      <c r="U75">
        <v>2</v>
      </c>
      <c r="V75" t="str">
        <v>Appartement</v>
      </c>
      <c r="W75" t="str">
        <v>Appartement</v>
      </c>
      <c r="X75" t="str">
        <v>Appartement &gt;100 m²</v>
      </c>
      <c r="Y75" t="str">
        <v>Ja</v>
      </c>
      <c r="Z75" t="str">
        <v>garage</v>
      </c>
      <c r="AA75" t="str">
        <v>2026</v>
      </c>
      <c r="AB75" t="str">
        <v>Nee</v>
      </c>
      <c r="AC75" t="str">
        <v>NEE</v>
      </c>
      <c r="AD75" t="str">
        <v>JA</v>
      </c>
    </row>
    <row r="76">
      <c r="A76" t="str">
        <v>44424900</v>
      </c>
      <c r="B76" t="str">
        <v>https://www.funda.nl/detail/koop/waalre/appartement-b2-01-2kmr-a-petrus-brabantia-bouwnr-18/44424900/</v>
      </c>
      <c r="C76" t="str">
        <v>Brabantiapark - Waalre</v>
      </c>
      <c r="D76" t="str">
        <v>B2-01 | 2kmr | A | Petrus | Brabantia</v>
      </c>
      <c r="E76" t="str">
        <v>18</v>
      </c>
      <c r="F76" t="str">
        <v>5583 BP</v>
      </c>
      <c r="G76" t="str">
        <v>Waalre</v>
      </c>
      <c r="H76" t="str">
        <v>Waalre</v>
      </c>
      <c r="I76" t="str">
        <v>Noord-Brabant</v>
      </c>
      <c r="J76" t="str">
        <v>Zuid-Nederland</v>
      </c>
      <c r="K76" t="str">
        <v>Te koop</v>
      </c>
      <c r="L76" t="str">
        <v>Onbekend</v>
      </c>
      <c r="M76" t="str">
        <v>Onbekend</v>
      </c>
      <c r="N76">
        <v>668500</v>
      </c>
      <c r="O76" t="str">
        <v>v.o.n.</v>
      </c>
      <c r="P76">
        <v>100</v>
      </c>
      <c r="Q76">
        <v>6685</v>
      </c>
      <c r="R76" t="str">
        <v>Onbekend</v>
      </c>
      <c r="S76" t="str">
        <v>A++</v>
      </c>
      <c r="T76">
        <v>2</v>
      </c>
      <c r="U76">
        <v>1</v>
      </c>
      <c r="V76" t="str">
        <v>Appartement</v>
      </c>
      <c r="W76" t="str">
        <v>Appartement</v>
      </c>
      <c r="X76" t="str">
        <v>Appartement &gt;100 m²</v>
      </c>
      <c r="Y76" t="str">
        <v>Ja</v>
      </c>
      <c r="Z76" t="str">
        <v>garage</v>
      </c>
      <c r="AA76" t="str">
        <v>2026</v>
      </c>
      <c r="AB76" t="str">
        <v>Nee</v>
      </c>
      <c r="AC76" t="str">
        <v>NEE</v>
      </c>
      <c r="AD76" t="str">
        <v>JA</v>
      </c>
    </row>
    <row r="77">
      <c r="A77" t="str">
        <v>44424909</v>
      </c>
      <c r="B77" t="str">
        <v>https://www.funda.nl/detail/koop/waalre/appartement-b1-05-3kmr-e-dorus-brabantia-bouwnr-5/44424909/</v>
      </c>
      <c r="C77" t="str">
        <v>Brabantiapark - Waalre</v>
      </c>
      <c r="D77" t="str">
        <v>B1-05 | 3kmr | E | Dorus | Brabantia</v>
      </c>
      <c r="E77" t="str">
        <v>5</v>
      </c>
      <c r="F77" t="str">
        <v>5583 BP</v>
      </c>
      <c r="G77" t="str">
        <v>Waalre</v>
      </c>
      <c r="H77" t="str">
        <v>Waalre</v>
      </c>
      <c r="I77" t="str">
        <v>Noord-Brabant</v>
      </c>
      <c r="J77" t="str">
        <v>Zuid-Nederland</v>
      </c>
      <c r="K77" t="str">
        <v>Te koop</v>
      </c>
      <c r="L77" t="str">
        <v>2026-07-09</v>
      </c>
      <c r="M77">
        <v>4</v>
      </c>
      <c r="N77">
        <v>838000</v>
      </c>
      <c r="O77" t="str">
        <v>v.o.n.</v>
      </c>
      <c r="P77">
        <v>125</v>
      </c>
      <c r="Q77">
        <v>6704</v>
      </c>
      <c r="R77" t="str">
        <v>Onbekend</v>
      </c>
      <c r="S77" t="str">
        <v>A++</v>
      </c>
      <c r="T77">
        <v>3</v>
      </c>
      <c r="U77">
        <v>2</v>
      </c>
      <c r="V77" t="str">
        <v>Appartement</v>
      </c>
      <c r="W77" t="str">
        <v>Appartement</v>
      </c>
      <c r="X77" t="str">
        <v>Appartement &gt;100 m²</v>
      </c>
      <c r="Y77" t="str">
        <v>Ja</v>
      </c>
      <c r="Z77" t="str">
        <v>garage</v>
      </c>
      <c r="AA77" t="str">
        <v>2026</v>
      </c>
      <c r="AB77" t="str">
        <v>Nee</v>
      </c>
      <c r="AC77" t="str">
        <v>NEE</v>
      </c>
      <c r="AD77" t="str">
        <v>JA</v>
      </c>
    </row>
    <row r="78">
      <c r="A78" t="str">
        <v>44424908</v>
      </c>
      <c r="B78" t="str">
        <v>https://www.funda.nl/detail/koop/waalre/appartement-b3-18-2kmr-s3-rudolf-brabantia-bouwnr-51/44424908/</v>
      </c>
      <c r="C78" t="str">
        <v>Brabantiapark - Waalre</v>
      </c>
      <c r="D78" t="str">
        <v>B3-18 | 2kmr | S3 | Rudolf | Brabantia</v>
      </c>
      <c r="E78" t="str">
        <v>51</v>
      </c>
      <c r="F78" t="str">
        <v>5583 BP</v>
      </c>
      <c r="G78" t="str">
        <v>Waalre</v>
      </c>
      <c r="H78" t="str">
        <v>Waalre</v>
      </c>
      <c r="I78" t="str">
        <v>Noord-Brabant</v>
      </c>
      <c r="J78" t="str">
        <v>Zuid-Nederland</v>
      </c>
      <c r="K78" t="str">
        <v>Te koop</v>
      </c>
      <c r="L78" t="str">
        <v>Onbekend</v>
      </c>
      <c r="M78" t="str">
        <v>Onbekend</v>
      </c>
      <c r="N78">
        <v>331000</v>
      </c>
      <c r="O78" t="str">
        <v>v.o.n.</v>
      </c>
      <c r="P78">
        <v>49</v>
      </c>
      <c r="Q78">
        <v>6755</v>
      </c>
      <c r="R78" t="str">
        <v>Onbekend</v>
      </c>
      <c r="S78" t="str">
        <v>A+++</v>
      </c>
      <c r="T78">
        <v>2</v>
      </c>
      <c r="U78">
        <v>1</v>
      </c>
      <c r="V78" t="str">
        <v>Appartement</v>
      </c>
      <c r="W78" t="str">
        <v>Appartement</v>
      </c>
      <c r="X78" t="str">
        <v>Appartement &lt;50 m²</v>
      </c>
      <c r="Y78" t="str">
        <v>Ja</v>
      </c>
      <c r="Z78" t="str">
        <v>garage</v>
      </c>
      <c r="AA78" t="str">
        <v>2026</v>
      </c>
      <c r="AB78" t="str">
        <v>Nee</v>
      </c>
      <c r="AC78" t="str">
        <v>NEE</v>
      </c>
      <c r="AD78" t="str">
        <v>JA</v>
      </c>
    </row>
    <row r="79">
      <c r="A79" t="str">
        <v>44424907</v>
      </c>
      <c r="B79" t="str">
        <v>https://www.funda.nl/detail/koop/waalre/appartement-b1-06-2kmr-a-dorus-brabantia-bouwnr-6/44424907/</v>
      </c>
      <c r="C79" t="str">
        <v>Brabantiapark - Waalre</v>
      </c>
      <c r="D79" t="str">
        <v>B1-06 | 2kmr | A | Dorus | Brabantia</v>
      </c>
      <c r="E79" t="str">
        <v>6</v>
      </c>
      <c r="F79" t="str">
        <v>5583 BP</v>
      </c>
      <c r="G79" t="str">
        <v>Waalre</v>
      </c>
      <c r="H79" t="str">
        <v>Waalre</v>
      </c>
      <c r="I79" t="str">
        <v>Noord-Brabant</v>
      </c>
      <c r="J79" t="str">
        <v>Zuid-Nederland</v>
      </c>
      <c r="K79" t="str">
        <v>Te koop</v>
      </c>
      <c r="L79" t="str">
        <v>Onbekend</v>
      </c>
      <c r="M79" t="str">
        <v>Onbekend</v>
      </c>
      <c r="N79">
        <v>672500</v>
      </c>
      <c r="O79" t="str">
        <v>v.o.n.</v>
      </c>
      <c r="P79">
        <v>100</v>
      </c>
      <c r="Q79">
        <v>6725</v>
      </c>
      <c r="R79" t="str">
        <v>Onbekend</v>
      </c>
      <c r="S79" t="str">
        <v>A+++</v>
      </c>
      <c r="T79">
        <v>2</v>
      </c>
      <c r="U79">
        <v>1</v>
      </c>
      <c r="V79" t="str">
        <v>Appartement</v>
      </c>
      <c r="W79" t="str">
        <v>Appartement</v>
      </c>
      <c r="X79" t="str">
        <v>Appartement &gt;100 m²</v>
      </c>
      <c r="Y79" t="str">
        <v>Ja</v>
      </c>
      <c r="Z79" t="str">
        <v>garage</v>
      </c>
      <c r="AA79" t="str">
        <v>2026</v>
      </c>
      <c r="AB79" t="str">
        <v>Nee</v>
      </c>
      <c r="AC79" t="str">
        <v>NEE</v>
      </c>
      <c r="AD79" t="str">
        <v>JA</v>
      </c>
    </row>
    <row r="80">
      <c r="A80" t="str">
        <v>44424906</v>
      </c>
      <c r="B80" t="str">
        <v>https://www.funda.nl/detail/koop/waalre/appartement-b2-08-3kmr-c-petrus-brabantia-bouwnr-25/44424906/</v>
      </c>
      <c r="C80" t="str">
        <v>Brabantiapark - Waalre</v>
      </c>
      <c r="D80" t="str">
        <v>B2-08 | 3kmr | C | Petrus | Brabantia</v>
      </c>
      <c r="E80" t="str">
        <v>25</v>
      </c>
      <c r="F80" t="str">
        <v>5583 BP</v>
      </c>
      <c r="G80" t="str">
        <v>Waalre</v>
      </c>
      <c r="H80" t="str">
        <v>Waalre</v>
      </c>
      <c r="I80" t="str">
        <v>Noord-Brabant</v>
      </c>
      <c r="J80" t="str">
        <v>Zuid-Nederland</v>
      </c>
      <c r="K80" t="str">
        <v>Te koop</v>
      </c>
      <c r="L80" t="str">
        <v>Onbekend</v>
      </c>
      <c r="M80" t="str">
        <v>Onbekend</v>
      </c>
      <c r="N80">
        <v>877500</v>
      </c>
      <c r="O80" t="str">
        <v>v.o.n.</v>
      </c>
      <c r="P80">
        <v>128</v>
      </c>
      <c r="Q80">
        <v>6855</v>
      </c>
      <c r="R80" t="str">
        <v>Onbekend</v>
      </c>
      <c r="S80" t="str">
        <v>A+++</v>
      </c>
      <c r="T80">
        <v>3</v>
      </c>
      <c r="U80">
        <v>2</v>
      </c>
      <c r="V80" t="str">
        <v>Appartement</v>
      </c>
      <c r="W80" t="str">
        <v>Appartement</v>
      </c>
      <c r="X80" t="str">
        <v>Appartement &gt;100 m²</v>
      </c>
      <c r="Y80" t="str">
        <v>Ja</v>
      </c>
      <c r="Z80" t="str">
        <v>garage</v>
      </c>
      <c r="AA80" t="str">
        <v>2026</v>
      </c>
      <c r="AB80" t="str">
        <v>Nee</v>
      </c>
      <c r="AC80" t="str">
        <v>NEE</v>
      </c>
      <c r="AD80" t="str">
        <v>JA</v>
      </c>
    </row>
    <row r="81">
      <c r="A81" t="str">
        <v>44424905</v>
      </c>
      <c r="B81" t="str">
        <v>https://www.funda.nl/detail/koop/waalre/appartement-b2-06-2kmr-a-petrus-brabantia-bouwnr-23/44424905/</v>
      </c>
      <c r="C81" t="str">
        <v>Brabantiapark - Waalre</v>
      </c>
      <c r="D81" t="str">
        <v>B2-06 | 2kmr | A | Petrus | Brabantia</v>
      </c>
      <c r="E81" t="str">
        <v>23</v>
      </c>
      <c r="F81" t="str">
        <v>5583 BP</v>
      </c>
      <c r="G81" t="str">
        <v>Waalre</v>
      </c>
      <c r="H81" t="str">
        <v>Waalre</v>
      </c>
      <c r="I81" t="str">
        <v>Noord-Brabant</v>
      </c>
      <c r="J81" t="str">
        <v>Zuid-Nederland</v>
      </c>
      <c r="K81" t="str">
        <v>Te koop</v>
      </c>
      <c r="L81" t="str">
        <v>Onbekend</v>
      </c>
      <c r="M81" t="str">
        <v>Onbekend</v>
      </c>
      <c r="N81">
        <v>672500</v>
      </c>
      <c r="O81" t="str">
        <v>v.o.n.</v>
      </c>
      <c r="P81">
        <v>100</v>
      </c>
      <c r="Q81">
        <v>6725</v>
      </c>
      <c r="R81" t="str">
        <v>Onbekend</v>
      </c>
      <c r="S81" t="str">
        <v>A+++</v>
      </c>
      <c r="T81">
        <v>2</v>
      </c>
      <c r="U81">
        <v>1</v>
      </c>
      <c r="V81" t="str">
        <v>Appartement</v>
      </c>
      <c r="W81" t="str">
        <v>Appartement</v>
      </c>
      <c r="X81" t="str">
        <v>Appartement &gt;100 m²</v>
      </c>
      <c r="Y81" t="str">
        <v>Ja</v>
      </c>
      <c r="Z81" t="str">
        <v>garage</v>
      </c>
      <c r="AA81" t="str">
        <v>2026</v>
      </c>
      <c r="AB81" t="str">
        <v>Nee</v>
      </c>
      <c r="AC81" t="str">
        <v>NEE</v>
      </c>
      <c r="AD81" t="str">
        <v>JA</v>
      </c>
    </row>
    <row r="82">
      <c r="A82" t="str">
        <v>44424939</v>
      </c>
      <c r="B82" t="str">
        <v>https://www.funda.nl/detail/koop/waalre/appartement-b2-15-penthouse-l-petrus-brabantia-bouwnr-32/44424939/</v>
      </c>
      <c r="C82" t="str">
        <v>Brabantiapark - Waalre</v>
      </c>
      <c r="D82" t="str">
        <v>B2-15 | Penthouse | L | Petrus | Brabantia</v>
      </c>
      <c r="E82" t="str">
        <v>32</v>
      </c>
      <c r="F82" t="str">
        <v>5583 BP</v>
      </c>
      <c r="G82" t="str">
        <v>Waalre</v>
      </c>
      <c r="H82" t="str">
        <v>Waalre</v>
      </c>
      <c r="I82" t="str">
        <v>Noord-Brabant</v>
      </c>
      <c r="J82" t="str">
        <v>Zuid-Nederland</v>
      </c>
      <c r="K82" t="str">
        <v>Te koop</v>
      </c>
      <c r="L82" t="str">
        <v>Onbekend</v>
      </c>
      <c r="M82" t="str">
        <v>Onbekend</v>
      </c>
      <c r="N82">
        <v>925000</v>
      </c>
      <c r="O82" t="str">
        <v>v.o.n.</v>
      </c>
      <c r="P82">
        <v>129</v>
      </c>
      <c r="Q82">
        <v>7171</v>
      </c>
      <c r="R82" t="str">
        <v>Onbekend</v>
      </c>
      <c r="S82" t="str">
        <v>A++</v>
      </c>
      <c r="T82">
        <v>1</v>
      </c>
      <c r="U82" t="str">
        <v>Onbekend</v>
      </c>
      <c r="V82" t="str">
        <v>Appartement</v>
      </c>
      <c r="W82" t="str">
        <v>Appartement</v>
      </c>
      <c r="X82" t="str">
        <v>Appartement &gt;100 m²</v>
      </c>
      <c r="Y82" t="str">
        <v>Ja</v>
      </c>
      <c r="Z82" t="str">
        <v>garage</v>
      </c>
      <c r="AA82" t="str">
        <v>2026</v>
      </c>
      <c r="AB82" t="str">
        <v>Nee</v>
      </c>
      <c r="AC82" t="str">
        <v>NEE</v>
      </c>
      <c r="AD82" t="str">
        <v>JA</v>
      </c>
    </row>
    <row r="83">
      <c r="A83" t="str">
        <v>44424540</v>
      </c>
      <c r="B83" t="str">
        <v>https://www.funda.nl/detail/koop/haarlem/appartement-amerikaweg-6-j6/44424540/</v>
      </c>
      <c r="C83" t="str">
        <v>Rootz</v>
      </c>
      <c r="D83" t="str">
        <v>Amerikaweg 6-J6</v>
      </c>
      <c r="E83" t="str">
        <v>Onbekend</v>
      </c>
      <c r="F83" t="str">
        <v>2035 RA</v>
      </c>
      <c r="G83" t="str">
        <v>Haarlem</v>
      </c>
      <c r="H83" t="str">
        <v>Haarlem</v>
      </c>
      <c r="I83" t="str">
        <v>Noord-Holland</v>
      </c>
      <c r="J83" t="str">
        <v>West-Nederland</v>
      </c>
      <c r="K83" t="str">
        <v>Te koop</v>
      </c>
      <c r="L83" t="str">
        <v>Onbekend</v>
      </c>
      <c r="M83" t="str">
        <v>Onbekend</v>
      </c>
      <c r="N83">
        <v>398000</v>
      </c>
      <c r="O83" t="str">
        <v>v.o.n.</v>
      </c>
      <c r="P83">
        <v>47</v>
      </c>
      <c r="Q83">
        <v>8468</v>
      </c>
      <c r="R83" t="str">
        <v>Onbekend</v>
      </c>
      <c r="S83" t="str">
        <v>Niet beschikbaar</v>
      </c>
      <c r="T83">
        <v>2</v>
      </c>
      <c r="U83">
        <v>1</v>
      </c>
      <c r="V83" t="str">
        <v>Appartement</v>
      </c>
      <c r="W83" t="str">
        <v>Appartement</v>
      </c>
      <c r="X83" t="str">
        <v>Appartement &lt;50 m²</v>
      </c>
      <c r="Y83" t="str">
        <v>Onbekend</v>
      </c>
      <c r="Z83" t="str">
        <v>onbekend</v>
      </c>
      <c r="AA83" t="str">
        <v>2027</v>
      </c>
      <c r="AB83" t="str">
        <v>Nee</v>
      </c>
      <c r="AC83" t="str">
        <v>NEE</v>
      </c>
      <c r="AD83" t="str">
        <v>JA</v>
      </c>
    </row>
    <row r="84">
      <c r="A84" t="str">
        <v>44424549</v>
      </c>
      <c r="B84" t="str">
        <v>https://www.funda.nl/detail/koop/haarlem/appartement-amerikaweg-6-c7/44424549/</v>
      </c>
      <c r="C84" t="str">
        <v>Rootz</v>
      </c>
      <c r="D84" t="str">
        <v>Amerikaweg 6-C7</v>
      </c>
      <c r="E84" t="str">
        <v>Onbekend</v>
      </c>
      <c r="F84" t="str">
        <v>2035 RA</v>
      </c>
      <c r="G84" t="str">
        <v>Haarlem</v>
      </c>
      <c r="H84" t="str">
        <v>Haarlem</v>
      </c>
      <c r="I84" t="str">
        <v>Noord-Holland</v>
      </c>
      <c r="J84" t="str">
        <v>West-Nederland</v>
      </c>
      <c r="K84" t="str">
        <v>V.O.V.</v>
      </c>
      <c r="L84" t="str">
        <v>Onbekend</v>
      </c>
      <c r="M84" t="str">
        <v>Onbekend</v>
      </c>
      <c r="N84">
        <v>398000</v>
      </c>
      <c r="O84" t="str">
        <v>v.o.n.</v>
      </c>
      <c r="P84">
        <v>47</v>
      </c>
      <c r="Q84">
        <v>8468</v>
      </c>
      <c r="R84" t="str">
        <v>Onbekend</v>
      </c>
      <c r="S84" t="str">
        <v>Niet beschikbaar</v>
      </c>
      <c r="T84">
        <v>2</v>
      </c>
      <c r="U84">
        <v>1</v>
      </c>
      <c r="V84" t="str">
        <v>Appartement</v>
      </c>
      <c r="W84" t="str">
        <v>Appartement</v>
      </c>
      <c r="X84" t="str">
        <v>Appartement &lt;50 m²</v>
      </c>
      <c r="Y84" t="str">
        <v>Onbekend</v>
      </c>
      <c r="Z84" t="str">
        <v>onbekend</v>
      </c>
      <c r="AA84" t="str">
        <v>2027</v>
      </c>
      <c r="AB84" t="str">
        <v>Nee</v>
      </c>
      <c r="AC84" t="str">
        <v>NEE</v>
      </c>
      <c r="AD84" t="str">
        <v>JA</v>
      </c>
    </row>
    <row r="85">
      <c r="A85" t="str">
        <v>44424544</v>
      </c>
      <c r="B85" t="str">
        <v>https://www.funda.nl/detail/koop/haarlem/appartement-amerikaweg-6-m7/44424544/</v>
      </c>
      <c r="C85" t="str">
        <v>Rootz</v>
      </c>
      <c r="D85" t="str">
        <v>Amerikaweg 6-M7</v>
      </c>
      <c r="E85" t="str">
        <v>Onbekend</v>
      </c>
      <c r="F85" t="str">
        <v>2035 RA</v>
      </c>
      <c r="G85" t="str">
        <v>Haarlem</v>
      </c>
      <c r="H85" t="str">
        <v>Haarlem</v>
      </c>
      <c r="I85" t="str">
        <v>Noord-Holland</v>
      </c>
      <c r="J85" t="str">
        <v>West-Nederland</v>
      </c>
      <c r="K85" t="str">
        <v>V.O.V.</v>
      </c>
      <c r="L85" t="str">
        <v>Onbekend</v>
      </c>
      <c r="M85" t="str">
        <v>Onbekend</v>
      </c>
      <c r="N85">
        <v>375000</v>
      </c>
      <c r="O85" t="str">
        <v>v.o.n.</v>
      </c>
      <c r="P85">
        <v>52</v>
      </c>
      <c r="Q85">
        <v>7212</v>
      </c>
      <c r="R85" t="str">
        <v>Onbekend</v>
      </c>
      <c r="S85" t="str">
        <v>Niet beschikbaar</v>
      </c>
      <c r="T85">
        <v>2</v>
      </c>
      <c r="U85">
        <v>1</v>
      </c>
      <c r="V85" t="str">
        <v>Appartement</v>
      </c>
      <c r="W85" t="str">
        <v>Appartement</v>
      </c>
      <c r="X85" t="str">
        <v>Appartement 50-75 m²</v>
      </c>
      <c r="Y85" t="str">
        <v>Onbekend</v>
      </c>
      <c r="Z85" t="str">
        <v>onbekend</v>
      </c>
      <c r="AA85" t="str">
        <v>2027</v>
      </c>
      <c r="AB85" t="str">
        <v>Nee</v>
      </c>
      <c r="AC85" t="str">
        <v>NEE</v>
      </c>
      <c r="AD85" t="str">
        <v>JA</v>
      </c>
    </row>
    <row r="86">
      <c r="A86" t="str">
        <v>80888630</v>
      </c>
      <c r="B86" t="str">
        <v>https://www.funda.nl/detail/koop/rotterdam/appartement-baan-34-d14/80888630/</v>
      </c>
      <c r="C86" t="str">
        <v>Onbekend</v>
      </c>
      <c r="D86" t="str">
        <v>Baan 34-D14</v>
      </c>
      <c r="E86" t="str">
        <v>Onbekend</v>
      </c>
      <c r="F86" t="str">
        <v>3011 CB</v>
      </c>
      <c r="G86" t="str">
        <v>Rotterdam</v>
      </c>
      <c r="H86" t="str">
        <v>Rotterdam</v>
      </c>
      <c r="I86" t="str">
        <v>Zuid-Holland</v>
      </c>
      <c r="J86" t="str">
        <v>West-Nederland</v>
      </c>
      <c r="K86" t="str">
        <v>Te koop</v>
      </c>
      <c r="L86" t="str">
        <v>Onbekend</v>
      </c>
      <c r="M86" t="str">
        <v>Onbekend</v>
      </c>
      <c r="N86">
        <v>495000</v>
      </c>
      <c r="O86" t="str">
        <v>k.k.</v>
      </c>
      <c r="P86">
        <v>59</v>
      </c>
      <c r="Q86">
        <v>8390</v>
      </c>
      <c r="R86" t="str">
        <v>Onbekend</v>
      </c>
      <c r="S86" t="str">
        <v>A++</v>
      </c>
      <c r="T86">
        <v>2</v>
      </c>
      <c r="U86">
        <v>1</v>
      </c>
      <c r="V86" t="str">
        <v>Appartement</v>
      </c>
      <c r="W86" t="str">
        <v>Appartement</v>
      </c>
      <c r="X86" t="str">
        <v>Appartement 50-75 m²</v>
      </c>
      <c r="Y86" t="str">
        <v>Ja</v>
      </c>
      <c r="Z86" t="str">
        <v>onbekend</v>
      </c>
      <c r="AA86" t="str">
        <v>2025</v>
      </c>
      <c r="AB86" t="str">
        <v>Nee</v>
      </c>
      <c r="AC86" t="str">
        <v>NEE</v>
      </c>
      <c r="AD86" t="str">
        <v>JA</v>
      </c>
    </row>
    <row r="87">
      <c r="A87" t="str">
        <v>44423222</v>
      </c>
      <c r="B87" t="str">
        <v>https://www.funda.nl/detail/koop/middenbeemster/huis-unescolaan-40/44423222/</v>
      </c>
      <c r="C87" t="str">
        <v>Onbekend</v>
      </c>
      <c r="D87" t="str">
        <v>Unescolaan 40</v>
      </c>
      <c r="E87" t="str">
        <v>Onbekend</v>
      </c>
      <c r="F87" t="str">
        <v>1462 SC</v>
      </c>
      <c r="G87" t="str">
        <v>Middenbeemster</v>
      </c>
      <c r="H87" t="str">
        <v>Purmerend</v>
      </c>
      <c r="I87" t="str">
        <v>Noord-Holland</v>
      </c>
      <c r="J87" t="str">
        <v>West-Nederland</v>
      </c>
      <c r="K87" t="str">
        <v>Te koop</v>
      </c>
      <c r="L87" t="str">
        <v>Onbekend</v>
      </c>
      <c r="M87" t="str">
        <v>Onbekend</v>
      </c>
      <c r="N87">
        <v>1150000</v>
      </c>
      <c r="O87" t="str">
        <v>v.o.n.</v>
      </c>
      <c r="P87">
        <v>288</v>
      </c>
      <c r="Q87">
        <v>3993</v>
      </c>
      <c r="R87">
        <v>387</v>
      </c>
      <c r="S87" t="str">
        <v>Niet beschikbaar</v>
      </c>
      <c r="T87">
        <v>6</v>
      </c>
      <c r="U87">
        <v>3</v>
      </c>
      <c r="V87" t="str">
        <v>Grondgebonden</v>
      </c>
      <c r="W87" t="str">
        <v>Vrijstaande woning</v>
      </c>
      <c r="X87" t="str">
        <v>N.v.t.</v>
      </c>
      <c r="Y87" t="str">
        <v>Ja</v>
      </c>
      <c r="Z87" t="str">
        <v>eigen parkeerplaats</v>
      </c>
      <c r="AA87" t="str">
        <v>Na 2020</v>
      </c>
      <c r="AB87" t="str">
        <v>Nee</v>
      </c>
      <c r="AC87" t="str">
        <v>NEE</v>
      </c>
      <c r="AD87" t="str">
        <v>JA</v>
      </c>
    </row>
    <row r="88">
      <c r="A88" t="str">
        <v>44424875</v>
      </c>
      <c r="B88" t="str">
        <v>https://www.funda.nl/detail/koop/bergentheim/huis-grendelmanstraat-b28/44424875/</v>
      </c>
      <c r="C88" t="str">
        <v>Onbekend</v>
      </c>
      <c r="D88" t="str">
        <v>Grendelmanstraat B28</v>
      </c>
      <c r="E88" t="str">
        <v>Onbekend</v>
      </c>
      <c r="F88" t="str">
        <v>7691 PV</v>
      </c>
      <c r="G88" t="str">
        <v>Bergentheim</v>
      </c>
      <c r="H88" t="str">
        <v>Hardenberg</v>
      </c>
      <c r="I88" t="str">
        <v>Overijssel</v>
      </c>
      <c r="J88" t="str">
        <v>Oost-Nederland</v>
      </c>
      <c r="K88" t="str">
        <v>Te koop</v>
      </c>
      <c r="L88" t="str">
        <v>Onbekend</v>
      </c>
      <c r="M88" t="str">
        <v>Onbekend</v>
      </c>
      <c r="N88">
        <v>467000</v>
      </c>
      <c r="O88" t="str">
        <v>v.o.n.</v>
      </c>
      <c r="P88">
        <v>152</v>
      </c>
      <c r="Q88">
        <v>3072</v>
      </c>
      <c r="R88">
        <v>361</v>
      </c>
      <c r="S88" t="str">
        <v>Niet beschikbaar</v>
      </c>
      <c r="T88">
        <v>4</v>
      </c>
      <c r="U88">
        <v>3</v>
      </c>
      <c r="V88" t="str">
        <v>Grondgebonden</v>
      </c>
      <c r="W88" t="str">
        <v>2-onder-1-kapwoning</v>
      </c>
      <c r="X88" t="str">
        <v>N.v.t.</v>
      </c>
      <c r="Y88" t="str">
        <v>Ja</v>
      </c>
      <c r="Z88" t="str">
        <v>eigen parkeerplaats</v>
      </c>
      <c r="AA88" t="str">
        <v>2027</v>
      </c>
      <c r="AB88" t="str">
        <v>Nee</v>
      </c>
      <c r="AC88" t="str">
        <v>NEE</v>
      </c>
      <c r="AD88" t="str">
        <v>JA</v>
      </c>
    </row>
    <row r="89">
      <c r="A89" t="str">
        <v>80888079</v>
      </c>
      <c r="B89" t="str">
        <v>https://www.funda.nl/detail/koop/borssele/huis-oostkerkestraat-2a/80888079/</v>
      </c>
      <c r="C89" t="str">
        <v>Onbekend</v>
      </c>
      <c r="D89" t="str">
        <v>Oostkerkestraat 2a</v>
      </c>
      <c r="E89" t="str">
        <v>Onbekend</v>
      </c>
      <c r="F89" t="str">
        <v>4454 BZ</v>
      </c>
      <c r="G89" t="str">
        <v>Borssele</v>
      </c>
      <c r="H89" t="str">
        <v>Borsele</v>
      </c>
      <c r="I89" t="str">
        <v>Zeeland</v>
      </c>
      <c r="J89" t="str">
        <v>West-Nederland</v>
      </c>
      <c r="K89" t="str">
        <v>Te koop</v>
      </c>
      <c r="L89" t="str">
        <v>Onbekend</v>
      </c>
      <c r="M89" t="str">
        <v>Onbekend</v>
      </c>
      <c r="N89">
        <v>585000</v>
      </c>
      <c r="O89" t="str">
        <v>v.o.n.</v>
      </c>
      <c r="P89">
        <v>162</v>
      </c>
      <c r="Q89">
        <v>3611</v>
      </c>
      <c r="R89">
        <v>734</v>
      </c>
      <c r="S89" t="str">
        <v>Niet beschikbaar</v>
      </c>
      <c r="T89">
        <v>5</v>
      </c>
      <c r="U89">
        <v>3</v>
      </c>
      <c r="V89" t="str">
        <v>Grondgebonden</v>
      </c>
      <c r="W89" t="str">
        <v>Vrijstaande woning</v>
      </c>
      <c r="X89" t="str">
        <v>N.v.t.</v>
      </c>
      <c r="Y89" t="str">
        <v>Ja</v>
      </c>
      <c r="Z89" t="str">
        <v>openbare parkeerplaats</v>
      </c>
      <c r="AA89" t="str">
        <v>Na 2020</v>
      </c>
      <c r="AB89" t="str">
        <v>Nee</v>
      </c>
      <c r="AC89" t="str">
        <v>NEE</v>
      </c>
      <c r="AD89" t="str">
        <v>JA</v>
      </c>
    </row>
    <row r="90">
      <c r="A90" t="str">
        <v>44423854</v>
      </c>
      <c r="B90" t="str">
        <v>https://www.funda.nl/detail/koop/venray/appartement-korte-drilweg-6-k/44423854/</v>
      </c>
      <c r="C90" t="str">
        <v>Villa Vlakwater</v>
      </c>
      <c r="D90" t="str">
        <v>Korte Drilweg 6-K</v>
      </c>
      <c r="E90" t="str">
        <v>Onbekend</v>
      </c>
      <c r="F90" t="str">
        <v>5801 HP</v>
      </c>
      <c r="G90" t="str">
        <v>Venray</v>
      </c>
      <c r="H90" t="str">
        <v>Venray</v>
      </c>
      <c r="I90" t="str">
        <v>Limburg</v>
      </c>
      <c r="J90" t="str">
        <v>Zuid-Nederland</v>
      </c>
      <c r="K90" t="str">
        <v>Te koop</v>
      </c>
      <c r="L90" t="str">
        <v>Onbekend</v>
      </c>
      <c r="M90" t="str">
        <v>Onbekend</v>
      </c>
      <c r="N90">
        <v>720000</v>
      </c>
      <c r="O90" t="str">
        <v>v.o.n.</v>
      </c>
      <c r="P90">
        <v>117</v>
      </c>
      <c r="Q90">
        <v>6154</v>
      </c>
      <c r="R90" t="str">
        <v>Onbekend</v>
      </c>
      <c r="S90" t="str">
        <v>A+++</v>
      </c>
      <c r="T90">
        <v>4</v>
      </c>
      <c r="U90">
        <v>2</v>
      </c>
      <c r="V90" t="str">
        <v>Appartement</v>
      </c>
      <c r="W90" t="str">
        <v>Appartement</v>
      </c>
      <c r="X90" t="str">
        <v>Appartement &gt;100 m²</v>
      </c>
      <c r="Y90" t="str">
        <v>Ja</v>
      </c>
      <c r="Z90" t="str">
        <v>garage</v>
      </c>
      <c r="AA90" t="str">
        <v>2026</v>
      </c>
      <c r="AB90" t="str">
        <v>Nee</v>
      </c>
      <c r="AC90" t="str">
        <v>NEE</v>
      </c>
      <c r="AD90" t="str">
        <v>JA</v>
      </c>
    </row>
    <row r="91">
      <c r="A91" t="str">
        <v>44423855</v>
      </c>
      <c r="B91" t="str">
        <v>https://www.funda.nl/detail/koop/venray/appartement-korte-drilweg-6-h/44423855/</v>
      </c>
      <c r="C91" t="str">
        <v>Villa Vlakwater</v>
      </c>
      <c r="D91" t="str">
        <v>Korte Drilweg 6-H</v>
      </c>
      <c r="E91" t="str">
        <v>Onbekend</v>
      </c>
      <c r="F91" t="str">
        <v>5801 HP</v>
      </c>
      <c r="G91" t="str">
        <v>Venray</v>
      </c>
      <c r="H91" t="str">
        <v>Venray</v>
      </c>
      <c r="I91" t="str">
        <v>Limburg</v>
      </c>
      <c r="J91" t="str">
        <v>Zuid-Nederland</v>
      </c>
      <c r="K91" t="str">
        <v>Te koop</v>
      </c>
      <c r="L91" t="str">
        <v>2026-07-09</v>
      </c>
      <c r="M91">
        <v>4</v>
      </c>
      <c r="N91">
        <v>855000</v>
      </c>
      <c r="O91" t="str">
        <v>v.o.n.</v>
      </c>
      <c r="P91">
        <v>140</v>
      </c>
      <c r="Q91">
        <v>6107</v>
      </c>
      <c r="R91" t="str">
        <v>Onbekend</v>
      </c>
      <c r="S91" t="str">
        <v>A+++</v>
      </c>
      <c r="T91">
        <v>4</v>
      </c>
      <c r="U91">
        <v>2</v>
      </c>
      <c r="V91" t="str">
        <v>Appartement</v>
      </c>
      <c r="W91" t="str">
        <v>Appartement</v>
      </c>
      <c r="X91" t="str">
        <v>Appartement &gt;100 m²</v>
      </c>
      <c r="Y91" t="str">
        <v>Ja</v>
      </c>
      <c r="Z91" t="str">
        <v>garage</v>
      </c>
      <c r="AA91" t="str">
        <v>2026</v>
      </c>
      <c r="AB91" t="str">
        <v>Nee</v>
      </c>
      <c r="AC91" t="str">
        <v>NEE</v>
      </c>
      <c r="AD91" t="str">
        <v>JA</v>
      </c>
    </row>
    <row r="92">
      <c r="A92" t="str">
        <v>44423853</v>
      </c>
      <c r="B92" t="str">
        <v>https://www.funda.nl/detail/koop/venray/appartement-korte-drilweg-6-a/44423853/</v>
      </c>
      <c r="C92" t="str">
        <v>Villa Vlakwater</v>
      </c>
      <c r="D92" t="str">
        <v>Korte Drilweg 6-A</v>
      </c>
      <c r="E92" t="str">
        <v>Onbekend</v>
      </c>
      <c r="F92" t="str">
        <v>5801 HP</v>
      </c>
      <c r="G92" t="str">
        <v>Venray</v>
      </c>
      <c r="H92" t="str">
        <v>Venray</v>
      </c>
      <c r="I92" t="str">
        <v>Limburg</v>
      </c>
      <c r="J92" t="str">
        <v>Zuid-Nederland</v>
      </c>
      <c r="K92" t="str">
        <v>Te koop</v>
      </c>
      <c r="L92" t="str">
        <v>Onbekend</v>
      </c>
      <c r="M92" t="str">
        <v>Onbekend</v>
      </c>
      <c r="N92">
        <v>810000</v>
      </c>
      <c r="O92" t="str">
        <v>v.o.n.</v>
      </c>
      <c r="P92">
        <v>134</v>
      </c>
      <c r="Q92">
        <v>6045</v>
      </c>
      <c r="R92" t="str">
        <v>Onbekend</v>
      </c>
      <c r="S92" t="str">
        <v>A+++</v>
      </c>
      <c r="T92">
        <v>4</v>
      </c>
      <c r="U92">
        <v>2</v>
      </c>
      <c r="V92" t="str">
        <v>Appartement</v>
      </c>
      <c r="W92" t="str">
        <v>Appartement</v>
      </c>
      <c r="X92" t="str">
        <v>Appartement &gt;100 m²</v>
      </c>
      <c r="Y92" t="str">
        <v>Ja</v>
      </c>
      <c r="Z92" t="str">
        <v>garage</v>
      </c>
      <c r="AA92" t="str">
        <v>2026</v>
      </c>
      <c r="AB92" t="str">
        <v>Nee</v>
      </c>
      <c r="AC92" t="str">
        <v>NEE</v>
      </c>
      <c r="AD92" t="str">
        <v>JA</v>
      </c>
    </row>
    <row r="93">
      <c r="A93" t="str">
        <v>44423841</v>
      </c>
      <c r="B93" t="str">
        <v>https://www.funda.nl/detail/koop/venray/appartement-korte-drilweg-6-l/44423841/</v>
      </c>
      <c r="C93" t="str">
        <v>Villa Vlakwater</v>
      </c>
      <c r="D93" t="str">
        <v>Korte Drilweg 6-L</v>
      </c>
      <c r="E93" t="str">
        <v>Onbekend</v>
      </c>
      <c r="F93" t="str">
        <v>5801 HP</v>
      </c>
      <c r="G93" t="str">
        <v>Venray</v>
      </c>
      <c r="H93" t="str">
        <v>Venray</v>
      </c>
      <c r="I93" t="str">
        <v>Limburg</v>
      </c>
      <c r="J93" t="str">
        <v>Zuid-Nederland</v>
      </c>
      <c r="K93" t="str">
        <v>Te koop</v>
      </c>
      <c r="L93" t="str">
        <v>Onbekend</v>
      </c>
      <c r="M93" t="str">
        <v>Onbekend</v>
      </c>
      <c r="N93">
        <v>755000</v>
      </c>
      <c r="O93" t="str">
        <v>v.o.n.</v>
      </c>
      <c r="P93">
        <v>122</v>
      </c>
      <c r="Q93">
        <v>6189</v>
      </c>
      <c r="R93" t="str">
        <v>Onbekend</v>
      </c>
      <c r="S93" t="str">
        <v>A+++</v>
      </c>
      <c r="T93">
        <v>4</v>
      </c>
      <c r="U93">
        <v>2</v>
      </c>
      <c r="V93" t="str">
        <v>Appartement</v>
      </c>
      <c r="W93" t="str">
        <v>Appartement</v>
      </c>
      <c r="X93" t="str">
        <v>Appartement &gt;100 m²</v>
      </c>
      <c r="Y93" t="str">
        <v>Ja</v>
      </c>
      <c r="Z93" t="str">
        <v>garage</v>
      </c>
      <c r="AA93" t="str">
        <v>2026</v>
      </c>
      <c r="AB93" t="str">
        <v>Nee</v>
      </c>
      <c r="AC93" t="str">
        <v>NEE</v>
      </c>
      <c r="AD93" t="str">
        <v>JA</v>
      </c>
    </row>
    <row r="94">
      <c r="A94" t="str">
        <v>44423840</v>
      </c>
      <c r="B94" t="str">
        <v>https://www.funda.nl/detail/koop/venray/appartement-korte-drilweg-6-m/44423840/</v>
      </c>
      <c r="C94" t="str">
        <v>Villa Vlakwater</v>
      </c>
      <c r="D94" t="str">
        <v>Korte Drilweg 6-M</v>
      </c>
      <c r="E94" t="str">
        <v>Onbekend</v>
      </c>
      <c r="F94" t="str">
        <v>5801 HP</v>
      </c>
      <c r="G94" t="str">
        <v>Venray</v>
      </c>
      <c r="H94" t="str">
        <v>Venray</v>
      </c>
      <c r="I94" t="str">
        <v>Limburg</v>
      </c>
      <c r="J94" t="str">
        <v>Zuid-Nederland</v>
      </c>
      <c r="K94" t="str">
        <v>Te koop</v>
      </c>
      <c r="L94" t="str">
        <v>Onbekend</v>
      </c>
      <c r="M94" t="str">
        <v>Onbekend</v>
      </c>
      <c r="N94">
        <v>835000</v>
      </c>
      <c r="O94" t="str">
        <v>v.o.n.</v>
      </c>
      <c r="P94">
        <v>135</v>
      </c>
      <c r="Q94">
        <v>6185</v>
      </c>
      <c r="R94" t="str">
        <v>Onbekend</v>
      </c>
      <c r="S94" t="str">
        <v>A+++</v>
      </c>
      <c r="T94">
        <v>4</v>
      </c>
      <c r="U94">
        <v>2</v>
      </c>
      <c r="V94" t="str">
        <v>Appartement</v>
      </c>
      <c r="W94" t="str">
        <v>Appartement</v>
      </c>
      <c r="X94" t="str">
        <v>Appartement &gt;100 m²</v>
      </c>
      <c r="Y94" t="str">
        <v>Ja</v>
      </c>
      <c r="Z94" t="str">
        <v>garage</v>
      </c>
      <c r="AA94" t="str">
        <v>2026</v>
      </c>
      <c r="AB94" t="str">
        <v>Nee</v>
      </c>
      <c r="AC94" t="str">
        <v>NEE</v>
      </c>
      <c r="AD94" t="str">
        <v>JA</v>
      </c>
    </row>
    <row r="95">
      <c r="A95" t="str">
        <v>44423849</v>
      </c>
      <c r="B95" t="str">
        <v>https://www.funda.nl/detail/koop/venray/appartement-korte-drilweg-6-b/44423849/</v>
      </c>
      <c r="C95" t="str">
        <v>Villa Vlakwater</v>
      </c>
      <c r="D95" t="str">
        <v>Korte Drilweg 6-B</v>
      </c>
      <c r="E95" t="str">
        <v>Onbekend</v>
      </c>
      <c r="F95" t="str">
        <v>5801 HP</v>
      </c>
      <c r="G95" t="str">
        <v>Venray</v>
      </c>
      <c r="H95" t="str">
        <v>Venray</v>
      </c>
      <c r="I95" t="str">
        <v>Limburg</v>
      </c>
      <c r="J95" t="str">
        <v>Zuid-Nederland</v>
      </c>
      <c r="K95" t="str">
        <v>Te koop</v>
      </c>
      <c r="L95" t="str">
        <v>Onbekend</v>
      </c>
      <c r="M95" t="str">
        <v>Onbekend</v>
      </c>
      <c r="N95">
        <v>855000</v>
      </c>
      <c r="O95" t="str">
        <v>v.o.n.</v>
      </c>
      <c r="P95">
        <v>141</v>
      </c>
      <c r="Q95">
        <v>6064</v>
      </c>
      <c r="R95" t="str">
        <v>Onbekend</v>
      </c>
      <c r="S95" t="str">
        <v>A+++</v>
      </c>
      <c r="T95">
        <v>4</v>
      </c>
      <c r="U95">
        <v>2</v>
      </c>
      <c r="V95" t="str">
        <v>Appartement</v>
      </c>
      <c r="W95" t="str">
        <v>Appartement</v>
      </c>
      <c r="X95" t="str">
        <v>Appartement &gt;100 m²</v>
      </c>
      <c r="Y95" t="str">
        <v>Ja</v>
      </c>
      <c r="Z95" t="str">
        <v>garage</v>
      </c>
      <c r="AA95" t="str">
        <v>2026</v>
      </c>
      <c r="AB95" t="str">
        <v>Nee</v>
      </c>
      <c r="AC95" t="str">
        <v>NEE</v>
      </c>
      <c r="AD95" t="str">
        <v>JA</v>
      </c>
    </row>
    <row r="96">
      <c r="A96" t="str">
        <v>44423848</v>
      </c>
      <c r="B96" t="str">
        <v>https://www.funda.nl/detail/koop/venray/appartement-korte-drilweg-6-c/44423848/</v>
      </c>
      <c r="C96" t="str">
        <v>Villa Vlakwater</v>
      </c>
      <c r="D96" t="str">
        <v>Korte Drilweg 6-C</v>
      </c>
      <c r="E96" t="str">
        <v>Onbekend</v>
      </c>
      <c r="F96" t="str">
        <v>5801 HP</v>
      </c>
      <c r="G96" t="str">
        <v>Venray</v>
      </c>
      <c r="H96" t="str">
        <v>Venray</v>
      </c>
      <c r="I96" t="str">
        <v>Limburg</v>
      </c>
      <c r="J96" t="str">
        <v>Zuid-Nederland</v>
      </c>
      <c r="K96" t="str">
        <v>Te koop</v>
      </c>
      <c r="L96" t="str">
        <v>Onbekend</v>
      </c>
      <c r="M96" t="str">
        <v>Onbekend</v>
      </c>
      <c r="N96">
        <v>925000</v>
      </c>
      <c r="O96" t="str">
        <v>v.o.n.</v>
      </c>
      <c r="P96">
        <v>150</v>
      </c>
      <c r="Q96">
        <v>6167</v>
      </c>
      <c r="R96" t="str">
        <v>Onbekend</v>
      </c>
      <c r="S96" t="str">
        <v>A+++</v>
      </c>
      <c r="T96">
        <v>4</v>
      </c>
      <c r="U96">
        <v>2</v>
      </c>
      <c r="V96" t="str">
        <v>Appartement</v>
      </c>
      <c r="W96" t="str">
        <v>Appartement</v>
      </c>
      <c r="X96" t="str">
        <v>Appartement &gt;100 m²</v>
      </c>
      <c r="Y96" t="str">
        <v>Ja</v>
      </c>
      <c r="Z96" t="str">
        <v>garage</v>
      </c>
      <c r="AA96" t="str">
        <v>2026</v>
      </c>
      <c r="AB96" t="str">
        <v>Nee</v>
      </c>
      <c r="AC96" t="str">
        <v>NEE</v>
      </c>
      <c r="AD96" t="str">
        <v>JA</v>
      </c>
    </row>
    <row r="97">
      <c r="A97" t="str">
        <v>44423847</v>
      </c>
      <c r="B97" t="str">
        <v>https://www.funda.nl/detail/koop/venray/appartement-korte-drilweg-6-n/44423847/</v>
      </c>
      <c r="C97" t="str">
        <v>Villa Vlakwater</v>
      </c>
      <c r="D97" t="str">
        <v>Korte Drilweg 6-N</v>
      </c>
      <c r="E97" t="str">
        <v>Onbekend</v>
      </c>
      <c r="F97" t="str">
        <v>5801 HP</v>
      </c>
      <c r="G97" t="str">
        <v>Venray</v>
      </c>
      <c r="H97" t="str">
        <v>Venray</v>
      </c>
      <c r="I97" t="str">
        <v>Limburg</v>
      </c>
      <c r="J97" t="str">
        <v>Zuid-Nederland</v>
      </c>
      <c r="K97" t="str">
        <v>Te koop</v>
      </c>
      <c r="L97" t="str">
        <v>Onbekend</v>
      </c>
      <c r="M97" t="str">
        <v>Onbekend</v>
      </c>
      <c r="N97">
        <v>755000</v>
      </c>
      <c r="O97" t="str">
        <v>v.o.n.</v>
      </c>
      <c r="P97">
        <v>122</v>
      </c>
      <c r="Q97">
        <v>6189</v>
      </c>
      <c r="R97" t="str">
        <v>Onbekend</v>
      </c>
      <c r="S97" t="str">
        <v>A+++</v>
      </c>
      <c r="T97">
        <v>4</v>
      </c>
      <c r="U97">
        <v>2</v>
      </c>
      <c r="V97" t="str">
        <v>Appartement</v>
      </c>
      <c r="W97" t="str">
        <v>Appartement</v>
      </c>
      <c r="X97" t="str">
        <v>Appartement &gt;100 m²</v>
      </c>
      <c r="Y97" t="str">
        <v>Ja</v>
      </c>
      <c r="Z97" t="str">
        <v>garage</v>
      </c>
      <c r="AA97" t="str">
        <v>2026</v>
      </c>
      <c r="AB97" t="str">
        <v>Nee</v>
      </c>
      <c r="AC97" t="str">
        <v>NEE</v>
      </c>
      <c r="AD97" t="str">
        <v>JA</v>
      </c>
    </row>
    <row r="98">
      <c r="A98" t="str">
        <v>44423846</v>
      </c>
      <c r="B98" t="str">
        <v>https://www.funda.nl/detail/koop/venray/appartement-korte-drilweg-6-e/44423846/</v>
      </c>
      <c r="C98" t="str">
        <v>Villa Vlakwater</v>
      </c>
      <c r="D98" t="str">
        <v>Korte Drilweg 6-E</v>
      </c>
      <c r="E98" t="str">
        <v>Onbekend</v>
      </c>
      <c r="F98" t="str">
        <v>5801 HP</v>
      </c>
      <c r="G98" t="str">
        <v>Venray</v>
      </c>
      <c r="H98" t="str">
        <v>Venray</v>
      </c>
      <c r="I98" t="str">
        <v>Limburg</v>
      </c>
      <c r="J98" t="str">
        <v>Zuid-Nederland</v>
      </c>
      <c r="K98" t="str">
        <v>Te koop</v>
      </c>
      <c r="L98" t="str">
        <v>Onbekend</v>
      </c>
      <c r="M98" t="str">
        <v>Onbekend</v>
      </c>
      <c r="N98">
        <v>825000</v>
      </c>
      <c r="O98" t="str">
        <v>v.o.n.</v>
      </c>
      <c r="P98">
        <v>134</v>
      </c>
      <c r="Q98">
        <v>6157</v>
      </c>
      <c r="R98" t="str">
        <v>Onbekend</v>
      </c>
      <c r="S98" t="str">
        <v>A+++</v>
      </c>
      <c r="T98">
        <v>4</v>
      </c>
      <c r="U98">
        <v>2</v>
      </c>
      <c r="V98" t="str">
        <v>Appartement</v>
      </c>
      <c r="W98" t="str">
        <v>Appartement</v>
      </c>
      <c r="X98" t="str">
        <v>Appartement &gt;100 m²</v>
      </c>
      <c r="Y98" t="str">
        <v>Ja</v>
      </c>
      <c r="Z98" t="str">
        <v>garage</v>
      </c>
      <c r="AA98" t="str">
        <v>2026</v>
      </c>
      <c r="AB98" t="str">
        <v>Nee</v>
      </c>
      <c r="AC98" t="str">
        <v>NEE</v>
      </c>
      <c r="AD98" t="str">
        <v>JA</v>
      </c>
    </row>
    <row r="99">
      <c r="A99" t="str">
        <v>44423844</v>
      </c>
      <c r="B99" t="str">
        <v>https://www.funda.nl/detail/koop/venray/appartement-korte-drilweg-6-f/44423844/</v>
      </c>
      <c r="C99" t="str">
        <v>Villa Vlakwater</v>
      </c>
      <c r="D99" t="str">
        <v>Korte Drilweg 6-F</v>
      </c>
      <c r="E99" t="str">
        <v>Onbekend</v>
      </c>
      <c r="F99" t="str">
        <v>5801 HP</v>
      </c>
      <c r="G99" t="str">
        <v>Venray</v>
      </c>
      <c r="H99" t="str">
        <v>Venray</v>
      </c>
      <c r="I99" t="str">
        <v>Limburg</v>
      </c>
      <c r="J99" t="str">
        <v>Zuid-Nederland</v>
      </c>
      <c r="K99" t="str">
        <v>Te koop</v>
      </c>
      <c r="L99" t="str">
        <v>Onbekend</v>
      </c>
      <c r="M99" t="str">
        <v>Onbekend</v>
      </c>
      <c r="N99">
        <v>855000</v>
      </c>
      <c r="O99" t="str">
        <v>v.o.n.</v>
      </c>
      <c r="P99">
        <v>140</v>
      </c>
      <c r="Q99">
        <v>6107</v>
      </c>
      <c r="R99" t="str">
        <v>Onbekend</v>
      </c>
      <c r="S99" t="str">
        <v>A+++</v>
      </c>
      <c r="T99">
        <v>4</v>
      </c>
      <c r="U99">
        <v>2</v>
      </c>
      <c r="V99" t="str">
        <v>Appartement</v>
      </c>
      <c r="W99" t="str">
        <v>Appartement</v>
      </c>
      <c r="X99" t="str">
        <v>Appartement &gt;100 m²</v>
      </c>
      <c r="Y99" t="str">
        <v>Ja</v>
      </c>
      <c r="Z99" t="str">
        <v>garage</v>
      </c>
      <c r="AA99" t="str">
        <v>2026</v>
      </c>
      <c r="AB99" t="str">
        <v>Nee</v>
      </c>
      <c r="AC99" t="str">
        <v>NEE</v>
      </c>
      <c r="AD99" t="str">
        <v>JA</v>
      </c>
    </row>
    <row r="100">
      <c r="A100" t="str">
        <v>44423843</v>
      </c>
      <c r="B100" t="str">
        <v>https://www.funda.nl/detail/koop/venray/appartement-korte-drilweg-6-g/44423843/</v>
      </c>
      <c r="C100" t="str">
        <v>Villa Vlakwater</v>
      </c>
      <c r="D100" t="str">
        <v>Korte Drilweg 6-G</v>
      </c>
      <c r="E100" t="str">
        <v>Onbekend</v>
      </c>
      <c r="F100" t="str">
        <v>5801 HP</v>
      </c>
      <c r="G100" t="str">
        <v>Venray</v>
      </c>
      <c r="H100" t="str">
        <v>Venray</v>
      </c>
      <c r="I100" t="str">
        <v>Limburg</v>
      </c>
      <c r="J100" t="str">
        <v>Zuid-Nederland</v>
      </c>
      <c r="K100" t="str">
        <v>Te koop</v>
      </c>
      <c r="L100" t="str">
        <v>Onbekend</v>
      </c>
      <c r="M100" t="str">
        <v>Onbekend</v>
      </c>
      <c r="N100">
        <v>960000</v>
      </c>
      <c r="O100" t="str">
        <v>v.o.n.</v>
      </c>
      <c r="P100">
        <v>157</v>
      </c>
      <c r="Q100">
        <v>6115</v>
      </c>
      <c r="R100" t="str">
        <v>Onbekend</v>
      </c>
      <c r="S100" t="str">
        <v>A+++</v>
      </c>
      <c r="T100">
        <v>4</v>
      </c>
      <c r="U100">
        <v>2</v>
      </c>
      <c r="V100" t="str">
        <v>Appartement</v>
      </c>
      <c r="W100" t="str">
        <v>Appartement</v>
      </c>
      <c r="X100" t="str">
        <v>Appartement &gt;100 m²</v>
      </c>
      <c r="Y100" t="str">
        <v>Ja</v>
      </c>
      <c r="Z100" t="str">
        <v>garage</v>
      </c>
      <c r="AA100" t="str">
        <v>2026</v>
      </c>
      <c r="AB100" t="str">
        <v>Nee</v>
      </c>
      <c r="AC100" t="str">
        <v>NEE</v>
      </c>
      <c r="AD100" t="str">
        <v>JA</v>
      </c>
    </row>
    <row r="101">
      <c r="A101" t="str">
        <v>44423831</v>
      </c>
      <c r="B101" t="str">
        <v>https://www.funda.nl/detail/koop/venray/appartement-korte-drilweg-6-d/44423831/</v>
      </c>
      <c r="C101" t="str">
        <v>Villa Vlakwater</v>
      </c>
      <c r="D101" t="str">
        <v>Korte Drilweg 6-D</v>
      </c>
      <c r="E101" t="str">
        <v>Onbekend</v>
      </c>
      <c r="F101" t="str">
        <v>5801 HP</v>
      </c>
      <c r="G101" t="str">
        <v>Venray</v>
      </c>
      <c r="H101" t="str">
        <v>Venray</v>
      </c>
      <c r="I101" t="str">
        <v>Limburg</v>
      </c>
      <c r="J101" t="str">
        <v>Zuid-Nederland</v>
      </c>
      <c r="K101" t="str">
        <v>Te koop</v>
      </c>
      <c r="L101" t="str">
        <v>Onbekend</v>
      </c>
      <c r="M101" t="str">
        <v>Onbekend</v>
      </c>
      <c r="N101">
        <v>870000</v>
      </c>
      <c r="O101" t="str">
        <v>v.o.n.</v>
      </c>
      <c r="P101">
        <v>142</v>
      </c>
      <c r="Q101">
        <v>6127</v>
      </c>
      <c r="R101" t="str">
        <v>Onbekend</v>
      </c>
      <c r="S101" t="str">
        <v>A+++</v>
      </c>
      <c r="T101">
        <v>4</v>
      </c>
      <c r="U101">
        <v>2</v>
      </c>
      <c r="V101" t="str">
        <v>Appartement</v>
      </c>
      <c r="W101" t="str">
        <v>Appartement</v>
      </c>
      <c r="X101" t="str">
        <v>Appartement &gt;100 m²</v>
      </c>
      <c r="Y101" t="str">
        <v>Ja</v>
      </c>
      <c r="Z101" t="str">
        <v>garage</v>
      </c>
      <c r="AA101" t="str">
        <v>2026</v>
      </c>
      <c r="AB101" t="str">
        <v>Nee</v>
      </c>
      <c r="AC101" t="str">
        <v>NEE</v>
      </c>
      <c r="AD101" t="str">
        <v>JA</v>
      </c>
    </row>
    <row r="102">
      <c r="A102" t="str">
        <v>44423788</v>
      </c>
      <c r="B102" t="str">
        <v>https://www.funda.nl/detail/koop/wehl/huis-mantelspeld-15/44423788/</v>
      </c>
      <c r="C102" t="str">
        <v>Onbekend</v>
      </c>
      <c r="D102" t="str">
        <v>Mantelspeld 15</v>
      </c>
      <c r="E102" t="str">
        <v>Onbekend</v>
      </c>
      <c r="F102" t="str">
        <v>7031 EZ</v>
      </c>
      <c r="G102" t="str">
        <v>Wehl</v>
      </c>
      <c r="H102" t="str">
        <v>Doetinchem</v>
      </c>
      <c r="I102" t="str">
        <v>Gelderland</v>
      </c>
      <c r="J102" t="str">
        <v>Oost-Nederland</v>
      </c>
      <c r="K102" t="str">
        <v>Te koop</v>
      </c>
      <c r="L102" t="str">
        <v>Onbekend</v>
      </c>
      <c r="M102" t="str">
        <v>Onbekend</v>
      </c>
      <c r="N102">
        <v>838500</v>
      </c>
      <c r="O102" t="str">
        <v>v.o.n.</v>
      </c>
      <c r="P102">
        <v>194</v>
      </c>
      <c r="Q102">
        <v>4322</v>
      </c>
      <c r="R102">
        <v>403</v>
      </c>
      <c r="S102" t="str">
        <v>A+++</v>
      </c>
      <c r="T102">
        <v>6</v>
      </c>
      <c r="U102">
        <v>4</v>
      </c>
      <c r="V102" t="str">
        <v>Grondgebonden</v>
      </c>
      <c r="W102" t="str">
        <v>Vrijstaande woning</v>
      </c>
      <c r="X102" t="str">
        <v>N.v.t.</v>
      </c>
      <c r="Y102" t="str">
        <v>Ja</v>
      </c>
      <c r="Z102" t="str">
        <v>garage</v>
      </c>
      <c r="AA102" t="str">
        <v>2026</v>
      </c>
      <c r="AB102" t="str">
        <v>Nee</v>
      </c>
      <c r="AC102" t="str">
        <v>NEE</v>
      </c>
      <c r="AD102" t="str">
        <v>JA</v>
      </c>
    </row>
    <row r="103">
      <c r="A103" t="str">
        <v>44404711</v>
      </c>
      <c r="B103" t="str">
        <v>https://www.funda.nl/detail/koop/enschede/huis-harry-saathofstraat-32/44404711/</v>
      </c>
      <c r="C103" t="str">
        <v>Onbekend</v>
      </c>
      <c r="D103" t="str">
        <v>Harry Saathofstraat 32</v>
      </c>
      <c r="E103" t="str">
        <v>Onbekend</v>
      </c>
      <c r="F103" t="str">
        <v>7513 GS</v>
      </c>
      <c r="G103" t="str">
        <v>Enschede</v>
      </c>
      <c r="H103" t="str">
        <v>Enschede</v>
      </c>
      <c r="I103" t="str">
        <v>Overijssel</v>
      </c>
      <c r="J103" t="str">
        <v>Oost-Nederland</v>
      </c>
      <c r="K103" t="str">
        <v>Te koop</v>
      </c>
      <c r="L103" t="str">
        <v>Onbekend</v>
      </c>
      <c r="M103" t="str">
        <v>Onbekend</v>
      </c>
      <c r="N103">
        <v>585000</v>
      </c>
      <c r="O103" t="str">
        <v>v.o.n.</v>
      </c>
      <c r="P103">
        <v>159</v>
      </c>
      <c r="Q103">
        <v>3679</v>
      </c>
      <c r="R103" t="str">
        <v>Onbekend</v>
      </c>
      <c r="S103" t="str">
        <v>A+++</v>
      </c>
      <c r="T103">
        <v>7</v>
      </c>
      <c r="U103">
        <v>5</v>
      </c>
      <c r="V103" t="str">
        <v>Grondgebonden</v>
      </c>
      <c r="W103" t="str">
        <v>Tussenwoning</v>
      </c>
      <c r="X103" t="str">
        <v>N.v.t.</v>
      </c>
      <c r="Y103" t="str">
        <v>Ja</v>
      </c>
      <c r="Z103" t="str">
        <v>eigen parkeerplaats</v>
      </c>
      <c r="AA103" t="str">
        <v>2026</v>
      </c>
      <c r="AB103" t="str">
        <v>Nee</v>
      </c>
      <c r="AC103" t="str">
        <v>NEE</v>
      </c>
      <c r="AD103" t="str">
        <v>JA</v>
      </c>
    </row>
    <row r="104">
      <c r="A104" t="str">
        <v>44421067</v>
      </c>
      <c r="B104" t="str">
        <v>https://www.funda.nl/detail/koop/heeswijk-dinther/huis-drie-onder-een-kapwoningen-type-o-bouwnr-75/44421067/</v>
      </c>
      <c r="C104" t="str">
        <v>Kamersche Hoef Fase 2</v>
      </c>
      <c r="D104" t="str">
        <v>Drie-onder-één-kapwoningen | Type O</v>
      </c>
      <c r="E104" t="str">
        <v>75</v>
      </c>
      <c r="F104" t="str">
        <v>5473 AJ</v>
      </c>
      <c r="G104" t="str">
        <v>Heeswijk-Dinther</v>
      </c>
      <c r="H104" t="str">
        <v>Bernheze</v>
      </c>
      <c r="I104" t="str">
        <v>Noord-Brabant</v>
      </c>
      <c r="J104" t="str">
        <v>Zuid-Nederland</v>
      </c>
      <c r="K104" t="str">
        <v>Te koop</v>
      </c>
      <c r="L104" t="str">
        <v>Onbekend</v>
      </c>
      <c r="M104" t="str">
        <v>Onbekend</v>
      </c>
      <c r="N104">
        <v>518300</v>
      </c>
      <c r="O104" t="str">
        <v>v.o.n.</v>
      </c>
      <c r="P104">
        <v>128</v>
      </c>
      <c r="Q104">
        <v>4049</v>
      </c>
      <c r="R104">
        <v>152</v>
      </c>
      <c r="S104" t="str">
        <v>A+++</v>
      </c>
      <c r="T104">
        <v>5</v>
      </c>
      <c r="U104">
        <v>3</v>
      </c>
      <c r="V104" t="str">
        <v>Grondgebonden</v>
      </c>
      <c r="W104" t="str">
        <v>Tussenwoning</v>
      </c>
      <c r="X104" t="str">
        <v>N.v.t.</v>
      </c>
      <c r="Y104" t="str">
        <v>Ja</v>
      </c>
      <c r="Z104" t="str">
        <v>openbare parkeerplaats</v>
      </c>
      <c r="AA104" t="str">
        <v>2026</v>
      </c>
      <c r="AB104" t="str">
        <v>Nee</v>
      </c>
      <c r="AC104" t="str">
        <v>NEE</v>
      </c>
      <c r="AD104" t="str">
        <v>JA</v>
      </c>
    </row>
    <row r="105">
      <c r="A105" t="str">
        <v>44421262</v>
      </c>
      <c r="B105" t="str">
        <v>https://www.funda.nl/detail/koop/heeswijk-dinther/huis-drie-onder-een-kapwoningen-type-o-bouwnr-100/44421262/</v>
      </c>
      <c r="C105" t="str">
        <v>Kamersche Hoef Fase 2</v>
      </c>
      <c r="D105" t="str">
        <v>Drie-onder-één-kapwoningen | Type O</v>
      </c>
      <c r="E105" t="str">
        <v>100</v>
      </c>
      <c r="F105" t="str">
        <v>5473 AJ</v>
      </c>
      <c r="G105" t="str">
        <v>Heeswijk-Dinther</v>
      </c>
      <c r="H105" t="str">
        <v>Bernheze</v>
      </c>
      <c r="I105" t="str">
        <v>Noord-Brabant</v>
      </c>
      <c r="J105" t="str">
        <v>Zuid-Nederland</v>
      </c>
      <c r="K105" t="str">
        <v>Te koop</v>
      </c>
      <c r="L105" t="str">
        <v>2026-07-09</v>
      </c>
      <c r="M105">
        <v>4</v>
      </c>
      <c r="N105">
        <v>524800</v>
      </c>
      <c r="O105" t="str">
        <v>v.o.n.</v>
      </c>
      <c r="P105">
        <v>128</v>
      </c>
      <c r="Q105">
        <v>4100</v>
      </c>
      <c r="R105">
        <v>165</v>
      </c>
      <c r="S105" t="str">
        <v>A+++</v>
      </c>
      <c r="T105">
        <v>5</v>
      </c>
      <c r="U105">
        <v>3</v>
      </c>
      <c r="V105" t="str">
        <v>Grondgebonden</v>
      </c>
      <c r="W105" t="str">
        <v>Tussenwoning</v>
      </c>
      <c r="X105" t="str">
        <v>N.v.t.</v>
      </c>
      <c r="Y105" t="str">
        <v>Ja</v>
      </c>
      <c r="Z105" t="str">
        <v>openbare parkeerplaats</v>
      </c>
      <c r="AA105" t="str">
        <v>2026</v>
      </c>
      <c r="AB105" t="str">
        <v>Nee</v>
      </c>
      <c r="AC105" t="str">
        <v>NEE</v>
      </c>
      <c r="AD105" t="str">
        <v>JA</v>
      </c>
    </row>
    <row r="106">
      <c r="A106" t="str">
        <v>44421150</v>
      </c>
      <c r="B106" t="str">
        <v>https://www.funda.nl/detail/koop/heeswijk-dinther/huis-drie-onder-een-kapwoningen-type-o-bouwnr-87/44421150/</v>
      </c>
      <c r="C106" t="str">
        <v>Kamersche Hoef Fase 2</v>
      </c>
      <c r="D106" t="str">
        <v>Drie-onder-één-kapwoningen | Type O</v>
      </c>
      <c r="E106" t="str">
        <v>87</v>
      </c>
      <c r="F106" t="str">
        <v>5473 AJ</v>
      </c>
      <c r="G106" t="str">
        <v>Heeswijk-Dinther</v>
      </c>
      <c r="H106" t="str">
        <v>Bernheze</v>
      </c>
      <c r="I106" t="str">
        <v>Noord-Brabant</v>
      </c>
      <c r="J106" t="str">
        <v>Zuid-Nederland</v>
      </c>
      <c r="K106" t="str">
        <v>Te koop</v>
      </c>
      <c r="L106" t="str">
        <v>Onbekend</v>
      </c>
      <c r="M106" t="str">
        <v>Onbekend</v>
      </c>
      <c r="N106">
        <v>519300</v>
      </c>
      <c r="O106" t="str">
        <v>v.o.n.</v>
      </c>
      <c r="P106">
        <v>128</v>
      </c>
      <c r="Q106">
        <v>4057</v>
      </c>
      <c r="R106">
        <v>154</v>
      </c>
      <c r="S106" t="str">
        <v>A+++</v>
      </c>
      <c r="T106">
        <v>5</v>
      </c>
      <c r="U106">
        <v>3</v>
      </c>
      <c r="V106" t="str">
        <v>Grondgebonden</v>
      </c>
      <c r="W106" t="str">
        <v>Tussenwoning</v>
      </c>
      <c r="X106" t="str">
        <v>N.v.t.</v>
      </c>
      <c r="Y106" t="str">
        <v>Ja</v>
      </c>
      <c r="Z106" t="str">
        <v>openbare parkeerplaats</v>
      </c>
      <c r="AA106" t="str">
        <v>2026</v>
      </c>
      <c r="AB106" t="str">
        <v>Nee</v>
      </c>
      <c r="AC106" t="str">
        <v>NEE</v>
      </c>
      <c r="AD106" t="str">
        <v>JA</v>
      </c>
    </row>
    <row r="107">
      <c r="A107" t="str">
        <v>44423727</v>
      </c>
      <c r="B107" t="str">
        <v>https://www.funda.nl/detail/koop/amersfoort/appartement-muurhuizen-56-a/44423727/</v>
      </c>
      <c r="C107" t="str">
        <v>Onbekend</v>
      </c>
      <c r="D107" t="str">
        <v>Muurhuizen 56-A</v>
      </c>
      <c r="E107" t="str">
        <v>Onbekend</v>
      </c>
      <c r="F107" t="str">
        <v>3811 EK</v>
      </c>
      <c r="G107" t="str">
        <v>Amersfoort</v>
      </c>
      <c r="H107" t="str">
        <v>Amersfoort</v>
      </c>
      <c r="I107" t="str">
        <v>Utrecht</v>
      </c>
      <c r="J107" t="str">
        <v>West-Nederland</v>
      </c>
      <c r="K107" t="str">
        <v>Te koop</v>
      </c>
      <c r="L107" t="str">
        <v>Onbekend</v>
      </c>
      <c r="M107" t="str">
        <v>Onbekend</v>
      </c>
      <c r="N107">
        <v>339000</v>
      </c>
      <c r="O107" t="str">
        <v>k.k.</v>
      </c>
      <c r="P107">
        <v>43</v>
      </c>
      <c r="Q107">
        <v>7884</v>
      </c>
      <c r="R107" t="str">
        <v>Onbekend</v>
      </c>
      <c r="S107" t="str">
        <v>A</v>
      </c>
      <c r="T107">
        <v>2</v>
      </c>
      <c r="U107">
        <v>1</v>
      </c>
      <c r="V107" t="str">
        <v>Appartement</v>
      </c>
      <c r="W107" t="str">
        <v>Appartement</v>
      </c>
      <c r="X107" t="str">
        <v>Appartement &lt;50 m²</v>
      </c>
      <c r="Y107" t="str">
        <v>Ja</v>
      </c>
      <c r="Z107" t="str">
        <v>onbekend</v>
      </c>
      <c r="AA107" t="str">
        <v>2026</v>
      </c>
      <c r="AB107" t="str">
        <v>Nee</v>
      </c>
      <c r="AC107" t="str">
        <v>NEE</v>
      </c>
      <c r="AD107" t="str">
        <v>JA</v>
      </c>
    </row>
    <row r="108">
      <c r="A108" t="str">
        <v>44423834</v>
      </c>
      <c r="B108" t="str">
        <v>https://www.funda.nl/detail/koop/rotterdam/appartement-hoofdweg-308-b/44423834/</v>
      </c>
      <c r="C108" t="str">
        <v>Onbekend</v>
      </c>
      <c r="D108" t="str">
        <v>Hoofdweg 308-B</v>
      </c>
      <c r="E108" t="str">
        <v>Onbekend</v>
      </c>
      <c r="F108" t="str">
        <v>3067 GJ</v>
      </c>
      <c r="G108" t="str">
        <v>Rotterdam</v>
      </c>
      <c r="H108" t="str">
        <v>Rotterdam</v>
      </c>
      <c r="I108" t="str">
        <v>Zuid-Holland</v>
      </c>
      <c r="J108" t="str">
        <v>West-Nederland</v>
      </c>
      <c r="K108" t="str">
        <v>Te koop</v>
      </c>
      <c r="L108" t="str">
        <v>Onbekend</v>
      </c>
      <c r="M108" t="str">
        <v>Onbekend</v>
      </c>
      <c r="N108">
        <v>375000</v>
      </c>
      <c r="O108" t="str">
        <v>v.o.n.</v>
      </c>
      <c r="P108">
        <v>50</v>
      </c>
      <c r="Q108">
        <v>7500</v>
      </c>
      <c r="R108" t="str">
        <v>Onbekend</v>
      </c>
      <c r="S108" t="str">
        <v>A+</v>
      </c>
      <c r="T108">
        <v>2</v>
      </c>
      <c r="U108">
        <v>1</v>
      </c>
      <c r="V108" t="str">
        <v>Appartement</v>
      </c>
      <c r="W108" t="str">
        <v>Appartement</v>
      </c>
      <c r="X108" t="str">
        <v>Appartement 50-75 m²</v>
      </c>
      <c r="Y108" t="str">
        <v>Ja</v>
      </c>
      <c r="Z108" t="str">
        <v>garage</v>
      </c>
      <c r="AA108" t="str">
        <v>Na 2020</v>
      </c>
      <c r="AB108" t="str">
        <v>Nee</v>
      </c>
      <c r="AC108" t="str">
        <v>NEE</v>
      </c>
      <c r="AD108" t="str">
        <v>JA</v>
      </c>
    </row>
    <row r="109">
      <c r="A109" t="str">
        <v>44423615</v>
      </c>
      <c r="B109" t="str">
        <v>https://www.funda.nl/detail/koop/hoeven/huis-veranda-eengezinswoning-bouwnr-7/44423615/</v>
      </c>
      <c r="C109" t="str">
        <v>Bosvenne Hoeven | Fase 1 | de verkoop is gestart!</v>
      </c>
      <c r="D109" t="str">
        <v>Veranda eengezinswoning</v>
      </c>
      <c r="E109" t="str">
        <v>- 7</v>
      </c>
      <c r="F109" t="str">
        <v>4741 SK</v>
      </c>
      <c r="G109" t="str">
        <v>Hoeven</v>
      </c>
      <c r="H109" t="str">
        <v>Halderberge</v>
      </c>
      <c r="I109" t="str">
        <v>Noord-Brabant</v>
      </c>
      <c r="J109" t="str">
        <v>Zuid-Nederland</v>
      </c>
      <c r="K109" t="str">
        <v>Te koop</v>
      </c>
      <c r="L109" t="str">
        <v>Onbekend</v>
      </c>
      <c r="M109" t="str">
        <v>Onbekend</v>
      </c>
      <c r="N109">
        <v>435000</v>
      </c>
      <c r="O109" t="str">
        <v>v.o.n.</v>
      </c>
      <c r="P109">
        <v>116</v>
      </c>
      <c r="Q109">
        <v>3750</v>
      </c>
      <c r="R109">
        <v>93</v>
      </c>
      <c r="S109" t="str">
        <v>A+++</v>
      </c>
      <c r="T109">
        <v>4</v>
      </c>
      <c r="U109">
        <v>4</v>
      </c>
      <c r="V109" t="str">
        <v>Grondgebonden</v>
      </c>
      <c r="W109" t="str">
        <v>Tussenwoning</v>
      </c>
      <c r="X109" t="str">
        <v>N.v.t.</v>
      </c>
      <c r="Y109" t="str">
        <v>Ja</v>
      </c>
      <c r="Z109" t="str">
        <v>openbare parkeerplaats</v>
      </c>
      <c r="AA109" t="str">
        <v>2026</v>
      </c>
      <c r="AB109" t="str">
        <v>Nee</v>
      </c>
      <c r="AC109" t="str">
        <v>NEE</v>
      </c>
      <c r="AD109" t="str">
        <v>JA</v>
      </c>
    </row>
    <row r="110">
      <c r="A110" t="str">
        <v>44423697</v>
      </c>
      <c r="B110" t="str">
        <v>https://www.funda.nl/detail/koop/hoeven/huis-veranda-eengezinswoning-bouwnr-9/44423697/</v>
      </c>
      <c r="C110" t="str">
        <v>Bosvenne Hoeven | Fase 1 | de verkoop is gestart!</v>
      </c>
      <c r="D110" t="str">
        <v>Veranda eengezinswoning</v>
      </c>
      <c r="E110" t="str">
        <v>- 9</v>
      </c>
      <c r="F110" t="str">
        <v>4741 SK</v>
      </c>
      <c r="G110" t="str">
        <v>Hoeven</v>
      </c>
      <c r="H110" t="str">
        <v>Halderberge</v>
      </c>
      <c r="I110" t="str">
        <v>Noord-Brabant</v>
      </c>
      <c r="J110" t="str">
        <v>Zuid-Nederland</v>
      </c>
      <c r="K110" t="str">
        <v>Te koop</v>
      </c>
      <c r="L110" t="str">
        <v>Onbekend</v>
      </c>
      <c r="M110" t="str">
        <v>Onbekend</v>
      </c>
      <c r="N110">
        <v>435000</v>
      </c>
      <c r="O110" t="str">
        <v>v.o.n.</v>
      </c>
      <c r="P110">
        <v>116</v>
      </c>
      <c r="Q110">
        <v>3750</v>
      </c>
      <c r="R110">
        <v>93</v>
      </c>
      <c r="S110" t="str">
        <v>A+++</v>
      </c>
      <c r="T110">
        <v>4</v>
      </c>
      <c r="U110">
        <v>4</v>
      </c>
      <c r="V110" t="str">
        <v>Grondgebonden</v>
      </c>
      <c r="W110" t="str">
        <v>Tussenwoning</v>
      </c>
      <c r="X110" t="str">
        <v>N.v.t.</v>
      </c>
      <c r="Y110" t="str">
        <v>Ja</v>
      </c>
      <c r="Z110" t="str">
        <v>openbare parkeerplaats</v>
      </c>
      <c r="AA110" t="str">
        <v>2026</v>
      </c>
      <c r="AB110" t="str">
        <v>Nee</v>
      </c>
      <c r="AC110" t="str">
        <v>NEE</v>
      </c>
      <c r="AD110" t="str">
        <v>JA</v>
      </c>
    </row>
    <row r="111">
      <c r="A111" t="str">
        <v>44423696</v>
      </c>
      <c r="B111" t="str">
        <v>https://www.funda.nl/detail/koop/hoeven/huis-veranda-eengezinswoning-bouwnr-8/44423696/</v>
      </c>
      <c r="C111" t="str">
        <v>Bosvenne Hoeven | Fase 1 | de verkoop is gestart!</v>
      </c>
      <c r="D111" t="str">
        <v>Veranda eengezinswoning</v>
      </c>
      <c r="E111" t="str">
        <v>- 8</v>
      </c>
      <c r="F111" t="str">
        <v>4741 SK</v>
      </c>
      <c r="G111" t="str">
        <v>Hoeven</v>
      </c>
      <c r="H111" t="str">
        <v>Halderberge</v>
      </c>
      <c r="I111" t="str">
        <v>Noord-Brabant</v>
      </c>
      <c r="J111" t="str">
        <v>Zuid-Nederland</v>
      </c>
      <c r="K111" t="str">
        <v>Te koop</v>
      </c>
      <c r="L111" t="str">
        <v>Onbekend</v>
      </c>
      <c r="M111" t="str">
        <v>Onbekend</v>
      </c>
      <c r="N111">
        <v>435000</v>
      </c>
      <c r="O111" t="str">
        <v>v.o.n.</v>
      </c>
      <c r="P111">
        <v>116</v>
      </c>
      <c r="Q111">
        <v>3750</v>
      </c>
      <c r="R111">
        <v>93</v>
      </c>
      <c r="S111" t="str">
        <v>A+++</v>
      </c>
      <c r="T111">
        <v>4</v>
      </c>
      <c r="U111">
        <v>4</v>
      </c>
      <c r="V111" t="str">
        <v>Grondgebonden</v>
      </c>
      <c r="W111" t="str">
        <v>Tussenwoning</v>
      </c>
      <c r="X111" t="str">
        <v>N.v.t.</v>
      </c>
      <c r="Y111" t="str">
        <v>Ja</v>
      </c>
      <c r="Z111" t="str">
        <v>openbare parkeerplaats</v>
      </c>
      <c r="AA111" t="str">
        <v>2026</v>
      </c>
      <c r="AB111" t="str">
        <v>Nee</v>
      </c>
      <c r="AC111" t="str">
        <v>NEE</v>
      </c>
      <c r="AD111" t="str">
        <v>JA</v>
      </c>
    </row>
    <row r="112">
      <c r="A112" t="str">
        <v>44423672</v>
      </c>
      <c r="B112" t="str">
        <v>https://www.funda.nl/detail/koop/hoeven/huis-tweekapper-xl-bouwnr-34/44423672/</v>
      </c>
      <c r="C112" t="str">
        <v>Bosvenne Hoeven | Fase 1 | de verkoop is gestart!</v>
      </c>
      <c r="D112" t="str">
        <v>Tweekapper XL</v>
      </c>
      <c r="E112" t="str">
        <v>- 34</v>
      </c>
      <c r="F112" t="str">
        <v>4741 SK</v>
      </c>
      <c r="G112" t="str">
        <v>Hoeven</v>
      </c>
      <c r="H112" t="str">
        <v>Halderberge</v>
      </c>
      <c r="I112" t="str">
        <v>Noord-Brabant</v>
      </c>
      <c r="J112" t="str">
        <v>Zuid-Nederland</v>
      </c>
      <c r="K112" t="str">
        <v>Te koop</v>
      </c>
      <c r="L112" t="str">
        <v>Onbekend</v>
      </c>
      <c r="M112" t="str">
        <v>Onbekend</v>
      </c>
      <c r="N112">
        <v>680000</v>
      </c>
      <c r="O112" t="str">
        <v>v.o.n.</v>
      </c>
      <c r="P112">
        <v>162</v>
      </c>
      <c r="Q112">
        <v>4198</v>
      </c>
      <c r="R112">
        <v>432</v>
      </c>
      <c r="S112" t="str">
        <v>A+++</v>
      </c>
      <c r="T112">
        <v>4</v>
      </c>
      <c r="U112">
        <v>3</v>
      </c>
      <c r="V112" t="str">
        <v>Grondgebonden</v>
      </c>
      <c r="W112" t="str">
        <v>2-onder-1-kapwoning</v>
      </c>
      <c r="X112" t="str">
        <v>N.v.t.</v>
      </c>
      <c r="Y112" t="str">
        <v>Ja</v>
      </c>
      <c r="Z112" t="str">
        <v>eigen parkeerplaats</v>
      </c>
      <c r="AA112" t="str">
        <v>2026</v>
      </c>
      <c r="AB112" t="str">
        <v>Nee</v>
      </c>
      <c r="AC112" t="str">
        <v>NEE</v>
      </c>
      <c r="AD112" t="str">
        <v>JA</v>
      </c>
    </row>
    <row r="113">
      <c r="A113" t="str">
        <v>44423640</v>
      </c>
      <c r="B113" t="str">
        <v>https://www.funda.nl/detail/koop/hoeven/appartement-appartement-type-a-bouwnr-a9/44423640/</v>
      </c>
      <c r="C113" t="str">
        <v>Bosvenne Hoeven | Fase 1 | de verkoop is gestart!</v>
      </c>
      <c r="D113" t="str">
        <v>Appartement type A</v>
      </c>
      <c r="E113" t="str">
        <v>- A9</v>
      </c>
      <c r="F113" t="str">
        <v>4741 SK</v>
      </c>
      <c r="G113" t="str">
        <v>Hoeven</v>
      </c>
      <c r="H113" t="str">
        <v>Halderberge</v>
      </c>
      <c r="I113" t="str">
        <v>Noord-Brabant</v>
      </c>
      <c r="J113" t="str">
        <v>Zuid-Nederland</v>
      </c>
      <c r="K113" t="str">
        <v>Te koop</v>
      </c>
      <c r="L113" t="str">
        <v>Onbekend</v>
      </c>
      <c r="M113" t="str">
        <v>Onbekend</v>
      </c>
      <c r="N113">
        <v>570000</v>
      </c>
      <c r="O113" t="str">
        <v>v.o.n.</v>
      </c>
      <c r="P113">
        <v>111</v>
      </c>
      <c r="Q113">
        <v>5135</v>
      </c>
      <c r="R113" t="str">
        <v>Onbekend</v>
      </c>
      <c r="S113" t="str">
        <v>A+++</v>
      </c>
      <c r="T113">
        <v>4</v>
      </c>
      <c r="U113">
        <v>3</v>
      </c>
      <c r="V113" t="str">
        <v>Appartement</v>
      </c>
      <c r="W113" t="str">
        <v>Appartement</v>
      </c>
      <c r="X113" t="str">
        <v>Appartement &gt;100 m²</v>
      </c>
      <c r="Y113" t="str">
        <v>Ja</v>
      </c>
      <c r="Z113" t="str">
        <v>garage</v>
      </c>
      <c r="AA113" t="str">
        <v>2026</v>
      </c>
      <c r="AB113" t="str">
        <v>Nee</v>
      </c>
      <c r="AC113" t="str">
        <v>NEE</v>
      </c>
      <c r="AD113" t="str">
        <v>JA</v>
      </c>
    </row>
    <row r="114">
      <c r="A114" t="str">
        <v>44423649</v>
      </c>
      <c r="B114" t="str">
        <v>https://www.funda.nl/detail/koop/hoeven/appartement-appartement-type-a-bouwnr-a10/44423649/</v>
      </c>
      <c r="C114" t="str">
        <v>Bosvenne Hoeven | Fase 1 | de verkoop is gestart!</v>
      </c>
      <c r="D114" t="str">
        <v>Appartement type A</v>
      </c>
      <c r="E114" t="str">
        <v>- A10</v>
      </c>
      <c r="F114" t="str">
        <v>4741 SK</v>
      </c>
      <c r="G114" t="str">
        <v>Hoeven</v>
      </c>
      <c r="H114" t="str">
        <v>Halderberge</v>
      </c>
      <c r="I114" t="str">
        <v>Noord-Brabant</v>
      </c>
      <c r="J114" t="str">
        <v>Zuid-Nederland</v>
      </c>
      <c r="K114" t="str">
        <v>Te koop</v>
      </c>
      <c r="L114" t="str">
        <v>Onbekend</v>
      </c>
      <c r="M114" t="str">
        <v>Onbekend</v>
      </c>
      <c r="N114">
        <v>575000</v>
      </c>
      <c r="O114" t="str">
        <v>v.o.n.</v>
      </c>
      <c r="P114">
        <v>111</v>
      </c>
      <c r="Q114">
        <v>5180</v>
      </c>
      <c r="R114" t="str">
        <v>Onbekend</v>
      </c>
      <c r="S114" t="str">
        <v>A+++</v>
      </c>
      <c r="T114">
        <v>4</v>
      </c>
      <c r="U114">
        <v>3</v>
      </c>
      <c r="V114" t="str">
        <v>Appartement</v>
      </c>
      <c r="W114" t="str">
        <v>Appartement</v>
      </c>
      <c r="X114" t="str">
        <v>Appartement &gt;100 m²</v>
      </c>
      <c r="Y114" t="str">
        <v>Ja</v>
      </c>
      <c r="Z114" t="str">
        <v>garage</v>
      </c>
      <c r="AA114" t="str">
        <v>2026</v>
      </c>
      <c r="AB114" t="str">
        <v>Nee</v>
      </c>
      <c r="AC114" t="str">
        <v>NEE</v>
      </c>
      <c r="AD114" t="str">
        <v>JA</v>
      </c>
    </row>
    <row r="115">
      <c r="A115" t="str">
        <v>44423631</v>
      </c>
      <c r="B115" t="str">
        <v>https://www.funda.nl/detail/koop/hoeven/appartement-appartement-type-a-bouwnr-a17/44423631/</v>
      </c>
      <c r="C115" t="str">
        <v>Bosvenne Hoeven | Fase 1 | de verkoop is gestart!</v>
      </c>
      <c r="D115" t="str">
        <v>Appartement type A</v>
      </c>
      <c r="E115" t="str">
        <v>- A17</v>
      </c>
      <c r="F115" t="str">
        <v>4741 SK</v>
      </c>
      <c r="G115" t="str">
        <v>Hoeven</v>
      </c>
      <c r="H115" t="str">
        <v>Halderberge</v>
      </c>
      <c r="I115" t="str">
        <v>Noord-Brabant</v>
      </c>
      <c r="J115" t="str">
        <v>Zuid-Nederland</v>
      </c>
      <c r="K115" t="str">
        <v>Te koop</v>
      </c>
      <c r="L115" t="str">
        <v>Onbekend</v>
      </c>
      <c r="M115" t="str">
        <v>Onbekend</v>
      </c>
      <c r="N115">
        <v>575000</v>
      </c>
      <c r="O115" t="str">
        <v>v.o.n.</v>
      </c>
      <c r="P115">
        <v>111</v>
      </c>
      <c r="Q115">
        <v>5180</v>
      </c>
      <c r="R115" t="str">
        <v>Onbekend</v>
      </c>
      <c r="S115" t="str">
        <v>A+++</v>
      </c>
      <c r="T115">
        <v>4</v>
      </c>
      <c r="U115">
        <v>3</v>
      </c>
      <c r="V115" t="str">
        <v>Appartement</v>
      </c>
      <c r="W115" t="str">
        <v>Appartement</v>
      </c>
      <c r="X115" t="str">
        <v>Appartement &gt;100 m²</v>
      </c>
      <c r="Y115" t="str">
        <v>Ja</v>
      </c>
      <c r="Z115" t="str">
        <v>garage</v>
      </c>
      <c r="AA115" t="str">
        <v>2026</v>
      </c>
      <c r="AB115" t="str">
        <v>Nee</v>
      </c>
      <c r="AC115" t="str">
        <v>NEE</v>
      </c>
      <c r="AD115" t="str">
        <v>JA</v>
      </c>
    </row>
    <row r="116">
      <c r="A116" t="str">
        <v>44423637</v>
      </c>
      <c r="B116" t="str">
        <v>https://www.funda.nl/detail/koop/hoeven/appartement-appartement-type-a-bouwnr-a16/44423637/</v>
      </c>
      <c r="C116" t="str">
        <v>Bosvenne Hoeven | Fase 1 | de verkoop is gestart!</v>
      </c>
      <c r="D116" t="str">
        <v>Appartement type A</v>
      </c>
      <c r="E116" t="str">
        <v>- A16</v>
      </c>
      <c r="F116" t="str">
        <v>4741 SK</v>
      </c>
      <c r="G116" t="str">
        <v>Hoeven</v>
      </c>
      <c r="H116" t="str">
        <v>Halderberge</v>
      </c>
      <c r="I116" t="str">
        <v>Noord-Brabant</v>
      </c>
      <c r="J116" t="str">
        <v>Zuid-Nederland</v>
      </c>
      <c r="K116" t="str">
        <v>Te koop</v>
      </c>
      <c r="L116" t="str">
        <v>Onbekend</v>
      </c>
      <c r="M116" t="str">
        <v>Onbekend</v>
      </c>
      <c r="N116">
        <v>565000</v>
      </c>
      <c r="O116" t="str">
        <v>v.o.n.</v>
      </c>
      <c r="P116">
        <v>111</v>
      </c>
      <c r="Q116">
        <v>5090</v>
      </c>
      <c r="R116" t="str">
        <v>Onbekend</v>
      </c>
      <c r="S116" t="str">
        <v>A+++</v>
      </c>
      <c r="T116">
        <v>4</v>
      </c>
      <c r="U116">
        <v>3</v>
      </c>
      <c r="V116" t="str">
        <v>Appartement</v>
      </c>
      <c r="W116" t="str">
        <v>Appartement</v>
      </c>
      <c r="X116" t="str">
        <v>Appartement &gt;100 m²</v>
      </c>
      <c r="Y116" t="str">
        <v>Ja</v>
      </c>
      <c r="Z116" t="str">
        <v>garage</v>
      </c>
      <c r="AA116" t="str">
        <v>2026</v>
      </c>
      <c r="AB116" t="str">
        <v>Nee</v>
      </c>
      <c r="AC116" t="str">
        <v>NEE</v>
      </c>
      <c r="AD116" t="str">
        <v>JA</v>
      </c>
    </row>
    <row r="117">
      <c r="A117" t="str">
        <v>44423670</v>
      </c>
      <c r="B117" t="str">
        <v>https://www.funda.nl/detail/koop/hoeven/appartement-appartement-type-a-bouwnr-a2/44423670/</v>
      </c>
      <c r="C117" t="str">
        <v>Bosvenne Hoeven | Fase 1 | de verkoop is gestart!</v>
      </c>
      <c r="D117" t="str">
        <v>Appartement type A</v>
      </c>
      <c r="E117" t="str">
        <v>- A2</v>
      </c>
      <c r="F117" t="str">
        <v>4741 SK</v>
      </c>
      <c r="G117" t="str">
        <v>Hoeven</v>
      </c>
      <c r="H117" t="str">
        <v>Halderberge</v>
      </c>
      <c r="I117" t="str">
        <v>Noord-Brabant</v>
      </c>
      <c r="J117" t="str">
        <v>Zuid-Nederland</v>
      </c>
      <c r="K117" t="str">
        <v>Te koop</v>
      </c>
      <c r="L117" t="str">
        <v>Onbekend</v>
      </c>
      <c r="M117" t="str">
        <v>Onbekend</v>
      </c>
      <c r="N117">
        <v>560000</v>
      </c>
      <c r="O117" t="str">
        <v>v.o.n.</v>
      </c>
      <c r="P117">
        <v>111</v>
      </c>
      <c r="Q117">
        <v>5045</v>
      </c>
      <c r="R117" t="str">
        <v>Onbekend</v>
      </c>
      <c r="S117" t="str">
        <v>A+++</v>
      </c>
      <c r="T117">
        <v>4</v>
      </c>
      <c r="U117">
        <v>3</v>
      </c>
      <c r="V117" t="str">
        <v>Appartement</v>
      </c>
      <c r="W117" t="str">
        <v>Appartement</v>
      </c>
      <c r="X117" t="str">
        <v>Appartement &gt;100 m²</v>
      </c>
      <c r="Y117" t="str">
        <v>Ja</v>
      </c>
      <c r="Z117" t="str">
        <v>garage</v>
      </c>
      <c r="AA117" t="str">
        <v>2026</v>
      </c>
      <c r="AB117" t="str">
        <v>Nee</v>
      </c>
      <c r="AC117" t="str">
        <v>NEE</v>
      </c>
      <c r="AD117" t="str">
        <v>JA</v>
      </c>
    </row>
    <row r="118">
      <c r="A118" t="str">
        <v>44423626</v>
      </c>
      <c r="B118" t="str">
        <v>https://www.funda.nl/detail/koop/hoeven/huis-veranda-hoekwoning-bouwnr-10/44423626/</v>
      </c>
      <c r="C118" t="str">
        <v>Bosvenne Hoeven | Fase 1 | de verkoop is gestart!</v>
      </c>
      <c r="D118" t="str">
        <v>Veranda hoekwoning</v>
      </c>
      <c r="E118" t="str">
        <v>- 10</v>
      </c>
      <c r="F118" t="str">
        <v>4741 SK</v>
      </c>
      <c r="G118" t="str">
        <v>Hoeven</v>
      </c>
      <c r="H118" t="str">
        <v>Halderberge</v>
      </c>
      <c r="I118" t="str">
        <v>Noord-Brabant</v>
      </c>
      <c r="J118" t="str">
        <v>Zuid-Nederland</v>
      </c>
      <c r="K118" t="str">
        <v>Te koop</v>
      </c>
      <c r="L118" t="str">
        <v>Onbekend</v>
      </c>
      <c r="M118" t="str">
        <v>Onbekend</v>
      </c>
      <c r="N118">
        <v>522500</v>
      </c>
      <c r="O118" t="str">
        <v>v.o.n.</v>
      </c>
      <c r="P118">
        <v>129</v>
      </c>
      <c r="Q118">
        <v>4050</v>
      </c>
      <c r="R118">
        <v>151</v>
      </c>
      <c r="S118" t="str">
        <v>A+++</v>
      </c>
      <c r="T118">
        <v>4</v>
      </c>
      <c r="U118">
        <v>3</v>
      </c>
      <c r="V118" t="str">
        <v>Grondgebonden</v>
      </c>
      <c r="W118" t="str">
        <v>Hoekwoning</v>
      </c>
      <c r="X118" t="str">
        <v>N.v.t.</v>
      </c>
      <c r="Y118" t="str">
        <v>Ja</v>
      </c>
      <c r="Z118" t="str">
        <v>openbare parkeerplaats</v>
      </c>
      <c r="AA118" t="str">
        <v>2026</v>
      </c>
      <c r="AB118" t="str">
        <v>Nee</v>
      </c>
      <c r="AC118" t="str">
        <v>NEE</v>
      </c>
      <c r="AD118" t="str">
        <v>JA</v>
      </c>
    </row>
    <row r="119">
      <c r="A119" t="str">
        <v>44423613</v>
      </c>
      <c r="B119" t="str">
        <v>https://www.funda.nl/detail/koop/hoeven/huis-veranda-eengezinswoning-bouwnr-2/44423613/</v>
      </c>
      <c r="C119" t="str">
        <v>Bosvenne Hoeven | Fase 1 | de verkoop is gestart!</v>
      </c>
      <c r="D119" t="str">
        <v>Veranda eengezinswoning</v>
      </c>
      <c r="E119" t="str">
        <v>- 2</v>
      </c>
      <c r="F119" t="str">
        <v>4741 SK</v>
      </c>
      <c r="G119" t="str">
        <v>Hoeven</v>
      </c>
      <c r="H119" t="str">
        <v>Halderberge</v>
      </c>
      <c r="I119" t="str">
        <v>Noord-Brabant</v>
      </c>
      <c r="J119" t="str">
        <v>Zuid-Nederland</v>
      </c>
      <c r="K119" t="str">
        <v>Te koop</v>
      </c>
      <c r="L119" t="str">
        <v>Onbekend</v>
      </c>
      <c r="M119" t="str">
        <v>Onbekend</v>
      </c>
      <c r="N119">
        <v>435000</v>
      </c>
      <c r="O119" t="str">
        <v>v.o.n.</v>
      </c>
      <c r="P119">
        <v>116</v>
      </c>
      <c r="Q119">
        <v>3750</v>
      </c>
      <c r="R119">
        <v>111</v>
      </c>
      <c r="S119" t="str">
        <v>A+++</v>
      </c>
      <c r="T119">
        <v>4</v>
      </c>
      <c r="U119">
        <v>4</v>
      </c>
      <c r="V119" t="str">
        <v>Grondgebonden</v>
      </c>
      <c r="W119" t="str">
        <v>Tussenwoning</v>
      </c>
      <c r="X119" t="str">
        <v>N.v.t.</v>
      </c>
      <c r="Y119" t="str">
        <v>Ja</v>
      </c>
      <c r="Z119" t="str">
        <v>openbare parkeerplaats</v>
      </c>
      <c r="AA119" t="str">
        <v>2026</v>
      </c>
      <c r="AB119" t="str">
        <v>Nee</v>
      </c>
      <c r="AC119" t="str">
        <v>NEE</v>
      </c>
      <c r="AD119" t="str">
        <v>JA</v>
      </c>
    </row>
    <row r="120">
      <c r="A120" t="str">
        <v>44423607</v>
      </c>
      <c r="B120" t="str">
        <v>https://www.funda.nl/detail/koop/hoeven/huis-eengezinswoning-xl-bouwnr-21/44423607/</v>
      </c>
      <c r="C120" t="str">
        <v>Bosvenne Hoeven | Fase 1 | de verkoop is gestart!</v>
      </c>
      <c r="D120" t="str">
        <v>Eengezinswoning XL</v>
      </c>
      <c r="E120" t="str">
        <v>- 21</v>
      </c>
      <c r="F120" t="str">
        <v>4741 SK</v>
      </c>
      <c r="G120" t="str">
        <v>Hoeven</v>
      </c>
      <c r="H120" t="str">
        <v>Halderberge</v>
      </c>
      <c r="I120" t="str">
        <v>Noord-Brabant</v>
      </c>
      <c r="J120" t="str">
        <v>Zuid-Nederland</v>
      </c>
      <c r="K120" t="str">
        <v>Te koop</v>
      </c>
      <c r="L120" t="str">
        <v>2026-07-09</v>
      </c>
      <c r="M120">
        <v>4</v>
      </c>
      <c r="N120">
        <v>497500</v>
      </c>
      <c r="O120" t="str">
        <v>v.o.n.</v>
      </c>
      <c r="P120">
        <v>129</v>
      </c>
      <c r="Q120">
        <v>3857</v>
      </c>
      <c r="R120">
        <v>162</v>
      </c>
      <c r="S120" t="str">
        <v>A+++</v>
      </c>
      <c r="T120">
        <v>4</v>
      </c>
      <c r="U120">
        <v>3</v>
      </c>
      <c r="V120" t="str">
        <v>Grondgebonden</v>
      </c>
      <c r="W120" t="str">
        <v>Tussenwoning</v>
      </c>
      <c r="X120" t="str">
        <v>N.v.t.</v>
      </c>
      <c r="Y120" t="str">
        <v>Ja</v>
      </c>
      <c r="Z120" t="str">
        <v>openbare parkeerplaats</v>
      </c>
      <c r="AA120" t="str">
        <v>2026</v>
      </c>
      <c r="AB120" t="str">
        <v>Nee</v>
      </c>
      <c r="AC120" t="str">
        <v>NEE</v>
      </c>
      <c r="AD120" t="str">
        <v>JA</v>
      </c>
    </row>
    <row r="121">
      <c r="A121" t="str">
        <v>44423606</v>
      </c>
      <c r="B121" t="str">
        <v>https://www.funda.nl/detail/koop/hoeven/huis-veranda-hoekwoning-xl-type-1-bouwnr-6/44423606/</v>
      </c>
      <c r="C121" t="str">
        <v>Bosvenne Hoeven | Fase 1 | de verkoop is gestart!</v>
      </c>
      <c r="D121" t="str">
        <v>Veranda hoekwoning XL Type 1</v>
      </c>
      <c r="E121" t="str">
        <v>- 6</v>
      </c>
      <c r="F121" t="str">
        <v>4741 SK</v>
      </c>
      <c r="G121" t="str">
        <v>Hoeven</v>
      </c>
      <c r="H121" t="str">
        <v>Halderberge</v>
      </c>
      <c r="I121" t="str">
        <v>Noord-Brabant</v>
      </c>
      <c r="J121" t="str">
        <v>Zuid-Nederland</v>
      </c>
      <c r="K121" t="str">
        <v>Te koop</v>
      </c>
      <c r="L121" t="str">
        <v>Onbekend</v>
      </c>
      <c r="M121" t="str">
        <v>Onbekend</v>
      </c>
      <c r="N121">
        <v>540000</v>
      </c>
      <c r="O121" t="str">
        <v>v.o.n.</v>
      </c>
      <c r="P121">
        <v>143</v>
      </c>
      <c r="Q121">
        <v>3776</v>
      </c>
      <c r="R121">
        <v>151</v>
      </c>
      <c r="S121" t="str">
        <v>A+++</v>
      </c>
      <c r="T121">
        <v>4</v>
      </c>
      <c r="U121">
        <v>3</v>
      </c>
      <c r="V121" t="str">
        <v>Grondgebonden</v>
      </c>
      <c r="W121" t="str">
        <v>Hoekwoning</v>
      </c>
      <c r="X121" t="str">
        <v>N.v.t.</v>
      </c>
      <c r="Y121" t="str">
        <v>Ja</v>
      </c>
      <c r="Z121" t="str">
        <v>openbare parkeerplaats</v>
      </c>
      <c r="AA121" t="str">
        <v>2026</v>
      </c>
      <c r="AB121" t="str">
        <v>Nee</v>
      </c>
      <c r="AC121" t="str">
        <v>NEE</v>
      </c>
      <c r="AD121" t="str">
        <v>JA</v>
      </c>
    </row>
    <row r="122">
      <c r="A122" t="str">
        <v>44423605</v>
      </c>
      <c r="B122" t="str">
        <v>https://www.funda.nl/detail/koop/hoeven/huis-eengezinswoning-xl-bouwnr-20/44423605/</v>
      </c>
      <c r="C122" t="str">
        <v>Bosvenne Hoeven | Fase 1 | de verkoop is gestart!</v>
      </c>
      <c r="D122" t="str">
        <v>Eengezinswoning XL</v>
      </c>
      <c r="E122" t="str">
        <v>- 20</v>
      </c>
      <c r="F122" t="str">
        <v>4741 SK</v>
      </c>
      <c r="G122" t="str">
        <v>Hoeven</v>
      </c>
      <c r="H122" t="str">
        <v>Halderberge</v>
      </c>
      <c r="I122" t="str">
        <v>Noord-Brabant</v>
      </c>
      <c r="J122" t="str">
        <v>Zuid-Nederland</v>
      </c>
      <c r="K122" t="str">
        <v>Te koop</v>
      </c>
      <c r="L122" t="str">
        <v>Onbekend</v>
      </c>
      <c r="M122" t="str">
        <v>Onbekend</v>
      </c>
      <c r="N122">
        <v>492500</v>
      </c>
      <c r="O122" t="str">
        <v>v.o.n.</v>
      </c>
      <c r="P122">
        <v>129</v>
      </c>
      <c r="Q122">
        <v>3818</v>
      </c>
      <c r="R122">
        <v>151</v>
      </c>
      <c r="S122" t="str">
        <v>A+++</v>
      </c>
      <c r="T122">
        <v>4</v>
      </c>
      <c r="U122">
        <v>3</v>
      </c>
      <c r="V122" t="str">
        <v>Grondgebonden</v>
      </c>
      <c r="W122" t="str">
        <v>Tussenwoning</v>
      </c>
      <c r="X122" t="str">
        <v>N.v.t.</v>
      </c>
      <c r="Y122" t="str">
        <v>Ja</v>
      </c>
      <c r="Z122" t="str">
        <v>openbare parkeerplaats</v>
      </c>
      <c r="AA122" t="str">
        <v>2026</v>
      </c>
      <c r="AB122" t="str">
        <v>Nee</v>
      </c>
      <c r="AC122" t="str">
        <v>NEE</v>
      </c>
      <c r="AD122" t="str">
        <v>JA</v>
      </c>
    </row>
    <row r="123">
      <c r="A123" t="str">
        <v>44423689</v>
      </c>
      <c r="B123" t="str">
        <v>https://www.funda.nl/detail/koop/hoeven/huis-loof-woning-type-1-bouwnr-27/44423689/</v>
      </c>
      <c r="C123" t="str">
        <v>Bosvenne Hoeven | Fase 1 | de verkoop is gestart!</v>
      </c>
      <c r="D123" t="str">
        <v>LOOF-woning Type 1</v>
      </c>
      <c r="E123" t="str">
        <v>- 27</v>
      </c>
      <c r="F123" t="str">
        <v>4741 SK</v>
      </c>
      <c r="G123" t="str">
        <v>Hoeven</v>
      </c>
      <c r="H123" t="str">
        <v>Halderberge</v>
      </c>
      <c r="I123" t="str">
        <v>Noord-Brabant</v>
      </c>
      <c r="J123" t="str">
        <v>Zuid-Nederland</v>
      </c>
      <c r="K123" t="str">
        <v>Te koop</v>
      </c>
      <c r="L123" t="str">
        <v>Onbekend</v>
      </c>
      <c r="M123" t="str">
        <v>Onbekend</v>
      </c>
      <c r="N123">
        <v>622500</v>
      </c>
      <c r="O123" t="str">
        <v>v.o.n.</v>
      </c>
      <c r="P123">
        <v>121</v>
      </c>
      <c r="Q123">
        <v>5145</v>
      </c>
      <c r="R123">
        <v>298</v>
      </c>
      <c r="S123" t="str">
        <v>A+++</v>
      </c>
      <c r="T123">
        <v>2</v>
      </c>
      <c r="U123">
        <v>1</v>
      </c>
      <c r="V123" t="str">
        <v>Grondgebonden</v>
      </c>
      <c r="W123" t="str">
        <v>2-onder-1-kapwoning</v>
      </c>
      <c r="X123" t="str">
        <v>N.v.t.</v>
      </c>
      <c r="Y123" t="str">
        <v>Ja</v>
      </c>
      <c r="Z123" t="str">
        <v>eigen parkeerplaats</v>
      </c>
      <c r="AA123" t="str">
        <v>2026</v>
      </c>
      <c r="AB123" t="str">
        <v>Nee</v>
      </c>
      <c r="AC123" t="str">
        <v>NEE</v>
      </c>
      <c r="AD123" t="str">
        <v>JA</v>
      </c>
    </row>
    <row r="124">
      <c r="A124" t="str">
        <v>44423688</v>
      </c>
      <c r="B124" t="str">
        <v>https://www.funda.nl/detail/koop/hoeven/huis-tweekapper-met-garage-bouwnr-35/44423688/</v>
      </c>
      <c r="C124" t="str">
        <v>Bosvenne Hoeven | Fase 1 | de verkoop is gestart!</v>
      </c>
      <c r="D124" t="str">
        <v>Tweekapper met garage</v>
      </c>
      <c r="E124" t="str">
        <v>- 35</v>
      </c>
      <c r="F124" t="str">
        <v>4741 SK</v>
      </c>
      <c r="G124" t="str">
        <v>Hoeven</v>
      </c>
      <c r="H124" t="str">
        <v>Halderberge</v>
      </c>
      <c r="I124" t="str">
        <v>Noord-Brabant</v>
      </c>
      <c r="J124" t="str">
        <v>Zuid-Nederland</v>
      </c>
      <c r="K124" t="str">
        <v>Te koop</v>
      </c>
      <c r="L124" t="str">
        <v>Onbekend</v>
      </c>
      <c r="M124" t="str">
        <v>Onbekend</v>
      </c>
      <c r="N124">
        <v>615000</v>
      </c>
      <c r="O124" t="str">
        <v>v.o.n.</v>
      </c>
      <c r="P124">
        <v>144</v>
      </c>
      <c r="Q124">
        <v>4271</v>
      </c>
      <c r="R124">
        <v>389</v>
      </c>
      <c r="S124" t="str">
        <v>A+++</v>
      </c>
      <c r="T124">
        <v>4</v>
      </c>
      <c r="U124">
        <v>3</v>
      </c>
      <c r="V124" t="str">
        <v>Grondgebonden</v>
      </c>
      <c r="W124" t="str">
        <v>2-onder-1-kapwoning</v>
      </c>
      <c r="X124" t="str">
        <v>N.v.t.</v>
      </c>
      <c r="Y124" t="str">
        <v>Ja</v>
      </c>
      <c r="Z124" t="str">
        <v>eigen parkeerplaats</v>
      </c>
      <c r="AA124" t="str">
        <v>2026</v>
      </c>
      <c r="AB124" t="str">
        <v>Nee</v>
      </c>
      <c r="AC124" t="str">
        <v>NEE</v>
      </c>
      <c r="AD124" t="str">
        <v>JA</v>
      </c>
    </row>
    <row r="125">
      <c r="A125" t="str">
        <v>44423684</v>
      </c>
      <c r="B125" t="str">
        <v>https://www.funda.nl/detail/koop/hoeven/huis-loof-woning-type-1-bouwnr-26/44423684/</v>
      </c>
      <c r="C125" t="str">
        <v>Bosvenne Hoeven | Fase 1 | de verkoop is gestart!</v>
      </c>
      <c r="D125" t="str">
        <v>LOOF-woning Type 1</v>
      </c>
      <c r="E125" t="str">
        <v>- 26</v>
      </c>
      <c r="F125" t="str">
        <v>4741 SK</v>
      </c>
      <c r="G125" t="str">
        <v>Hoeven</v>
      </c>
      <c r="H125" t="str">
        <v>Halderberge</v>
      </c>
      <c r="I125" t="str">
        <v>Noord-Brabant</v>
      </c>
      <c r="J125" t="str">
        <v>Zuid-Nederland</v>
      </c>
      <c r="K125" t="str">
        <v>Te koop</v>
      </c>
      <c r="L125" t="str">
        <v>Onbekend</v>
      </c>
      <c r="M125" t="str">
        <v>Onbekend</v>
      </c>
      <c r="N125">
        <v>622500</v>
      </c>
      <c r="O125" t="str">
        <v>v.o.n.</v>
      </c>
      <c r="P125">
        <v>121</v>
      </c>
      <c r="Q125">
        <v>5145</v>
      </c>
      <c r="R125">
        <v>298</v>
      </c>
      <c r="S125" t="str">
        <v>A+++</v>
      </c>
      <c r="T125">
        <v>2</v>
      </c>
      <c r="U125">
        <v>1</v>
      </c>
      <c r="V125" t="str">
        <v>Grondgebonden</v>
      </c>
      <c r="W125" t="str">
        <v>2-onder-1-kapwoning</v>
      </c>
      <c r="X125" t="str">
        <v>N.v.t.</v>
      </c>
      <c r="Y125" t="str">
        <v>Ja</v>
      </c>
      <c r="Z125" t="str">
        <v>eigen parkeerplaats</v>
      </c>
      <c r="AA125" t="str">
        <v>2026</v>
      </c>
      <c r="AB125" t="str">
        <v>Nee</v>
      </c>
      <c r="AC125" t="str">
        <v>NEE</v>
      </c>
      <c r="AD125" t="str">
        <v>JA</v>
      </c>
    </row>
    <row r="126">
      <c r="A126" t="str">
        <v>44423642</v>
      </c>
      <c r="B126" t="str">
        <v>https://www.funda.nl/detail/koop/hoeven/appartement-appartement-type-c-bouwnr-a5/44423642/</v>
      </c>
      <c r="C126" t="str">
        <v>Bosvenne Hoeven | Fase 1 | de verkoop is gestart!</v>
      </c>
      <c r="D126" t="str">
        <v>Appartement type C</v>
      </c>
      <c r="E126" t="str">
        <v>- A5</v>
      </c>
      <c r="F126" t="str">
        <v>4741 SK</v>
      </c>
      <c r="G126" t="str">
        <v>Hoeven</v>
      </c>
      <c r="H126" t="str">
        <v>Halderberge</v>
      </c>
      <c r="I126" t="str">
        <v>Noord-Brabant</v>
      </c>
      <c r="J126" t="str">
        <v>Zuid-Nederland</v>
      </c>
      <c r="K126" t="str">
        <v>Te koop</v>
      </c>
      <c r="L126" t="str">
        <v>Onbekend</v>
      </c>
      <c r="M126" t="str">
        <v>Onbekend</v>
      </c>
      <c r="N126">
        <v>499000</v>
      </c>
      <c r="O126" t="str">
        <v>v.o.n.</v>
      </c>
      <c r="P126">
        <v>97</v>
      </c>
      <c r="Q126">
        <v>5144</v>
      </c>
      <c r="R126" t="str">
        <v>Onbekend</v>
      </c>
      <c r="S126" t="str">
        <v>A+++</v>
      </c>
      <c r="T126">
        <v>4</v>
      </c>
      <c r="U126">
        <v>3</v>
      </c>
      <c r="V126" t="str">
        <v>Appartement</v>
      </c>
      <c r="W126" t="str">
        <v>Appartement</v>
      </c>
      <c r="X126" t="str">
        <v>Appartement 75-100 m²</v>
      </c>
      <c r="Y126" t="str">
        <v>Ja</v>
      </c>
      <c r="Z126" t="str">
        <v>garage</v>
      </c>
      <c r="AA126" t="str">
        <v>2026</v>
      </c>
      <c r="AB126" t="str">
        <v>Nee</v>
      </c>
      <c r="AC126" t="str">
        <v>NEE</v>
      </c>
      <c r="AD126" t="str">
        <v>JA</v>
      </c>
    </row>
    <row r="127">
      <c r="A127" t="str">
        <v>44423641</v>
      </c>
      <c r="B127" t="str">
        <v>https://www.funda.nl/detail/koop/hoeven/appartement-appartement-type-b-bouwnr-a21/44423641/</v>
      </c>
      <c r="C127" t="str">
        <v>Bosvenne Hoeven | Fase 1 | de verkoop is gestart!</v>
      </c>
      <c r="D127" t="str">
        <v>Appartement type B</v>
      </c>
      <c r="E127" t="str">
        <v>- A21</v>
      </c>
      <c r="F127" t="str">
        <v>4741 SK</v>
      </c>
      <c r="G127" t="str">
        <v>Hoeven</v>
      </c>
      <c r="H127" t="str">
        <v>Halderberge</v>
      </c>
      <c r="I127" t="str">
        <v>Noord-Brabant</v>
      </c>
      <c r="J127" t="str">
        <v>Zuid-Nederland</v>
      </c>
      <c r="K127" t="str">
        <v>Te koop</v>
      </c>
      <c r="L127" t="str">
        <v>Onbekend</v>
      </c>
      <c r="M127" t="str">
        <v>Onbekend</v>
      </c>
      <c r="N127">
        <v>565000</v>
      </c>
      <c r="O127" t="str">
        <v>v.o.n.</v>
      </c>
      <c r="P127">
        <v>110</v>
      </c>
      <c r="Q127">
        <v>5136</v>
      </c>
      <c r="R127" t="str">
        <v>Onbekend</v>
      </c>
      <c r="S127" t="str">
        <v>A+++</v>
      </c>
      <c r="T127">
        <v>4</v>
      </c>
      <c r="U127">
        <v>3</v>
      </c>
      <c r="V127" t="str">
        <v>Appartement</v>
      </c>
      <c r="W127" t="str">
        <v>Appartement</v>
      </c>
      <c r="X127" t="str">
        <v>Appartement &gt;100 m²</v>
      </c>
      <c r="Y127" t="str">
        <v>Ja</v>
      </c>
      <c r="Z127" t="str">
        <v>garage</v>
      </c>
      <c r="AA127" t="str">
        <v>2026</v>
      </c>
      <c r="AB127" t="str">
        <v>Nee</v>
      </c>
      <c r="AC127" t="str">
        <v>NEE</v>
      </c>
      <c r="AD127" t="str">
        <v>JA</v>
      </c>
    </row>
    <row r="128">
      <c r="A128" t="str">
        <v>44423648</v>
      </c>
      <c r="B128" t="str">
        <v>https://www.funda.nl/detail/koop/hoeven/appartement-penthouse-type-g-bouwnr-a24/44423648/</v>
      </c>
      <c r="C128" t="str">
        <v>Bosvenne Hoeven | Fase 1 | de verkoop is gestart!</v>
      </c>
      <c r="D128" t="str">
        <v>Penthouse type G</v>
      </c>
      <c r="E128" t="str">
        <v>- A24</v>
      </c>
      <c r="F128" t="str">
        <v>4741 SK</v>
      </c>
      <c r="G128" t="str">
        <v>Hoeven</v>
      </c>
      <c r="H128" t="str">
        <v>Halderberge</v>
      </c>
      <c r="I128" t="str">
        <v>Noord-Brabant</v>
      </c>
      <c r="J128" t="str">
        <v>Zuid-Nederland</v>
      </c>
      <c r="K128" t="str">
        <v>Te koop</v>
      </c>
      <c r="L128" t="str">
        <v>Onbekend</v>
      </c>
      <c r="M128" t="str">
        <v>Onbekend</v>
      </c>
      <c r="N128">
        <v>840000</v>
      </c>
      <c r="O128" t="str">
        <v>v.o.n.</v>
      </c>
      <c r="P128">
        <v>147</v>
      </c>
      <c r="Q128">
        <v>5714</v>
      </c>
      <c r="R128" t="str">
        <v>Onbekend</v>
      </c>
      <c r="S128" t="str">
        <v>A+++</v>
      </c>
      <c r="T128">
        <v>4</v>
      </c>
      <c r="U128">
        <v>3</v>
      </c>
      <c r="V128" t="str">
        <v>Appartement</v>
      </c>
      <c r="W128" t="str">
        <v>Appartement</v>
      </c>
      <c r="X128" t="str">
        <v>Appartement &gt;100 m²</v>
      </c>
      <c r="Y128" t="str">
        <v>Ja</v>
      </c>
      <c r="Z128" t="str">
        <v>garage</v>
      </c>
      <c r="AA128" t="str">
        <v>2026</v>
      </c>
      <c r="AB128" t="str">
        <v>Nee</v>
      </c>
      <c r="AC128" t="str">
        <v>NEE</v>
      </c>
      <c r="AD128" t="str">
        <v>JA</v>
      </c>
    </row>
    <row r="129">
      <c r="A129" t="str">
        <v>44423647</v>
      </c>
      <c r="B129" t="str">
        <v>https://www.funda.nl/detail/koop/hoeven/appartement-penthouse-type-f-bouwnr-a23/44423647/</v>
      </c>
      <c r="C129" t="str">
        <v>Bosvenne Hoeven | Fase 1 | de verkoop is gestart!</v>
      </c>
      <c r="D129" t="str">
        <v>Penthouse type F</v>
      </c>
      <c r="E129" t="str">
        <v>- A23</v>
      </c>
      <c r="F129" t="str">
        <v>4741 SK</v>
      </c>
      <c r="G129" t="str">
        <v>Hoeven</v>
      </c>
      <c r="H129" t="str">
        <v>Halderberge</v>
      </c>
      <c r="I129" t="str">
        <v>Noord-Brabant</v>
      </c>
      <c r="J129" t="str">
        <v>Zuid-Nederland</v>
      </c>
      <c r="K129" t="str">
        <v>Te koop</v>
      </c>
      <c r="L129" t="str">
        <v>Onbekend</v>
      </c>
      <c r="M129" t="str">
        <v>Onbekend</v>
      </c>
      <c r="N129">
        <v>760000</v>
      </c>
      <c r="O129" t="str">
        <v>v.o.n.</v>
      </c>
      <c r="P129">
        <v>144</v>
      </c>
      <c r="Q129">
        <v>5278</v>
      </c>
      <c r="R129" t="str">
        <v>Onbekend</v>
      </c>
      <c r="S129" t="str">
        <v>A+++</v>
      </c>
      <c r="T129">
        <v>4</v>
      </c>
      <c r="U129">
        <v>3</v>
      </c>
      <c r="V129" t="str">
        <v>Appartement</v>
      </c>
      <c r="W129" t="str">
        <v>Appartement</v>
      </c>
      <c r="X129" t="str">
        <v>Appartement &gt;100 m²</v>
      </c>
      <c r="Y129" t="str">
        <v>Ja</v>
      </c>
      <c r="Z129" t="str">
        <v>garage</v>
      </c>
      <c r="AA129" t="str">
        <v>2026</v>
      </c>
      <c r="AB129" t="str">
        <v>Nee</v>
      </c>
      <c r="AC129" t="str">
        <v>NEE</v>
      </c>
      <c r="AD129" t="str">
        <v>JA</v>
      </c>
    </row>
    <row r="130">
      <c r="A130" t="str">
        <v>44423645</v>
      </c>
      <c r="B130" t="str">
        <v>https://www.funda.nl/detail/koop/hoeven/appartement-appartement-type-c-bouwnr-a15/44423645/</v>
      </c>
      <c r="C130" t="str">
        <v>Bosvenne Hoeven | Fase 1 | de verkoop is gestart!</v>
      </c>
      <c r="D130" t="str">
        <v>Appartement type C</v>
      </c>
      <c r="E130" t="str">
        <v>- A15</v>
      </c>
      <c r="F130" t="str">
        <v>4741 SK</v>
      </c>
      <c r="G130" t="str">
        <v>Hoeven</v>
      </c>
      <c r="H130" t="str">
        <v>Halderberge</v>
      </c>
      <c r="I130" t="str">
        <v>Noord-Brabant</v>
      </c>
      <c r="J130" t="str">
        <v>Zuid-Nederland</v>
      </c>
      <c r="K130" t="str">
        <v>Te koop</v>
      </c>
      <c r="L130" t="str">
        <v>Onbekend</v>
      </c>
      <c r="M130" t="str">
        <v>Onbekend</v>
      </c>
      <c r="N130">
        <v>495000</v>
      </c>
      <c r="O130" t="str">
        <v>v.o.n.</v>
      </c>
      <c r="P130">
        <v>99</v>
      </c>
      <c r="Q130">
        <v>5000</v>
      </c>
      <c r="R130" t="str">
        <v>Onbekend</v>
      </c>
      <c r="S130" t="str">
        <v>A+++</v>
      </c>
      <c r="T130">
        <v>4</v>
      </c>
      <c r="U130">
        <v>3</v>
      </c>
      <c r="V130" t="str">
        <v>Appartement</v>
      </c>
      <c r="W130" t="str">
        <v>Appartement</v>
      </c>
      <c r="X130" t="str">
        <v>Appartement 75-100 m²</v>
      </c>
      <c r="Y130" t="str">
        <v>Ja</v>
      </c>
      <c r="Z130" t="str">
        <v>garage</v>
      </c>
      <c r="AA130" t="str">
        <v>2026</v>
      </c>
      <c r="AB130" t="str">
        <v>Nee</v>
      </c>
      <c r="AC130" t="str">
        <v>NEE</v>
      </c>
      <c r="AD130" t="str">
        <v>JA</v>
      </c>
    </row>
    <row r="131">
      <c r="A131" t="str">
        <v>44423644</v>
      </c>
      <c r="B131" t="str">
        <v>https://www.funda.nl/detail/koop/hoeven/appartement-appartement-type-c-bouwnr-a19/44423644/</v>
      </c>
      <c r="C131" t="str">
        <v>Bosvenne Hoeven | Fase 1 | de verkoop is gestart!</v>
      </c>
      <c r="D131" t="str">
        <v>Appartement type C</v>
      </c>
      <c r="E131" t="str">
        <v>- A19</v>
      </c>
      <c r="F131" t="str">
        <v>4741 SK</v>
      </c>
      <c r="G131" t="str">
        <v>Hoeven</v>
      </c>
      <c r="H131" t="str">
        <v>Halderberge</v>
      </c>
      <c r="I131" t="str">
        <v>Noord-Brabant</v>
      </c>
      <c r="J131" t="str">
        <v>Zuid-Nederland</v>
      </c>
      <c r="K131" t="str">
        <v>Te koop</v>
      </c>
      <c r="L131" t="str">
        <v>Onbekend</v>
      </c>
      <c r="M131" t="str">
        <v>Onbekend</v>
      </c>
      <c r="N131">
        <v>505000</v>
      </c>
      <c r="O131" t="str">
        <v>v.o.n.</v>
      </c>
      <c r="P131">
        <v>97</v>
      </c>
      <c r="Q131">
        <v>5206</v>
      </c>
      <c r="R131" t="str">
        <v>Onbekend</v>
      </c>
      <c r="S131" t="str">
        <v>A+++</v>
      </c>
      <c r="T131">
        <v>4</v>
      </c>
      <c r="U131">
        <v>3</v>
      </c>
      <c r="V131" t="str">
        <v>Appartement</v>
      </c>
      <c r="W131" t="str">
        <v>Appartement</v>
      </c>
      <c r="X131" t="str">
        <v>Appartement 75-100 m²</v>
      </c>
      <c r="Y131" t="str">
        <v>Ja</v>
      </c>
      <c r="Z131" t="str">
        <v>garage</v>
      </c>
      <c r="AA131" t="str">
        <v>2026</v>
      </c>
      <c r="AB131" t="str">
        <v>Nee</v>
      </c>
      <c r="AC131" t="str">
        <v>NEE</v>
      </c>
      <c r="AD131" t="str">
        <v>JA</v>
      </c>
    </row>
    <row r="132">
      <c r="A132" t="str">
        <v>44423632</v>
      </c>
      <c r="B132" t="str">
        <v>https://www.funda.nl/detail/koop/hoeven/appartement-appartement-type-b-bouwnr-a14/44423632/</v>
      </c>
      <c r="C132" t="str">
        <v>Bosvenne Hoeven | Fase 1 | de verkoop is gestart!</v>
      </c>
      <c r="D132" t="str">
        <v>Appartement type B</v>
      </c>
      <c r="E132" t="str">
        <v>- A14</v>
      </c>
      <c r="F132" t="str">
        <v>4741 SK</v>
      </c>
      <c r="G132" t="str">
        <v>Hoeven</v>
      </c>
      <c r="H132" t="str">
        <v>Halderberge</v>
      </c>
      <c r="I132" t="str">
        <v>Noord-Brabant</v>
      </c>
      <c r="J132" t="str">
        <v>Zuid-Nederland</v>
      </c>
      <c r="K132" t="str">
        <v>Te koop</v>
      </c>
      <c r="L132" t="str">
        <v>Onbekend</v>
      </c>
      <c r="M132" t="str">
        <v>Onbekend</v>
      </c>
      <c r="N132">
        <v>555000</v>
      </c>
      <c r="O132" t="str">
        <v>v.o.n.</v>
      </c>
      <c r="P132">
        <v>110</v>
      </c>
      <c r="Q132">
        <v>5045</v>
      </c>
      <c r="R132" t="str">
        <v>Onbekend</v>
      </c>
      <c r="S132" t="str">
        <v>A+++</v>
      </c>
      <c r="T132">
        <v>4</v>
      </c>
      <c r="U132">
        <v>3</v>
      </c>
      <c r="V132" t="str">
        <v>Appartement</v>
      </c>
      <c r="W132" t="str">
        <v>Appartement</v>
      </c>
      <c r="X132" t="str">
        <v>Appartement &gt;100 m²</v>
      </c>
      <c r="Y132" t="str">
        <v>Ja</v>
      </c>
      <c r="Z132" t="str">
        <v>garage</v>
      </c>
      <c r="AA132" t="str">
        <v>2026</v>
      </c>
      <c r="AB132" t="str">
        <v>Nee</v>
      </c>
      <c r="AC132" t="str">
        <v>NEE</v>
      </c>
      <c r="AD132" t="str">
        <v>JA</v>
      </c>
    </row>
    <row r="133">
      <c r="A133" t="str">
        <v>44423630</v>
      </c>
      <c r="B133" t="str">
        <v>https://www.funda.nl/detail/koop/hoeven/appartement-appartement-type-d-bouwnr-a18/44423630/</v>
      </c>
      <c r="C133" t="str">
        <v>Bosvenne Hoeven | Fase 1 | de verkoop is gestart!</v>
      </c>
      <c r="D133" t="str">
        <v>Appartement type D</v>
      </c>
      <c r="E133" t="str">
        <v>- A18</v>
      </c>
      <c r="F133" t="str">
        <v>4741 SK</v>
      </c>
      <c r="G133" t="str">
        <v>Hoeven</v>
      </c>
      <c r="H133" t="str">
        <v>Halderberge</v>
      </c>
      <c r="I133" t="str">
        <v>Noord-Brabant</v>
      </c>
      <c r="J133" t="str">
        <v>Zuid-Nederland</v>
      </c>
      <c r="K133" t="str">
        <v>Te koop</v>
      </c>
      <c r="L133" t="str">
        <v>Onbekend</v>
      </c>
      <c r="M133" t="str">
        <v>Onbekend</v>
      </c>
      <c r="N133">
        <v>495000</v>
      </c>
      <c r="O133" t="str">
        <v>v.o.n.</v>
      </c>
      <c r="P133">
        <v>99</v>
      </c>
      <c r="Q133">
        <v>5000</v>
      </c>
      <c r="R133" t="str">
        <v>Onbekend</v>
      </c>
      <c r="S133" t="str">
        <v>A+++</v>
      </c>
      <c r="T133">
        <v>4</v>
      </c>
      <c r="U133">
        <v>3</v>
      </c>
      <c r="V133" t="str">
        <v>Appartement</v>
      </c>
      <c r="W133" t="str">
        <v>Appartement</v>
      </c>
      <c r="X133" t="str">
        <v>Appartement 75-100 m²</v>
      </c>
      <c r="Y133" t="str">
        <v>Ja</v>
      </c>
      <c r="Z133" t="str">
        <v>garage</v>
      </c>
      <c r="AA133" t="str">
        <v>2026</v>
      </c>
      <c r="AB133" t="str">
        <v>Nee</v>
      </c>
      <c r="AC133" t="str">
        <v>NEE</v>
      </c>
      <c r="AD133" t="str">
        <v>JA</v>
      </c>
    </row>
    <row r="134">
      <c r="A134" t="str">
        <v>44423639</v>
      </c>
      <c r="B134" t="str">
        <v>https://www.funda.nl/detail/koop/hoeven/appartement-appartement-type-d-bouwnr-a11/44423639/</v>
      </c>
      <c r="C134" t="str">
        <v>Bosvenne Hoeven | Fase 1 | de verkoop is gestart!</v>
      </c>
      <c r="D134" t="str">
        <v>Appartement type D</v>
      </c>
      <c r="E134" t="str">
        <v>- A11</v>
      </c>
      <c r="F134" t="str">
        <v>4741 SK</v>
      </c>
      <c r="G134" t="str">
        <v>Hoeven</v>
      </c>
      <c r="H134" t="str">
        <v>Halderberge</v>
      </c>
      <c r="I134" t="str">
        <v>Noord-Brabant</v>
      </c>
      <c r="J134" t="str">
        <v>Zuid-Nederland</v>
      </c>
      <c r="K134" t="str">
        <v>Te koop</v>
      </c>
      <c r="L134" t="str">
        <v>Onbekend</v>
      </c>
      <c r="M134" t="str">
        <v>Onbekend</v>
      </c>
      <c r="N134">
        <v>490000</v>
      </c>
      <c r="O134" t="str">
        <v>v.o.n.</v>
      </c>
      <c r="P134">
        <v>99</v>
      </c>
      <c r="Q134">
        <v>4949</v>
      </c>
      <c r="R134" t="str">
        <v>Onbekend</v>
      </c>
      <c r="S134" t="str">
        <v>A+++</v>
      </c>
      <c r="T134">
        <v>4</v>
      </c>
      <c r="U134">
        <v>3</v>
      </c>
      <c r="V134" t="str">
        <v>Appartement</v>
      </c>
      <c r="W134" t="str">
        <v>Appartement</v>
      </c>
      <c r="X134" t="str">
        <v>Appartement 75-100 m²</v>
      </c>
      <c r="Y134" t="str">
        <v>Ja</v>
      </c>
      <c r="Z134" t="str">
        <v>garage</v>
      </c>
      <c r="AA134" t="str">
        <v>2026</v>
      </c>
      <c r="AB134" t="str">
        <v>Nee</v>
      </c>
      <c r="AC134" t="str">
        <v>NEE</v>
      </c>
      <c r="AD134" t="str">
        <v>JA</v>
      </c>
    </row>
    <row r="135">
      <c r="A135" t="str">
        <v>44423638</v>
      </c>
      <c r="B135" t="str">
        <v>https://www.funda.nl/detail/koop/hoeven/appartement-appartement-type-b-bouwnr-a7/44423638/</v>
      </c>
      <c r="C135" t="str">
        <v>Bosvenne Hoeven | Fase 1 | de verkoop is gestart!</v>
      </c>
      <c r="D135" t="str">
        <v>Appartement type B</v>
      </c>
      <c r="E135" t="str">
        <v>- A7</v>
      </c>
      <c r="F135" t="str">
        <v>4741 SK</v>
      </c>
      <c r="G135" t="str">
        <v>Hoeven</v>
      </c>
      <c r="H135" t="str">
        <v>Halderberge</v>
      </c>
      <c r="I135" t="str">
        <v>Noord-Brabant</v>
      </c>
      <c r="J135" t="str">
        <v>Zuid-Nederland</v>
      </c>
      <c r="K135" t="str">
        <v>Te koop</v>
      </c>
      <c r="L135" t="str">
        <v>2026-07-09</v>
      </c>
      <c r="M135">
        <v>4</v>
      </c>
      <c r="N135">
        <v>555000</v>
      </c>
      <c r="O135" t="str">
        <v>v.o.n.</v>
      </c>
      <c r="P135">
        <v>110</v>
      </c>
      <c r="Q135">
        <v>5045</v>
      </c>
      <c r="R135" t="str">
        <v>Onbekend</v>
      </c>
      <c r="S135" t="str">
        <v>A+++</v>
      </c>
      <c r="T135">
        <v>4</v>
      </c>
      <c r="U135">
        <v>3</v>
      </c>
      <c r="V135" t="str">
        <v>Appartement</v>
      </c>
      <c r="W135" t="str">
        <v>Appartement</v>
      </c>
      <c r="X135" t="str">
        <v>Appartement &gt;100 m²</v>
      </c>
      <c r="Y135" t="str">
        <v>Ja</v>
      </c>
      <c r="Z135" t="str">
        <v>garage</v>
      </c>
      <c r="AA135" t="str">
        <v>2026</v>
      </c>
      <c r="AB135" t="str">
        <v>Nee</v>
      </c>
      <c r="AC135" t="str">
        <v>NEE</v>
      </c>
      <c r="AD135" t="str">
        <v>JA</v>
      </c>
    </row>
    <row r="136">
      <c r="A136" t="str">
        <v>44423636</v>
      </c>
      <c r="B136" t="str">
        <v>https://www.funda.nl/detail/koop/hoeven/appartement-appartement-type-c-bouwnr-a12/44423636/</v>
      </c>
      <c r="C136" t="str">
        <v>Bosvenne Hoeven | Fase 1 | de verkoop is gestart!</v>
      </c>
      <c r="D136" t="str">
        <v>Appartement type C</v>
      </c>
      <c r="E136" t="str">
        <v>- A12</v>
      </c>
      <c r="F136" t="str">
        <v>4741 SK</v>
      </c>
      <c r="G136" t="str">
        <v>Hoeven</v>
      </c>
      <c r="H136" t="str">
        <v>Halderberge</v>
      </c>
      <c r="I136" t="str">
        <v>Noord-Brabant</v>
      </c>
      <c r="J136" t="str">
        <v>Zuid-Nederland</v>
      </c>
      <c r="K136" t="str">
        <v>Te koop</v>
      </c>
      <c r="L136" t="str">
        <v>Onbekend</v>
      </c>
      <c r="M136" t="str">
        <v>Onbekend</v>
      </c>
      <c r="N136">
        <v>505000</v>
      </c>
      <c r="O136" t="str">
        <v>v.o.n.</v>
      </c>
      <c r="P136">
        <v>97</v>
      </c>
      <c r="Q136">
        <v>5206</v>
      </c>
      <c r="R136" t="str">
        <v>Onbekend</v>
      </c>
      <c r="S136" t="str">
        <v>A+++</v>
      </c>
      <c r="T136">
        <v>4</v>
      </c>
      <c r="U136">
        <v>3</v>
      </c>
      <c r="V136" t="str">
        <v>Appartement</v>
      </c>
      <c r="W136" t="str">
        <v>Appartement</v>
      </c>
      <c r="X136" t="str">
        <v>Appartement 75-100 m²</v>
      </c>
      <c r="Y136" t="str">
        <v>Ja</v>
      </c>
      <c r="Z136" t="str">
        <v>garage</v>
      </c>
      <c r="AA136" t="str">
        <v>2026</v>
      </c>
      <c r="AB136" t="str">
        <v>Nee</v>
      </c>
      <c r="AC136" t="str">
        <v>NEE</v>
      </c>
      <c r="AD136" t="str">
        <v>JA</v>
      </c>
    </row>
    <row r="137">
      <c r="A137" t="str">
        <v>44423635</v>
      </c>
      <c r="B137" t="str">
        <v>https://www.funda.nl/detail/koop/hoeven/appartement-appartement-type-b-bouwnr-a20/44423635/</v>
      </c>
      <c r="C137" t="str">
        <v>Bosvenne Hoeven | Fase 1 | de verkoop is gestart!</v>
      </c>
      <c r="D137" t="str">
        <v>Appartement type B</v>
      </c>
      <c r="E137" t="str">
        <v>- A20</v>
      </c>
      <c r="F137" t="str">
        <v>4741 SK</v>
      </c>
      <c r="G137" t="str">
        <v>Hoeven</v>
      </c>
      <c r="H137" t="str">
        <v>Halderberge</v>
      </c>
      <c r="I137" t="str">
        <v>Noord-Brabant</v>
      </c>
      <c r="J137" t="str">
        <v>Zuid-Nederland</v>
      </c>
      <c r="K137" t="str">
        <v>Te koop</v>
      </c>
      <c r="L137" t="str">
        <v>Onbekend</v>
      </c>
      <c r="M137" t="str">
        <v>Onbekend</v>
      </c>
      <c r="N137">
        <v>575000</v>
      </c>
      <c r="O137" t="str">
        <v>v.o.n.</v>
      </c>
      <c r="P137">
        <v>110</v>
      </c>
      <c r="Q137">
        <v>5227</v>
      </c>
      <c r="R137" t="str">
        <v>Onbekend</v>
      </c>
      <c r="S137" t="str">
        <v>A+++</v>
      </c>
      <c r="T137">
        <v>4</v>
      </c>
      <c r="U137">
        <v>3</v>
      </c>
      <c r="V137" t="str">
        <v>Appartement</v>
      </c>
      <c r="W137" t="str">
        <v>Appartement</v>
      </c>
      <c r="X137" t="str">
        <v>Appartement &gt;100 m²</v>
      </c>
      <c r="Y137" t="str">
        <v>Ja</v>
      </c>
      <c r="Z137" t="str">
        <v>garage</v>
      </c>
      <c r="AA137" t="str">
        <v>2026</v>
      </c>
      <c r="AB137" t="str">
        <v>Nee</v>
      </c>
      <c r="AC137" t="str">
        <v>NEE</v>
      </c>
      <c r="AD137" t="str">
        <v>JA</v>
      </c>
    </row>
    <row r="138">
      <c r="A138" t="str">
        <v>44423634</v>
      </c>
      <c r="B138" t="str">
        <v>https://www.funda.nl/detail/koop/hoeven/appartement-appartement-type-c-bouwnr-a1/44423634/</v>
      </c>
      <c r="C138" t="str">
        <v>Bosvenne Hoeven | Fase 1 | de verkoop is gestart!</v>
      </c>
      <c r="D138" t="str">
        <v>Appartement type C</v>
      </c>
      <c r="E138" t="str">
        <v>- A1</v>
      </c>
      <c r="F138" t="str">
        <v>4741 SK</v>
      </c>
      <c r="G138" t="str">
        <v>Hoeven</v>
      </c>
      <c r="H138" t="str">
        <v>Halderberge</v>
      </c>
      <c r="I138" t="str">
        <v>Noord-Brabant</v>
      </c>
      <c r="J138" t="str">
        <v>Zuid-Nederland</v>
      </c>
      <c r="K138" t="str">
        <v>Te koop</v>
      </c>
      <c r="L138" t="str">
        <v>Onbekend</v>
      </c>
      <c r="M138" t="str">
        <v>Onbekend</v>
      </c>
      <c r="N138">
        <v>485000</v>
      </c>
      <c r="O138" t="str">
        <v>v.o.n.</v>
      </c>
      <c r="P138">
        <v>99</v>
      </c>
      <c r="Q138">
        <v>4899</v>
      </c>
      <c r="R138" t="str">
        <v>Onbekend</v>
      </c>
      <c r="S138" t="str">
        <v>A+++</v>
      </c>
      <c r="T138">
        <v>4</v>
      </c>
      <c r="U138">
        <v>3</v>
      </c>
      <c r="V138" t="str">
        <v>Appartement</v>
      </c>
      <c r="W138" t="str">
        <v>Appartement</v>
      </c>
      <c r="X138" t="str">
        <v>Appartement 75-100 m²</v>
      </c>
      <c r="Y138" t="str">
        <v>Ja</v>
      </c>
      <c r="Z138" t="str">
        <v>garage</v>
      </c>
      <c r="AA138" t="str">
        <v>2026</v>
      </c>
      <c r="AB138" t="str">
        <v>Nee</v>
      </c>
      <c r="AC138" t="str">
        <v>NEE</v>
      </c>
      <c r="AD138" t="str">
        <v>JA</v>
      </c>
    </row>
    <row r="139">
      <c r="A139" t="str">
        <v>44423633</v>
      </c>
      <c r="B139" t="str">
        <v>https://www.funda.nl/detail/koop/hoeven/appartement-appartement-type-b-bouwnr-a13/44423633/</v>
      </c>
      <c r="C139" t="str">
        <v>Bosvenne Hoeven | Fase 1 | de verkoop is gestart!</v>
      </c>
      <c r="D139" t="str">
        <v>Appartement type B</v>
      </c>
      <c r="E139" t="str">
        <v>- A13</v>
      </c>
      <c r="F139" t="str">
        <v>4741 SK</v>
      </c>
      <c r="G139" t="str">
        <v>Hoeven</v>
      </c>
      <c r="H139" t="str">
        <v>Halderberge</v>
      </c>
      <c r="I139" t="str">
        <v>Noord-Brabant</v>
      </c>
      <c r="J139" t="str">
        <v>Zuid-Nederland</v>
      </c>
      <c r="K139" t="str">
        <v>Te koop</v>
      </c>
      <c r="L139" t="str">
        <v>Onbekend</v>
      </c>
      <c r="M139" t="str">
        <v>Onbekend</v>
      </c>
      <c r="N139">
        <v>560000</v>
      </c>
      <c r="O139" t="str">
        <v>v.o.n.</v>
      </c>
      <c r="P139">
        <v>110</v>
      </c>
      <c r="Q139">
        <v>5091</v>
      </c>
      <c r="R139" t="str">
        <v>Onbekend</v>
      </c>
      <c r="S139" t="str">
        <v>A+++</v>
      </c>
      <c r="T139">
        <v>4</v>
      </c>
      <c r="U139">
        <v>3</v>
      </c>
      <c r="V139" t="str">
        <v>Appartement</v>
      </c>
      <c r="W139" t="str">
        <v>Appartement</v>
      </c>
      <c r="X139" t="str">
        <v>Appartement &gt;100 m²</v>
      </c>
      <c r="Y139" t="str">
        <v>Ja</v>
      </c>
      <c r="Z139" t="str">
        <v>garage</v>
      </c>
      <c r="AA139" t="str">
        <v>2026</v>
      </c>
      <c r="AB139" t="str">
        <v>Nee</v>
      </c>
      <c r="AC139" t="str">
        <v>NEE</v>
      </c>
      <c r="AD139" t="str">
        <v>JA</v>
      </c>
    </row>
    <row r="140">
      <c r="A140" t="str">
        <v>44423622</v>
      </c>
      <c r="B140" t="str">
        <v>https://www.funda.nl/detail/koop/hoeven/appartement-appartement-type-b-bouwnr-a6/44423622/</v>
      </c>
      <c r="C140" t="str">
        <v>Bosvenne Hoeven | Fase 1 | de verkoop is gestart!</v>
      </c>
      <c r="D140" t="str">
        <v>Appartement type B</v>
      </c>
      <c r="E140" t="str">
        <v>- A6</v>
      </c>
      <c r="F140" t="str">
        <v>4741 SK</v>
      </c>
      <c r="G140" t="str">
        <v>Hoeven</v>
      </c>
      <c r="H140" t="str">
        <v>Halderberge</v>
      </c>
      <c r="I140" t="str">
        <v>Noord-Brabant</v>
      </c>
      <c r="J140" t="str">
        <v>Zuid-Nederland</v>
      </c>
      <c r="K140" t="str">
        <v>Te koop</v>
      </c>
      <c r="L140" t="str">
        <v>Onbekend</v>
      </c>
      <c r="M140" t="str">
        <v>Onbekend</v>
      </c>
      <c r="N140">
        <v>565000</v>
      </c>
      <c r="O140" t="str">
        <v>v.o.n.</v>
      </c>
      <c r="P140">
        <v>110</v>
      </c>
      <c r="Q140">
        <v>5136</v>
      </c>
      <c r="R140" t="str">
        <v>Onbekend</v>
      </c>
      <c r="S140" t="str">
        <v>A+++</v>
      </c>
      <c r="T140">
        <v>4</v>
      </c>
      <c r="U140">
        <v>3</v>
      </c>
      <c r="V140" t="str">
        <v>Appartement</v>
      </c>
      <c r="W140" t="str">
        <v>Appartement</v>
      </c>
      <c r="X140" t="str">
        <v>Appartement &gt;100 m²</v>
      </c>
      <c r="Y140" t="str">
        <v>Ja</v>
      </c>
      <c r="Z140" t="str">
        <v>garage</v>
      </c>
      <c r="AA140" t="str">
        <v>2026</v>
      </c>
      <c r="AB140" t="str">
        <v>Nee</v>
      </c>
      <c r="AC140" t="str">
        <v>NEE</v>
      </c>
      <c r="AD140" t="str">
        <v>JA</v>
      </c>
    </row>
    <row r="141">
      <c r="A141" t="str">
        <v>44423621</v>
      </c>
      <c r="B141" t="str">
        <v>https://www.funda.nl/detail/koop/hoeven/appartement-appartement-type-c-bouwnr-a8/44423621/</v>
      </c>
      <c r="C141" t="str">
        <v>Bosvenne Hoeven | Fase 1 | de verkoop is gestart!</v>
      </c>
      <c r="D141" t="str">
        <v>Appartement type C</v>
      </c>
      <c r="E141" t="str">
        <v>- A8</v>
      </c>
      <c r="F141" t="str">
        <v>4741 SK</v>
      </c>
      <c r="G141" t="str">
        <v>Hoeven</v>
      </c>
      <c r="H141" t="str">
        <v>Halderberge</v>
      </c>
      <c r="I141" t="str">
        <v>Noord-Brabant</v>
      </c>
      <c r="J141" t="str">
        <v>Zuid-Nederland</v>
      </c>
      <c r="K141" t="str">
        <v>Te koop</v>
      </c>
      <c r="L141" t="str">
        <v>Onbekend</v>
      </c>
      <c r="M141" t="str">
        <v>Onbekend</v>
      </c>
      <c r="N141">
        <v>490000</v>
      </c>
      <c r="O141" t="str">
        <v>v.o.n.</v>
      </c>
      <c r="P141">
        <v>99</v>
      </c>
      <c r="Q141">
        <v>4949</v>
      </c>
      <c r="R141" t="str">
        <v>Onbekend</v>
      </c>
      <c r="S141" t="str">
        <v>A+++</v>
      </c>
      <c r="T141">
        <v>4</v>
      </c>
      <c r="U141">
        <v>3</v>
      </c>
      <c r="V141" t="str">
        <v>Appartement</v>
      </c>
      <c r="W141" t="str">
        <v>Appartement</v>
      </c>
      <c r="X141" t="str">
        <v>Appartement 75-100 m²</v>
      </c>
      <c r="Y141" t="str">
        <v>Ja</v>
      </c>
      <c r="Z141" t="str">
        <v>garage</v>
      </c>
      <c r="AA141" t="str">
        <v>2026</v>
      </c>
      <c r="AB141" t="str">
        <v>Nee</v>
      </c>
      <c r="AC141" t="str">
        <v>NEE</v>
      </c>
      <c r="AD141" t="str">
        <v>JA</v>
      </c>
    </row>
    <row r="142">
      <c r="A142" t="str">
        <v>44423620</v>
      </c>
      <c r="B142" t="str">
        <v>https://www.funda.nl/detail/koop/hoeven/huis-eengezinswoning-type-2-bouwnr-51/44423620/</v>
      </c>
      <c r="C142" t="str">
        <v>Bosvenne Hoeven | Fase 1 | de verkoop is gestart!</v>
      </c>
      <c r="D142" t="str">
        <v>Eengezinswoning Type 2</v>
      </c>
      <c r="E142" t="str">
        <v>- 51</v>
      </c>
      <c r="F142" t="str">
        <v>4741 SK</v>
      </c>
      <c r="G142" t="str">
        <v>Hoeven</v>
      </c>
      <c r="H142" t="str">
        <v>Halderberge</v>
      </c>
      <c r="I142" t="str">
        <v>Noord-Brabant</v>
      </c>
      <c r="J142" t="str">
        <v>Zuid-Nederland</v>
      </c>
      <c r="K142" t="str">
        <v>Te koop</v>
      </c>
      <c r="L142" t="str">
        <v>Onbekend</v>
      </c>
      <c r="M142" t="str">
        <v>Onbekend</v>
      </c>
      <c r="N142">
        <v>429000</v>
      </c>
      <c r="O142" t="str">
        <v>v.o.n.</v>
      </c>
      <c r="P142">
        <v>112</v>
      </c>
      <c r="Q142">
        <v>3830</v>
      </c>
      <c r="R142">
        <v>112</v>
      </c>
      <c r="S142" t="str">
        <v>A+++</v>
      </c>
      <c r="T142">
        <v>4</v>
      </c>
      <c r="U142">
        <v>3</v>
      </c>
      <c r="V142" t="str">
        <v>Grondgebonden</v>
      </c>
      <c r="W142" t="str">
        <v>Tussenwoning</v>
      </c>
      <c r="X142" t="str">
        <v>N.v.t.</v>
      </c>
      <c r="Y142" t="str">
        <v>Ja</v>
      </c>
      <c r="Z142" t="str">
        <v>openbare parkeerplaats</v>
      </c>
      <c r="AA142" t="str">
        <v>2026</v>
      </c>
      <c r="AB142" t="str">
        <v>Nee</v>
      </c>
      <c r="AC142" t="str">
        <v>NEE</v>
      </c>
      <c r="AD142" t="str">
        <v>JA</v>
      </c>
    </row>
    <row r="143">
      <c r="A143" t="str">
        <v>44423628</v>
      </c>
      <c r="B143" t="str">
        <v>https://www.funda.nl/detail/koop/hoeven/huis-eengezinswoning-type-2-bouwnr-55/44423628/</v>
      </c>
      <c r="C143" t="str">
        <v>Bosvenne Hoeven | Fase 1 | de verkoop is gestart!</v>
      </c>
      <c r="D143" t="str">
        <v>Eengezinswoning Type 2</v>
      </c>
      <c r="E143" t="str">
        <v>- 55</v>
      </c>
      <c r="F143" t="str">
        <v>4741 SK</v>
      </c>
      <c r="G143" t="str">
        <v>Hoeven</v>
      </c>
      <c r="H143" t="str">
        <v>Halderberge</v>
      </c>
      <c r="I143" t="str">
        <v>Noord-Brabant</v>
      </c>
      <c r="J143" t="str">
        <v>Zuid-Nederland</v>
      </c>
      <c r="K143" t="str">
        <v>Te koop</v>
      </c>
      <c r="L143" t="str">
        <v>Onbekend</v>
      </c>
      <c r="M143" t="str">
        <v>Onbekend</v>
      </c>
      <c r="N143">
        <v>420000</v>
      </c>
      <c r="O143" t="str">
        <v>v.o.n.</v>
      </c>
      <c r="P143">
        <v>112</v>
      </c>
      <c r="Q143">
        <v>3750</v>
      </c>
      <c r="R143">
        <v>125</v>
      </c>
      <c r="S143" t="str">
        <v>A+++</v>
      </c>
      <c r="T143">
        <v>4</v>
      </c>
      <c r="U143">
        <v>3</v>
      </c>
      <c r="V143" t="str">
        <v>Grondgebonden</v>
      </c>
      <c r="W143" t="str">
        <v>Tussenwoning</v>
      </c>
      <c r="X143" t="str">
        <v>N.v.t.</v>
      </c>
      <c r="Y143" t="str">
        <v>Ja</v>
      </c>
      <c r="Z143" t="str">
        <v>openbare parkeerplaats</v>
      </c>
      <c r="AA143" t="str">
        <v>2026</v>
      </c>
      <c r="AB143" t="str">
        <v>Nee</v>
      </c>
      <c r="AC143" t="str">
        <v>NEE</v>
      </c>
      <c r="AD143" t="str">
        <v>JA</v>
      </c>
    </row>
    <row r="144">
      <c r="A144" t="str">
        <v>44423627</v>
      </c>
      <c r="B144" t="str">
        <v>https://www.funda.nl/detail/koop/hoeven/huis-hoekwoning-type-1-bouwnr-66/44423627/</v>
      </c>
      <c r="C144" t="str">
        <v>Bosvenne Hoeven | Fase 1 | de verkoop is gestart!</v>
      </c>
      <c r="D144" t="str">
        <v>Hoekwoning Type 1</v>
      </c>
      <c r="E144" t="str">
        <v>- 66</v>
      </c>
      <c r="F144" t="str">
        <v>4741 SK</v>
      </c>
      <c r="G144" t="str">
        <v>Hoeven</v>
      </c>
      <c r="H144" t="str">
        <v>Halderberge</v>
      </c>
      <c r="I144" t="str">
        <v>Noord-Brabant</v>
      </c>
      <c r="J144" t="str">
        <v>Zuid-Nederland</v>
      </c>
      <c r="K144" t="str">
        <v>Te koop</v>
      </c>
      <c r="L144" t="str">
        <v>Onbekend</v>
      </c>
      <c r="M144" t="str">
        <v>Onbekend</v>
      </c>
      <c r="N144">
        <v>497500</v>
      </c>
      <c r="O144" t="str">
        <v>v.o.n.</v>
      </c>
      <c r="P144">
        <v>129</v>
      </c>
      <c r="Q144">
        <v>3857</v>
      </c>
      <c r="R144">
        <v>170</v>
      </c>
      <c r="S144" t="str">
        <v>A+++</v>
      </c>
      <c r="T144">
        <v>4</v>
      </c>
      <c r="U144">
        <v>3</v>
      </c>
      <c r="V144" t="str">
        <v>Grondgebonden</v>
      </c>
      <c r="W144" t="str">
        <v>Hoekwoning</v>
      </c>
      <c r="X144" t="str">
        <v>N.v.t.</v>
      </c>
      <c r="Y144" t="str">
        <v>Ja</v>
      </c>
      <c r="Z144" t="str">
        <v>openbare parkeerplaats</v>
      </c>
      <c r="AA144" t="str">
        <v>2026</v>
      </c>
      <c r="AB144" t="str">
        <v>Nee</v>
      </c>
      <c r="AC144" t="str">
        <v>NEE</v>
      </c>
      <c r="AD144" t="str">
        <v>JA</v>
      </c>
    </row>
    <row r="145">
      <c r="A145" t="str">
        <v>44423625</v>
      </c>
      <c r="B145" t="str">
        <v>https://www.funda.nl/detail/koop/hoeven/huis-veranda-eengezinswoning-bouwnr-4/44423625/</v>
      </c>
      <c r="C145" t="str">
        <v>Bosvenne Hoeven | Fase 1 | de verkoop is gestart!</v>
      </c>
      <c r="D145" t="str">
        <v>Veranda eengezinswoning</v>
      </c>
      <c r="E145" t="str">
        <v>- 4</v>
      </c>
      <c r="F145" t="str">
        <v>4741 SK</v>
      </c>
      <c r="G145" t="str">
        <v>Hoeven</v>
      </c>
      <c r="H145" t="str">
        <v>Halderberge</v>
      </c>
      <c r="I145" t="str">
        <v>Noord-Brabant</v>
      </c>
      <c r="J145" t="str">
        <v>Zuid-Nederland</v>
      </c>
      <c r="K145" t="str">
        <v>Te koop</v>
      </c>
      <c r="L145" t="str">
        <v>Onbekend</v>
      </c>
      <c r="M145" t="str">
        <v>Onbekend</v>
      </c>
      <c r="N145">
        <v>435000</v>
      </c>
      <c r="O145" t="str">
        <v>v.o.n.</v>
      </c>
      <c r="P145">
        <v>116</v>
      </c>
      <c r="Q145">
        <v>3750</v>
      </c>
      <c r="R145">
        <v>102</v>
      </c>
      <c r="S145" t="str">
        <v>A+++</v>
      </c>
      <c r="T145">
        <v>4</v>
      </c>
      <c r="U145">
        <v>4</v>
      </c>
      <c r="V145" t="str">
        <v>Grondgebonden</v>
      </c>
      <c r="W145" t="str">
        <v>Tussenwoning</v>
      </c>
      <c r="X145" t="str">
        <v>N.v.t.</v>
      </c>
      <c r="Y145" t="str">
        <v>Ja</v>
      </c>
      <c r="Z145" t="str">
        <v>openbare parkeerplaats</v>
      </c>
      <c r="AA145" t="str">
        <v>2026</v>
      </c>
      <c r="AB145" t="str">
        <v>Nee</v>
      </c>
      <c r="AC145" t="str">
        <v>NEE</v>
      </c>
      <c r="AD145" t="str">
        <v>JA</v>
      </c>
    </row>
    <row r="146">
      <c r="A146" t="str">
        <v>44423624</v>
      </c>
      <c r="B146" t="str">
        <v>https://www.funda.nl/detail/koop/hoeven/huis-hoekwoning-type-2-bouwnr-52/44423624/</v>
      </c>
      <c r="C146" t="str">
        <v>Bosvenne Hoeven | Fase 1 | de verkoop is gestart!</v>
      </c>
      <c r="D146" t="str">
        <v>Hoekwoning Type 2</v>
      </c>
      <c r="E146" t="str">
        <v>- 52</v>
      </c>
      <c r="F146" t="str">
        <v>4741 SK</v>
      </c>
      <c r="G146" t="str">
        <v>Hoeven</v>
      </c>
      <c r="H146" t="str">
        <v>Halderberge</v>
      </c>
      <c r="I146" t="str">
        <v>Noord-Brabant</v>
      </c>
      <c r="J146" t="str">
        <v>Zuid-Nederland</v>
      </c>
      <c r="K146" t="str">
        <v>Te koop</v>
      </c>
      <c r="L146" t="str">
        <v>Onbekend</v>
      </c>
      <c r="M146" t="str">
        <v>Onbekend</v>
      </c>
      <c r="N146">
        <v>475000</v>
      </c>
      <c r="O146" t="str">
        <v>v.o.n.</v>
      </c>
      <c r="P146">
        <v>116</v>
      </c>
      <c r="Q146">
        <v>4095</v>
      </c>
      <c r="R146">
        <v>188</v>
      </c>
      <c r="S146" t="str">
        <v>A+++</v>
      </c>
      <c r="T146">
        <v>4</v>
      </c>
      <c r="U146">
        <v>3</v>
      </c>
      <c r="V146" t="str">
        <v>Grondgebonden</v>
      </c>
      <c r="W146" t="str">
        <v>Hoekwoning</v>
      </c>
      <c r="X146" t="str">
        <v>N.v.t.</v>
      </c>
      <c r="Y146" t="str">
        <v>Ja</v>
      </c>
      <c r="Z146" t="str">
        <v>openbare parkeerplaats</v>
      </c>
      <c r="AA146" t="str">
        <v>2026</v>
      </c>
      <c r="AB146" t="str">
        <v>Nee</v>
      </c>
      <c r="AC146" t="str">
        <v>NEE</v>
      </c>
      <c r="AD146" t="str">
        <v>JA</v>
      </c>
    </row>
    <row r="147">
      <c r="A147" t="str">
        <v>44423623</v>
      </c>
      <c r="B147" t="str">
        <v>https://www.funda.nl/detail/koop/hoeven/huis-hoekwoning-type-1-bouwnr-40/44423623/</v>
      </c>
      <c r="C147" t="str">
        <v>Bosvenne Hoeven | Fase 1 | de verkoop is gestart!</v>
      </c>
      <c r="D147" t="str">
        <v>Hoekwoning Type 1</v>
      </c>
      <c r="E147" t="str">
        <v>- 40</v>
      </c>
      <c r="F147" t="str">
        <v>4741 SK</v>
      </c>
      <c r="G147" t="str">
        <v>Hoeven</v>
      </c>
      <c r="H147" t="str">
        <v>Halderberge</v>
      </c>
      <c r="I147" t="str">
        <v>Noord-Brabant</v>
      </c>
      <c r="J147" t="str">
        <v>Zuid-Nederland</v>
      </c>
      <c r="K147" t="str">
        <v>Te koop</v>
      </c>
      <c r="L147" t="str">
        <v>Onbekend</v>
      </c>
      <c r="M147" t="str">
        <v>Onbekend</v>
      </c>
      <c r="N147">
        <v>535000</v>
      </c>
      <c r="O147" t="str">
        <v>v.o.n.</v>
      </c>
      <c r="P147">
        <v>129</v>
      </c>
      <c r="Q147">
        <v>4147</v>
      </c>
      <c r="R147">
        <v>216</v>
      </c>
      <c r="S147" t="str">
        <v>A+++</v>
      </c>
      <c r="T147">
        <v>4</v>
      </c>
      <c r="U147">
        <v>3</v>
      </c>
      <c r="V147" t="str">
        <v>Grondgebonden</v>
      </c>
      <c r="W147" t="str">
        <v>Hoekwoning</v>
      </c>
      <c r="X147" t="str">
        <v>N.v.t.</v>
      </c>
      <c r="Y147" t="str">
        <v>Ja</v>
      </c>
      <c r="Z147" t="str">
        <v>openbare parkeerplaats</v>
      </c>
      <c r="AA147" t="str">
        <v>2026</v>
      </c>
      <c r="AB147" t="str">
        <v>Nee</v>
      </c>
      <c r="AC147" t="str">
        <v>NEE</v>
      </c>
      <c r="AD147" t="str">
        <v>JA</v>
      </c>
    </row>
    <row r="148">
      <c r="A148" t="str">
        <v>44423611</v>
      </c>
      <c r="B148" t="str">
        <v>https://www.funda.nl/detail/koop/hoeven/huis-eengezinswoning-type-1-bouwnr-67/44423611/</v>
      </c>
      <c r="C148" t="str">
        <v>Bosvenne Hoeven | Fase 1 | de verkoop is gestart!</v>
      </c>
      <c r="D148" t="str">
        <v>Eengezinswoning Type 1</v>
      </c>
      <c r="E148" t="str">
        <v>- 67</v>
      </c>
      <c r="F148" t="str">
        <v>4741 SK</v>
      </c>
      <c r="G148" t="str">
        <v>Hoeven</v>
      </c>
      <c r="H148" t="str">
        <v>Halderberge</v>
      </c>
      <c r="I148" t="str">
        <v>Noord-Brabant</v>
      </c>
      <c r="J148" t="str">
        <v>Zuid-Nederland</v>
      </c>
      <c r="K148" t="str">
        <v>Te koop</v>
      </c>
      <c r="L148" t="str">
        <v>Onbekend</v>
      </c>
      <c r="M148" t="str">
        <v>Onbekend</v>
      </c>
      <c r="N148">
        <v>435000</v>
      </c>
      <c r="O148" t="str">
        <v>v.o.n.</v>
      </c>
      <c r="P148">
        <v>116</v>
      </c>
      <c r="Q148">
        <v>3750</v>
      </c>
      <c r="R148">
        <v>132</v>
      </c>
      <c r="S148" t="str">
        <v>A+++</v>
      </c>
      <c r="T148">
        <v>4</v>
      </c>
      <c r="U148">
        <v>3</v>
      </c>
      <c r="V148" t="str">
        <v>Grondgebonden</v>
      </c>
      <c r="W148" t="str">
        <v>Tussenwoning</v>
      </c>
      <c r="X148" t="str">
        <v>N.v.t.</v>
      </c>
      <c r="Y148" t="str">
        <v>Ja</v>
      </c>
      <c r="Z148" t="str">
        <v>openbare parkeerplaats</v>
      </c>
      <c r="AA148" t="str">
        <v>2026</v>
      </c>
      <c r="AB148" t="str">
        <v>Nee</v>
      </c>
      <c r="AC148" t="str">
        <v>NEE</v>
      </c>
      <c r="AD148" t="str">
        <v>JA</v>
      </c>
    </row>
    <row r="149">
      <c r="A149" t="str">
        <v>44423610</v>
      </c>
      <c r="B149" t="str">
        <v>https://www.funda.nl/detail/koop/hoeven/huis-veranda-hoekwoning-xl-type-1-bouwnr-1/44423610/</v>
      </c>
      <c r="C149" t="str">
        <v>Bosvenne Hoeven | Fase 1 | de verkoop is gestart!</v>
      </c>
      <c r="D149" t="str">
        <v>Veranda hoekwoning XL Type 1</v>
      </c>
      <c r="E149" t="str">
        <v>- 1</v>
      </c>
      <c r="F149" t="str">
        <v>4741 SK</v>
      </c>
      <c r="G149" t="str">
        <v>Hoeven</v>
      </c>
      <c r="H149" t="str">
        <v>Halderberge</v>
      </c>
      <c r="I149" t="str">
        <v>Noord-Brabant</v>
      </c>
      <c r="J149" t="str">
        <v>Zuid-Nederland</v>
      </c>
      <c r="K149" t="str">
        <v>Te koop</v>
      </c>
      <c r="L149" t="str">
        <v>Onbekend</v>
      </c>
      <c r="M149" t="str">
        <v>Onbekend</v>
      </c>
      <c r="N149">
        <v>529000</v>
      </c>
      <c r="O149" t="str">
        <v>v.o.n.</v>
      </c>
      <c r="P149">
        <v>143</v>
      </c>
      <c r="Q149">
        <v>3699</v>
      </c>
      <c r="R149">
        <v>191</v>
      </c>
      <c r="S149" t="str">
        <v>A+++</v>
      </c>
      <c r="T149">
        <v>4</v>
      </c>
      <c r="U149">
        <v>3</v>
      </c>
      <c r="V149" t="str">
        <v>Grondgebonden</v>
      </c>
      <c r="W149" t="str">
        <v>Hoekwoning</v>
      </c>
      <c r="X149" t="str">
        <v>N.v.t.</v>
      </c>
      <c r="Y149" t="str">
        <v>Ja</v>
      </c>
      <c r="Z149" t="str">
        <v>openbare parkeerplaats</v>
      </c>
      <c r="AA149" t="str">
        <v>2026</v>
      </c>
      <c r="AB149" t="str">
        <v>Nee</v>
      </c>
      <c r="AC149" t="str">
        <v>NEE</v>
      </c>
      <c r="AD149" t="str">
        <v>JA</v>
      </c>
    </row>
    <row r="150">
      <c r="A150" t="str">
        <v>44423619</v>
      </c>
      <c r="B150" t="str">
        <v>https://www.funda.nl/detail/koop/hoeven/huis-hoekwoning-type-3-bouwnr-59/44423619/</v>
      </c>
      <c r="C150" t="str">
        <v>Bosvenne Hoeven | Fase 1 | de verkoop is gestart!</v>
      </c>
      <c r="D150" t="str">
        <v>Hoekwoning Type 3</v>
      </c>
      <c r="E150" t="str">
        <v>- 59</v>
      </c>
      <c r="F150" t="str">
        <v>4741 SK</v>
      </c>
      <c r="G150" t="str">
        <v>Hoeven</v>
      </c>
      <c r="H150" t="str">
        <v>Halderberge</v>
      </c>
      <c r="I150" t="str">
        <v>Noord-Brabant</v>
      </c>
      <c r="J150" t="str">
        <v>Zuid-Nederland</v>
      </c>
      <c r="K150" t="str">
        <v>Te koop</v>
      </c>
      <c r="L150" t="str">
        <v>2026-07-09</v>
      </c>
      <c r="M150">
        <v>4</v>
      </c>
      <c r="N150">
        <v>442500</v>
      </c>
      <c r="O150" t="str">
        <v>v.o.n.</v>
      </c>
      <c r="P150">
        <v>112</v>
      </c>
      <c r="Q150">
        <v>3951</v>
      </c>
      <c r="R150">
        <v>160</v>
      </c>
      <c r="S150" t="str">
        <v>A+++</v>
      </c>
      <c r="T150">
        <v>4</v>
      </c>
      <c r="U150">
        <v>3</v>
      </c>
      <c r="V150" t="str">
        <v>Grondgebonden</v>
      </c>
      <c r="W150" t="str">
        <v>Hoekwoning</v>
      </c>
      <c r="X150" t="str">
        <v>N.v.t.</v>
      </c>
      <c r="Y150" t="str">
        <v>Ja</v>
      </c>
      <c r="Z150" t="str">
        <v>openbare parkeerplaats</v>
      </c>
      <c r="AA150" t="str">
        <v>2026</v>
      </c>
      <c r="AB150" t="str">
        <v>Nee</v>
      </c>
      <c r="AC150" t="str">
        <v>NEE</v>
      </c>
      <c r="AD150" t="str">
        <v>JA</v>
      </c>
    </row>
    <row r="151">
      <c r="A151" t="str">
        <v>44423617</v>
      </c>
      <c r="B151" t="str">
        <v>https://www.funda.nl/detail/koop/hoeven/huis-veranda-hoekwoning-bouwnr-5/44423617/</v>
      </c>
      <c r="C151" t="str">
        <v>Bosvenne Hoeven | Fase 1 | de verkoop is gestart!</v>
      </c>
      <c r="D151" t="str">
        <v>Veranda hoekwoning</v>
      </c>
      <c r="E151" t="str">
        <v>- 5</v>
      </c>
      <c r="F151" t="str">
        <v>4741 SK</v>
      </c>
      <c r="G151" t="str">
        <v>Hoeven</v>
      </c>
      <c r="H151" t="str">
        <v>Halderberge</v>
      </c>
      <c r="I151" t="str">
        <v>Noord-Brabant</v>
      </c>
      <c r="J151" t="str">
        <v>Zuid-Nederland</v>
      </c>
      <c r="K151" t="str">
        <v>Te koop</v>
      </c>
      <c r="L151" t="str">
        <v>Onbekend</v>
      </c>
      <c r="M151" t="str">
        <v>Onbekend</v>
      </c>
      <c r="N151">
        <v>510000</v>
      </c>
      <c r="O151" t="str">
        <v>v.o.n.</v>
      </c>
      <c r="P151">
        <v>129</v>
      </c>
      <c r="Q151">
        <v>3953</v>
      </c>
      <c r="R151">
        <v>157</v>
      </c>
      <c r="S151" t="str">
        <v>A+++</v>
      </c>
      <c r="T151">
        <v>4</v>
      </c>
      <c r="U151">
        <v>3</v>
      </c>
      <c r="V151" t="str">
        <v>Grondgebonden</v>
      </c>
      <c r="W151" t="str">
        <v>Hoekwoning</v>
      </c>
      <c r="X151" t="str">
        <v>N.v.t.</v>
      </c>
      <c r="Y151" t="str">
        <v>Ja</v>
      </c>
      <c r="Z151" t="str">
        <v>openbare parkeerplaats</v>
      </c>
      <c r="AA151" t="str">
        <v>2026</v>
      </c>
      <c r="AB151" t="str">
        <v>Nee</v>
      </c>
      <c r="AC151" t="str">
        <v>NEE</v>
      </c>
      <c r="AD151" t="str">
        <v>JA</v>
      </c>
    </row>
    <row r="152">
      <c r="A152" t="str">
        <v>44423616</v>
      </c>
      <c r="B152" t="str">
        <v>https://www.funda.nl/detail/koop/hoeven/huis-hoekwoning-type-3-bouwnr-47/44423616/</v>
      </c>
      <c r="C152" t="str">
        <v>Bosvenne Hoeven | Fase 1 | de verkoop is gestart!</v>
      </c>
      <c r="D152" t="str">
        <v>Hoekwoning Type 3</v>
      </c>
      <c r="E152" t="str">
        <v>- 47</v>
      </c>
      <c r="F152" t="str">
        <v>4741 SK</v>
      </c>
      <c r="G152" t="str">
        <v>Hoeven</v>
      </c>
      <c r="H152" t="str">
        <v>Halderberge</v>
      </c>
      <c r="I152" t="str">
        <v>Noord-Brabant</v>
      </c>
      <c r="J152" t="str">
        <v>Zuid-Nederland</v>
      </c>
      <c r="K152" t="str">
        <v>Te koop</v>
      </c>
      <c r="L152" t="str">
        <v>Onbekend</v>
      </c>
      <c r="M152" t="str">
        <v>Onbekend</v>
      </c>
      <c r="N152">
        <v>445000</v>
      </c>
      <c r="O152" t="str">
        <v>v.o.n.</v>
      </c>
      <c r="P152">
        <v>112</v>
      </c>
      <c r="Q152">
        <v>3973</v>
      </c>
      <c r="R152">
        <v>130</v>
      </c>
      <c r="S152" t="str">
        <v>A+++</v>
      </c>
      <c r="T152">
        <v>4</v>
      </c>
      <c r="U152">
        <v>3</v>
      </c>
      <c r="V152" t="str">
        <v>Grondgebonden</v>
      </c>
      <c r="W152" t="str">
        <v>Hoekwoning</v>
      </c>
      <c r="X152" t="str">
        <v>N.v.t.</v>
      </c>
      <c r="Y152" t="str">
        <v>Ja</v>
      </c>
      <c r="Z152" t="str">
        <v>openbare parkeerplaats</v>
      </c>
      <c r="AA152" t="str">
        <v>2026</v>
      </c>
      <c r="AB152" t="str">
        <v>Nee</v>
      </c>
      <c r="AC152" t="str">
        <v>NEE</v>
      </c>
      <c r="AD152" t="str">
        <v>JA</v>
      </c>
    </row>
    <row r="153">
      <c r="A153" t="str">
        <v>44423614</v>
      </c>
      <c r="B153" t="str">
        <v>https://www.funda.nl/detail/koop/hoeven/huis-hoekwoning-xl-type-2-bouwnr-25/44423614/</v>
      </c>
      <c r="C153" t="str">
        <v>Bosvenne Hoeven | Fase 1 | de verkoop is gestart!</v>
      </c>
      <c r="D153" t="str">
        <v>Hoekwoning XL Type 2</v>
      </c>
      <c r="E153" t="str">
        <v>- 25</v>
      </c>
      <c r="F153" t="str">
        <v>4741 SK</v>
      </c>
      <c r="G153" t="str">
        <v>Hoeven</v>
      </c>
      <c r="H153" t="str">
        <v>Halderberge</v>
      </c>
      <c r="I153" t="str">
        <v>Noord-Brabant</v>
      </c>
      <c r="J153" t="str">
        <v>Zuid-Nederland</v>
      </c>
      <c r="K153" t="str">
        <v>Te koop</v>
      </c>
      <c r="L153" t="str">
        <v>Onbekend</v>
      </c>
      <c r="M153" t="str">
        <v>Onbekend</v>
      </c>
      <c r="N153">
        <v>568000</v>
      </c>
      <c r="O153" t="str">
        <v>v.o.n.</v>
      </c>
      <c r="P153">
        <v>142</v>
      </c>
      <c r="Q153">
        <v>4000</v>
      </c>
      <c r="R153">
        <v>208</v>
      </c>
      <c r="S153" t="str">
        <v>A+++</v>
      </c>
      <c r="T153">
        <v>6</v>
      </c>
      <c r="U153">
        <v>4</v>
      </c>
      <c r="V153" t="str">
        <v>Grondgebonden</v>
      </c>
      <c r="W153" t="str">
        <v>Hoekwoning</v>
      </c>
      <c r="X153" t="str">
        <v>N.v.t.</v>
      </c>
      <c r="Y153" t="str">
        <v>Ja</v>
      </c>
      <c r="Z153" t="str">
        <v>openbare parkeerplaats</v>
      </c>
      <c r="AA153" t="str">
        <v>2026</v>
      </c>
      <c r="AB153" t="str">
        <v>Nee</v>
      </c>
      <c r="AC153" t="str">
        <v>NEE</v>
      </c>
      <c r="AD153" t="str">
        <v>JA</v>
      </c>
    </row>
    <row r="154">
      <c r="A154" t="str">
        <v>44423602</v>
      </c>
      <c r="B154" t="str">
        <v>https://www.funda.nl/detail/koop/hoeven/huis-loof-woning-type-2-bouwnr-29/44423602/</v>
      </c>
      <c r="C154" t="str">
        <v>Bosvenne Hoeven | Fase 1 | de verkoop is gestart!</v>
      </c>
      <c r="D154" t="str">
        <v>LOOF-woning Type 2</v>
      </c>
      <c r="E154" t="str">
        <v>- 29</v>
      </c>
      <c r="F154" t="str">
        <v>4741 SK</v>
      </c>
      <c r="G154" t="str">
        <v>Hoeven</v>
      </c>
      <c r="H154" t="str">
        <v>Halderberge</v>
      </c>
      <c r="I154" t="str">
        <v>Noord-Brabant</v>
      </c>
      <c r="J154" t="str">
        <v>Zuid-Nederland</v>
      </c>
      <c r="K154" t="str">
        <v>Te koop</v>
      </c>
      <c r="L154" t="str">
        <v>Onbekend</v>
      </c>
      <c r="M154" t="str">
        <v>Onbekend</v>
      </c>
      <c r="N154">
        <v>560000</v>
      </c>
      <c r="O154" t="str">
        <v>v.o.n.</v>
      </c>
      <c r="P154">
        <v>121</v>
      </c>
      <c r="Q154">
        <v>4628</v>
      </c>
      <c r="R154">
        <v>221</v>
      </c>
      <c r="S154" t="str">
        <v>A+++</v>
      </c>
      <c r="T154">
        <v>2</v>
      </c>
      <c r="U154">
        <v>1</v>
      </c>
      <c r="V154" t="str">
        <v>Grondgebonden</v>
      </c>
      <c r="W154" t="str">
        <v>2-onder-1-kapwoning</v>
      </c>
      <c r="X154" t="str">
        <v>N.v.t.</v>
      </c>
      <c r="Y154" t="str">
        <v>Ja</v>
      </c>
      <c r="Z154" t="str">
        <v>eigen parkeerplaats</v>
      </c>
      <c r="AA154" t="str">
        <v>2026</v>
      </c>
      <c r="AB154" t="str">
        <v>Nee</v>
      </c>
      <c r="AC154" t="str">
        <v>NEE</v>
      </c>
      <c r="AD154" t="str">
        <v>JA</v>
      </c>
    </row>
    <row r="155">
      <c r="A155" t="str">
        <v>44423601</v>
      </c>
      <c r="B155" t="str">
        <v>https://www.funda.nl/detail/koop/hoeven/huis-eengezinswoning-type-1-bouwnr-68/44423601/</v>
      </c>
      <c r="C155" t="str">
        <v>Bosvenne Hoeven | Fase 1 | de verkoop is gestart!</v>
      </c>
      <c r="D155" t="str">
        <v>Eengezinswoning Type 1</v>
      </c>
      <c r="E155" t="str">
        <v>- 68</v>
      </c>
      <c r="F155" t="str">
        <v>4741 SK</v>
      </c>
      <c r="G155" t="str">
        <v>Hoeven</v>
      </c>
      <c r="H155" t="str">
        <v>Halderberge</v>
      </c>
      <c r="I155" t="str">
        <v>Noord-Brabant</v>
      </c>
      <c r="J155" t="str">
        <v>Zuid-Nederland</v>
      </c>
      <c r="K155" t="str">
        <v>Te koop</v>
      </c>
      <c r="L155" t="str">
        <v>Onbekend</v>
      </c>
      <c r="M155" t="str">
        <v>Onbekend</v>
      </c>
      <c r="N155">
        <v>435000</v>
      </c>
      <c r="O155" t="str">
        <v>v.o.n.</v>
      </c>
      <c r="P155">
        <v>116</v>
      </c>
      <c r="Q155">
        <v>3750</v>
      </c>
      <c r="R155">
        <v>132</v>
      </c>
      <c r="S155" t="str">
        <v>A+++</v>
      </c>
      <c r="T155">
        <v>4</v>
      </c>
      <c r="U155">
        <v>3</v>
      </c>
      <c r="V155" t="str">
        <v>Grondgebonden</v>
      </c>
      <c r="W155" t="str">
        <v>Tussenwoning</v>
      </c>
      <c r="X155" t="str">
        <v>N.v.t.</v>
      </c>
      <c r="Y155" t="str">
        <v>Ja</v>
      </c>
      <c r="Z155" t="str">
        <v>openbare parkeerplaats</v>
      </c>
      <c r="AA155" t="str">
        <v>2026</v>
      </c>
      <c r="AB155" t="str">
        <v>Nee</v>
      </c>
      <c r="AC155" t="str">
        <v>NEE</v>
      </c>
      <c r="AD155" t="str">
        <v>JA</v>
      </c>
    </row>
    <row r="156">
      <c r="A156" t="str">
        <v>44423600</v>
      </c>
      <c r="B156" t="str">
        <v>https://www.funda.nl/detail/koop/hoeven/huis-hoekwoning-type-2-bouwnr-53/44423600/</v>
      </c>
      <c r="C156" t="str">
        <v>Bosvenne Hoeven | Fase 1 | de verkoop is gestart!</v>
      </c>
      <c r="D156" t="str">
        <v>Hoekwoning Type 2</v>
      </c>
      <c r="E156" t="str">
        <v>- 53</v>
      </c>
      <c r="F156" t="str">
        <v>4741 SK</v>
      </c>
      <c r="G156" t="str">
        <v>Hoeven</v>
      </c>
      <c r="H156" t="str">
        <v>Halderberge</v>
      </c>
      <c r="I156" t="str">
        <v>Noord-Brabant</v>
      </c>
      <c r="J156" t="str">
        <v>Zuid-Nederland</v>
      </c>
      <c r="K156" t="str">
        <v>Te koop</v>
      </c>
      <c r="L156" t="str">
        <v>Onbekend</v>
      </c>
      <c r="M156" t="str">
        <v>Onbekend</v>
      </c>
      <c r="N156">
        <v>460000</v>
      </c>
      <c r="O156" t="str">
        <v>v.o.n.</v>
      </c>
      <c r="P156">
        <v>116</v>
      </c>
      <c r="Q156">
        <v>3966</v>
      </c>
      <c r="R156">
        <v>181</v>
      </c>
      <c r="S156" t="str">
        <v>A+++</v>
      </c>
      <c r="T156">
        <v>4</v>
      </c>
      <c r="U156">
        <v>3</v>
      </c>
      <c r="V156" t="str">
        <v>Grondgebonden</v>
      </c>
      <c r="W156" t="str">
        <v>Hoekwoning</v>
      </c>
      <c r="X156" t="str">
        <v>N.v.t.</v>
      </c>
      <c r="Y156" t="str">
        <v>Ja</v>
      </c>
      <c r="Z156" t="str">
        <v>openbare parkeerplaats</v>
      </c>
      <c r="AA156" t="str">
        <v>2026</v>
      </c>
      <c r="AB156" t="str">
        <v>Nee</v>
      </c>
      <c r="AC156" t="str">
        <v>NEE</v>
      </c>
      <c r="AD156" t="str">
        <v>JA</v>
      </c>
    </row>
    <row r="157">
      <c r="A157" t="str">
        <v>44423609</v>
      </c>
      <c r="B157" t="str">
        <v>https://www.funda.nl/detail/koop/hoeven/huis-eengezinswoning-type-2-bouwnr-58/44423609/</v>
      </c>
      <c r="C157" t="str">
        <v>Bosvenne Hoeven | Fase 1 | de verkoop is gestart!</v>
      </c>
      <c r="D157" t="str">
        <v>Eengezinswoning Type 2</v>
      </c>
      <c r="E157" t="str">
        <v>- 58</v>
      </c>
      <c r="F157" t="str">
        <v>4741 SK</v>
      </c>
      <c r="G157" t="str">
        <v>Hoeven</v>
      </c>
      <c r="H157" t="str">
        <v>Halderberge</v>
      </c>
      <c r="I157" t="str">
        <v>Noord-Brabant</v>
      </c>
      <c r="J157" t="str">
        <v>Zuid-Nederland</v>
      </c>
      <c r="K157" t="str">
        <v>Te koop</v>
      </c>
      <c r="L157" t="str">
        <v>Onbekend</v>
      </c>
      <c r="M157" t="str">
        <v>Onbekend</v>
      </c>
      <c r="N157">
        <v>420000</v>
      </c>
      <c r="O157" t="str">
        <v>v.o.n.</v>
      </c>
      <c r="P157">
        <v>112</v>
      </c>
      <c r="Q157">
        <v>3750</v>
      </c>
      <c r="R157">
        <v>125</v>
      </c>
      <c r="S157" t="str">
        <v>A+++</v>
      </c>
      <c r="T157">
        <v>4</v>
      </c>
      <c r="U157">
        <v>3</v>
      </c>
      <c r="V157" t="str">
        <v>Grondgebonden</v>
      </c>
      <c r="W157" t="str">
        <v>Tussenwoning</v>
      </c>
      <c r="X157" t="str">
        <v>N.v.t.</v>
      </c>
      <c r="Y157" t="str">
        <v>Ja</v>
      </c>
      <c r="Z157" t="str">
        <v>openbare parkeerplaats</v>
      </c>
      <c r="AA157" t="str">
        <v>2026</v>
      </c>
      <c r="AB157" t="str">
        <v>Nee</v>
      </c>
      <c r="AC157" t="str">
        <v>NEE</v>
      </c>
      <c r="AD157" t="str">
        <v>JA</v>
      </c>
    </row>
    <row r="158">
      <c r="A158" t="str">
        <v>44423604</v>
      </c>
      <c r="B158" t="str">
        <v>https://www.funda.nl/detail/koop/hoeven/huis-eengezinswoning-type-2-bouwnr-56/44423604/</v>
      </c>
      <c r="C158" t="str">
        <v>Bosvenne Hoeven | Fase 1 | de verkoop is gestart!</v>
      </c>
      <c r="D158" t="str">
        <v>Eengezinswoning Type 2</v>
      </c>
      <c r="E158" t="str">
        <v>- 56</v>
      </c>
      <c r="F158" t="str">
        <v>4741 SK</v>
      </c>
      <c r="G158" t="str">
        <v>Hoeven</v>
      </c>
      <c r="H158" t="str">
        <v>Halderberge</v>
      </c>
      <c r="I158" t="str">
        <v>Noord-Brabant</v>
      </c>
      <c r="J158" t="str">
        <v>Zuid-Nederland</v>
      </c>
      <c r="K158" t="str">
        <v>Te koop</v>
      </c>
      <c r="L158" t="str">
        <v>Onbekend</v>
      </c>
      <c r="M158" t="str">
        <v>Onbekend</v>
      </c>
      <c r="N158">
        <v>420000</v>
      </c>
      <c r="O158" t="str">
        <v>v.o.n.</v>
      </c>
      <c r="P158">
        <v>112</v>
      </c>
      <c r="Q158">
        <v>3750</v>
      </c>
      <c r="R158">
        <v>125</v>
      </c>
      <c r="S158" t="str">
        <v>A+++</v>
      </c>
      <c r="T158">
        <v>4</v>
      </c>
      <c r="U158">
        <v>3</v>
      </c>
      <c r="V158" t="str">
        <v>Grondgebonden</v>
      </c>
      <c r="W158" t="str">
        <v>Tussenwoning</v>
      </c>
      <c r="X158" t="str">
        <v>N.v.t.</v>
      </c>
      <c r="Y158" t="str">
        <v>Ja</v>
      </c>
      <c r="Z158" t="str">
        <v>openbare parkeerplaats</v>
      </c>
      <c r="AA158" t="str">
        <v>2026</v>
      </c>
      <c r="AB158" t="str">
        <v>Nee</v>
      </c>
      <c r="AC158" t="str">
        <v>NEE</v>
      </c>
      <c r="AD158" t="str">
        <v>JA</v>
      </c>
    </row>
    <row r="159">
      <c r="A159" t="str">
        <v>44423603</v>
      </c>
      <c r="B159" t="str">
        <v>https://www.funda.nl/detail/koop/hoeven/huis-veranda-eengezinswoning-bouwnr-3/44423603/</v>
      </c>
      <c r="C159" t="str">
        <v>Bosvenne Hoeven | Fase 1 | de verkoop is gestart!</v>
      </c>
      <c r="D159" t="str">
        <v>Veranda eengezinswoning</v>
      </c>
      <c r="E159" t="str">
        <v>- 3</v>
      </c>
      <c r="F159" t="str">
        <v>4741 SK</v>
      </c>
      <c r="G159" t="str">
        <v>Hoeven</v>
      </c>
      <c r="H159" t="str">
        <v>Halderberge</v>
      </c>
      <c r="I159" t="str">
        <v>Noord-Brabant</v>
      </c>
      <c r="J159" t="str">
        <v>Zuid-Nederland</v>
      </c>
      <c r="K159" t="str">
        <v>Te koop</v>
      </c>
      <c r="L159" t="str">
        <v>Onbekend</v>
      </c>
      <c r="M159" t="str">
        <v>Onbekend</v>
      </c>
      <c r="N159">
        <v>435000</v>
      </c>
      <c r="O159" t="str">
        <v>v.o.n.</v>
      </c>
      <c r="P159">
        <v>116</v>
      </c>
      <c r="Q159">
        <v>3750</v>
      </c>
      <c r="R159">
        <v>107</v>
      </c>
      <c r="S159" t="str">
        <v>A+++</v>
      </c>
      <c r="T159">
        <v>4</v>
      </c>
      <c r="U159">
        <v>4</v>
      </c>
      <c r="V159" t="str">
        <v>Grondgebonden</v>
      </c>
      <c r="W159" t="str">
        <v>Tussenwoning</v>
      </c>
      <c r="X159" t="str">
        <v>N.v.t.</v>
      </c>
      <c r="Y159" t="str">
        <v>Ja</v>
      </c>
      <c r="Z159" t="str">
        <v>openbare parkeerplaats</v>
      </c>
      <c r="AA159" t="str">
        <v>2026</v>
      </c>
      <c r="AB159" t="str">
        <v>Nee</v>
      </c>
      <c r="AC159" t="str">
        <v>NEE</v>
      </c>
      <c r="AD159" t="str">
        <v>JA</v>
      </c>
    </row>
    <row r="160">
      <c r="A160" t="str">
        <v>44423692</v>
      </c>
      <c r="B160" t="str">
        <v>https://www.funda.nl/detail/koop/hoeven/huis-eengezinswoning-xl-bouwnr-24/44423692/</v>
      </c>
      <c r="C160" t="str">
        <v>Bosvenne Hoeven | Fase 1 | de verkoop is gestart!</v>
      </c>
      <c r="D160" t="str">
        <v>Eengezinswoning XL</v>
      </c>
      <c r="E160" t="str">
        <v>- 24</v>
      </c>
      <c r="F160" t="str">
        <v>4741 SK</v>
      </c>
      <c r="G160" t="str">
        <v>Hoeven</v>
      </c>
      <c r="H160" t="str">
        <v>Halderberge</v>
      </c>
      <c r="I160" t="str">
        <v>Noord-Brabant</v>
      </c>
      <c r="J160" t="str">
        <v>Zuid-Nederland</v>
      </c>
      <c r="K160" t="str">
        <v>Te koop</v>
      </c>
      <c r="L160" t="str">
        <v>Onbekend</v>
      </c>
      <c r="M160" t="str">
        <v>Onbekend</v>
      </c>
      <c r="N160">
        <v>503000</v>
      </c>
      <c r="O160" t="str">
        <v>v.o.n.</v>
      </c>
      <c r="P160">
        <v>129</v>
      </c>
      <c r="Q160">
        <v>3899</v>
      </c>
      <c r="R160">
        <v>174</v>
      </c>
      <c r="S160" t="str">
        <v>A+++</v>
      </c>
      <c r="T160">
        <v>4</v>
      </c>
      <c r="U160">
        <v>3</v>
      </c>
      <c r="V160" t="str">
        <v>Grondgebonden</v>
      </c>
      <c r="W160" t="str">
        <v>Tussenwoning</v>
      </c>
      <c r="X160" t="str">
        <v>N.v.t.</v>
      </c>
      <c r="Y160" t="str">
        <v>Ja</v>
      </c>
      <c r="Z160" t="str">
        <v>openbare parkeerplaats</v>
      </c>
      <c r="AA160" t="str">
        <v>2026</v>
      </c>
      <c r="AB160" t="str">
        <v>Nee</v>
      </c>
      <c r="AC160" t="str">
        <v>NEE</v>
      </c>
      <c r="AD160" t="str">
        <v>JA</v>
      </c>
    </row>
    <row r="161">
      <c r="A161" t="str">
        <v>44423691</v>
      </c>
      <c r="B161" t="str">
        <v>https://www.funda.nl/detail/koop/hoeven/huis-eengezinswoning-type-1-bouwnr-69/44423691/</v>
      </c>
      <c r="C161" t="str">
        <v>Bosvenne Hoeven | Fase 1 | de verkoop is gestart!</v>
      </c>
      <c r="D161" t="str">
        <v>Eengezinswoning Type 1</v>
      </c>
      <c r="E161" t="str">
        <v>- 69</v>
      </c>
      <c r="F161" t="str">
        <v>4741 SK</v>
      </c>
      <c r="G161" t="str">
        <v>Hoeven</v>
      </c>
      <c r="H161" t="str">
        <v>Halderberge</v>
      </c>
      <c r="I161" t="str">
        <v>Noord-Brabant</v>
      </c>
      <c r="J161" t="str">
        <v>Zuid-Nederland</v>
      </c>
      <c r="K161" t="str">
        <v>Te koop</v>
      </c>
      <c r="L161" t="str">
        <v>Onbekend</v>
      </c>
      <c r="M161" t="str">
        <v>Onbekend</v>
      </c>
      <c r="N161">
        <v>435000</v>
      </c>
      <c r="O161" t="str">
        <v>v.o.n.</v>
      </c>
      <c r="P161">
        <v>116</v>
      </c>
      <c r="Q161">
        <v>3750</v>
      </c>
      <c r="R161">
        <v>132</v>
      </c>
      <c r="S161" t="str">
        <v>A+++</v>
      </c>
      <c r="T161">
        <v>4</v>
      </c>
      <c r="U161">
        <v>3</v>
      </c>
      <c r="V161" t="str">
        <v>Grondgebonden</v>
      </c>
      <c r="W161" t="str">
        <v>Tussenwoning</v>
      </c>
      <c r="X161" t="str">
        <v>N.v.t.</v>
      </c>
      <c r="Y161" t="str">
        <v>Ja</v>
      </c>
      <c r="Z161" t="str">
        <v>openbare parkeerplaats</v>
      </c>
      <c r="AA161" t="str">
        <v>2026</v>
      </c>
      <c r="AB161" t="str">
        <v>Nee</v>
      </c>
      <c r="AC161" t="str">
        <v>NEE</v>
      </c>
      <c r="AD161" t="str">
        <v>JA</v>
      </c>
    </row>
    <row r="162">
      <c r="A162" t="str">
        <v>44423690</v>
      </c>
      <c r="B162" t="str">
        <v>https://www.funda.nl/detail/koop/hoeven/huis-eengezinswoning-xl-bouwnr-22/44423690/</v>
      </c>
      <c r="C162" t="str">
        <v>Bosvenne Hoeven | Fase 1 | de verkoop is gestart!</v>
      </c>
      <c r="D162" t="str">
        <v>Eengezinswoning XL</v>
      </c>
      <c r="E162" t="str">
        <v>- 22</v>
      </c>
      <c r="F162" t="str">
        <v>4741 SK</v>
      </c>
      <c r="G162" t="str">
        <v>Hoeven</v>
      </c>
      <c r="H162" t="str">
        <v>Halderberge</v>
      </c>
      <c r="I162" t="str">
        <v>Noord-Brabant</v>
      </c>
      <c r="J162" t="str">
        <v>Zuid-Nederland</v>
      </c>
      <c r="K162" t="str">
        <v>Te koop</v>
      </c>
      <c r="L162" t="str">
        <v>Onbekend</v>
      </c>
      <c r="M162" t="str">
        <v>Onbekend</v>
      </c>
      <c r="N162">
        <v>499000</v>
      </c>
      <c r="O162" t="str">
        <v>v.o.n.</v>
      </c>
      <c r="P162">
        <v>129</v>
      </c>
      <c r="Q162">
        <v>3868</v>
      </c>
      <c r="R162">
        <v>169</v>
      </c>
      <c r="S162" t="str">
        <v>A+++</v>
      </c>
      <c r="T162">
        <v>4</v>
      </c>
      <c r="U162">
        <v>3</v>
      </c>
      <c r="V162" t="str">
        <v>Grondgebonden</v>
      </c>
      <c r="W162" t="str">
        <v>Tussenwoning</v>
      </c>
      <c r="X162" t="str">
        <v>N.v.t.</v>
      </c>
      <c r="Y162" t="str">
        <v>Ja</v>
      </c>
      <c r="Z162" t="str">
        <v>openbare parkeerplaats</v>
      </c>
      <c r="AA162" t="str">
        <v>2026</v>
      </c>
      <c r="AB162" t="str">
        <v>Nee</v>
      </c>
      <c r="AC162" t="str">
        <v>NEE</v>
      </c>
      <c r="AD162" t="str">
        <v>JA</v>
      </c>
    </row>
    <row r="163">
      <c r="A163" t="str">
        <v>44423699</v>
      </c>
      <c r="B163" t="str">
        <v>https://www.funda.nl/detail/koop/hoeven/huis-eengezinswoning-xl-bouwnr-23/44423699/</v>
      </c>
      <c r="C163" t="str">
        <v>Bosvenne Hoeven | Fase 1 | de verkoop is gestart!</v>
      </c>
      <c r="D163" t="str">
        <v>Eengezinswoning XL</v>
      </c>
      <c r="E163" t="str">
        <v>- 23</v>
      </c>
      <c r="F163" t="str">
        <v>4741 SK</v>
      </c>
      <c r="G163" t="str">
        <v>Hoeven</v>
      </c>
      <c r="H163" t="str">
        <v>Halderberge</v>
      </c>
      <c r="I163" t="str">
        <v>Noord-Brabant</v>
      </c>
      <c r="J163" t="str">
        <v>Zuid-Nederland</v>
      </c>
      <c r="K163" t="str">
        <v>Te koop</v>
      </c>
      <c r="L163" t="str">
        <v>Onbekend</v>
      </c>
      <c r="M163" t="str">
        <v>Onbekend</v>
      </c>
      <c r="N163">
        <v>501500</v>
      </c>
      <c r="O163" t="str">
        <v>v.o.n.</v>
      </c>
      <c r="P163">
        <v>129</v>
      </c>
      <c r="Q163">
        <v>3888</v>
      </c>
      <c r="R163">
        <v>171</v>
      </c>
      <c r="S163" t="str">
        <v>A+++</v>
      </c>
      <c r="T163">
        <v>4</v>
      </c>
      <c r="U163">
        <v>3</v>
      </c>
      <c r="V163" t="str">
        <v>Grondgebonden</v>
      </c>
      <c r="W163" t="str">
        <v>Tussenwoning</v>
      </c>
      <c r="X163" t="str">
        <v>N.v.t.</v>
      </c>
      <c r="Y163" t="str">
        <v>Ja</v>
      </c>
      <c r="Z163" t="str">
        <v>openbare parkeerplaats</v>
      </c>
      <c r="AA163" t="str">
        <v>2026</v>
      </c>
      <c r="AB163" t="str">
        <v>Nee</v>
      </c>
      <c r="AC163" t="str">
        <v>NEE</v>
      </c>
      <c r="AD163" t="str">
        <v>JA</v>
      </c>
    </row>
    <row r="164">
      <c r="A164" t="str">
        <v>44423698</v>
      </c>
      <c r="B164" t="str">
        <v>https://www.funda.nl/detail/koop/hoeven/huis-hoekwoning-xl-type-1-bouwnr-71/44423698/</v>
      </c>
      <c r="C164" t="str">
        <v>Bosvenne Hoeven | Fase 1 | de verkoop is gestart!</v>
      </c>
      <c r="D164" t="str">
        <v>Hoekwoning XL Type 1</v>
      </c>
      <c r="E164" t="str">
        <v>- 71</v>
      </c>
      <c r="F164" t="str">
        <v>4741 SK</v>
      </c>
      <c r="G164" t="str">
        <v>Hoeven</v>
      </c>
      <c r="H164" t="str">
        <v>Halderberge</v>
      </c>
      <c r="I164" t="str">
        <v>Noord-Brabant</v>
      </c>
      <c r="J164" t="str">
        <v>Zuid-Nederland</v>
      </c>
      <c r="K164" t="str">
        <v>Te koop</v>
      </c>
      <c r="L164" t="str">
        <v>Onbekend</v>
      </c>
      <c r="M164" t="str">
        <v>Onbekend</v>
      </c>
      <c r="N164">
        <v>537500</v>
      </c>
      <c r="O164" t="str">
        <v>v.o.n.</v>
      </c>
      <c r="P164">
        <v>142</v>
      </c>
      <c r="Q164">
        <v>3785</v>
      </c>
      <c r="R164">
        <v>212</v>
      </c>
      <c r="S164" t="str">
        <v>A+++</v>
      </c>
      <c r="T164">
        <v>4</v>
      </c>
      <c r="U164">
        <v>3</v>
      </c>
      <c r="V164" t="str">
        <v>Grondgebonden</v>
      </c>
      <c r="W164" t="str">
        <v>Hoekwoning</v>
      </c>
      <c r="X164" t="str">
        <v>N.v.t.</v>
      </c>
      <c r="Y164" t="str">
        <v>Ja</v>
      </c>
      <c r="Z164" t="str">
        <v>openbare parkeerplaats</v>
      </c>
      <c r="AA164" t="str">
        <v>2026</v>
      </c>
      <c r="AB164" t="str">
        <v>Nee</v>
      </c>
      <c r="AC164" t="str">
        <v>NEE</v>
      </c>
      <c r="AD164" t="str">
        <v>JA</v>
      </c>
    </row>
    <row r="165">
      <c r="A165" t="str">
        <v>44423695</v>
      </c>
      <c r="B165" t="str">
        <v>https://www.funda.nl/detail/koop/hoeven/huis-eengezinswoning-type-1-bouwnr-70/44423695/</v>
      </c>
      <c r="C165" t="str">
        <v>Bosvenne Hoeven | Fase 1 | de verkoop is gestart!</v>
      </c>
      <c r="D165" t="str">
        <v>Eengezinswoning Type 1</v>
      </c>
      <c r="E165" t="str">
        <v>- 70</v>
      </c>
      <c r="F165" t="str">
        <v>4741 SK</v>
      </c>
      <c r="G165" t="str">
        <v>Hoeven</v>
      </c>
      <c r="H165" t="str">
        <v>Halderberge</v>
      </c>
      <c r="I165" t="str">
        <v>Noord-Brabant</v>
      </c>
      <c r="J165" t="str">
        <v>Zuid-Nederland</v>
      </c>
      <c r="K165" t="str">
        <v>Te koop</v>
      </c>
      <c r="L165" t="str">
        <v>2026-07-09</v>
      </c>
      <c r="M165">
        <v>4</v>
      </c>
      <c r="N165">
        <v>435000</v>
      </c>
      <c r="O165" t="str">
        <v>v.o.n.</v>
      </c>
      <c r="P165">
        <v>116</v>
      </c>
      <c r="Q165">
        <v>3750</v>
      </c>
      <c r="R165">
        <v>132</v>
      </c>
      <c r="S165" t="str">
        <v>A+++</v>
      </c>
      <c r="T165">
        <v>4</v>
      </c>
      <c r="U165">
        <v>3</v>
      </c>
      <c r="V165" t="str">
        <v>Grondgebonden</v>
      </c>
      <c r="W165" t="str">
        <v>Tussenwoning</v>
      </c>
      <c r="X165" t="str">
        <v>N.v.t.</v>
      </c>
      <c r="Y165" t="str">
        <v>Ja</v>
      </c>
      <c r="Z165" t="str">
        <v>openbare parkeerplaats</v>
      </c>
      <c r="AA165" t="str">
        <v>2026</v>
      </c>
      <c r="AB165" t="str">
        <v>Nee</v>
      </c>
      <c r="AC165" t="str">
        <v>NEE</v>
      </c>
      <c r="AD165" t="str">
        <v>JA</v>
      </c>
    </row>
    <row r="166">
      <c r="A166" t="str">
        <v>44423694</v>
      </c>
      <c r="B166" t="str">
        <v>https://www.funda.nl/detail/koop/hoeven/huis-veranda-hoekwoning-xl-type-2-bouwnr-19/44423694/</v>
      </c>
      <c r="C166" t="str">
        <v>Bosvenne Hoeven | Fase 1 | de verkoop is gestart!</v>
      </c>
      <c r="D166" t="str">
        <v>Veranda hoekwoning XL type 2</v>
      </c>
      <c r="E166" t="str">
        <v>- 19</v>
      </c>
      <c r="F166" t="str">
        <v>4741 SK</v>
      </c>
      <c r="G166" t="str">
        <v>Hoeven</v>
      </c>
      <c r="H166" t="str">
        <v>Halderberge</v>
      </c>
      <c r="I166" t="str">
        <v>Noord-Brabant</v>
      </c>
      <c r="J166" t="str">
        <v>Zuid-Nederland</v>
      </c>
      <c r="K166" t="str">
        <v>Te koop</v>
      </c>
      <c r="L166" t="str">
        <v>Onbekend</v>
      </c>
      <c r="M166" t="str">
        <v>Onbekend</v>
      </c>
      <c r="N166">
        <v>585000</v>
      </c>
      <c r="O166" t="str">
        <v>v.o.n.</v>
      </c>
      <c r="P166">
        <v>142</v>
      </c>
      <c r="Q166">
        <v>4120</v>
      </c>
      <c r="R166">
        <v>229</v>
      </c>
      <c r="S166" t="str">
        <v>A+++</v>
      </c>
      <c r="T166">
        <v>6</v>
      </c>
      <c r="U166">
        <v>4</v>
      </c>
      <c r="V166" t="str">
        <v>Grondgebonden</v>
      </c>
      <c r="W166" t="str">
        <v>Hoekwoning</v>
      </c>
      <c r="X166" t="str">
        <v>N.v.t.</v>
      </c>
      <c r="Y166" t="str">
        <v>Ja</v>
      </c>
      <c r="Z166" t="str">
        <v>openbare parkeerplaats</v>
      </c>
      <c r="AA166" t="str">
        <v>2026</v>
      </c>
      <c r="AB166" t="str">
        <v>Nee</v>
      </c>
      <c r="AC166" t="str">
        <v>NEE</v>
      </c>
      <c r="AD166" t="str">
        <v>JA</v>
      </c>
    </row>
    <row r="167">
      <c r="A167" t="str">
        <v>44423693</v>
      </c>
      <c r="B167" t="str">
        <v>https://www.funda.nl/detail/koop/hoeven/huis-eengezinswoning-type-2-bouwnr-54/44423693/</v>
      </c>
      <c r="C167" t="str">
        <v>Bosvenne Hoeven | Fase 1 | de verkoop is gestart!</v>
      </c>
      <c r="D167" t="str">
        <v>Eengezinswoning Type 2</v>
      </c>
      <c r="E167" t="str">
        <v>- 54</v>
      </c>
      <c r="F167" t="str">
        <v>4741 SK</v>
      </c>
      <c r="G167" t="str">
        <v>Hoeven</v>
      </c>
      <c r="H167" t="str">
        <v>Halderberge</v>
      </c>
      <c r="I167" t="str">
        <v>Noord-Brabant</v>
      </c>
      <c r="J167" t="str">
        <v>Zuid-Nederland</v>
      </c>
      <c r="K167" t="str">
        <v>Te koop</v>
      </c>
      <c r="L167" t="str">
        <v>Onbekend</v>
      </c>
      <c r="M167" t="str">
        <v>Onbekend</v>
      </c>
      <c r="N167">
        <v>420000</v>
      </c>
      <c r="O167" t="str">
        <v>v.o.n.</v>
      </c>
      <c r="P167">
        <v>112</v>
      </c>
      <c r="Q167">
        <v>3750</v>
      </c>
      <c r="R167">
        <v>125</v>
      </c>
      <c r="S167" t="str">
        <v>A+++</v>
      </c>
      <c r="T167">
        <v>4</v>
      </c>
      <c r="U167">
        <v>3</v>
      </c>
      <c r="V167" t="str">
        <v>Grondgebonden</v>
      </c>
      <c r="W167" t="str">
        <v>Tussenwoning</v>
      </c>
      <c r="X167" t="str">
        <v>N.v.t.</v>
      </c>
      <c r="Y167" t="str">
        <v>Ja</v>
      </c>
      <c r="Z167" t="str">
        <v>openbare parkeerplaats</v>
      </c>
      <c r="AA167" t="str">
        <v>2026</v>
      </c>
      <c r="AB167" t="str">
        <v>Nee</v>
      </c>
      <c r="AC167" t="str">
        <v>NEE</v>
      </c>
      <c r="AD167" t="str">
        <v>JA</v>
      </c>
    </row>
    <row r="168">
      <c r="A168" t="str">
        <v>44423682</v>
      </c>
      <c r="B168" t="str">
        <v>https://www.funda.nl/detail/koop/hoeven/huis-loof-woning-type-1-bouwnr-30/44423682/</v>
      </c>
      <c r="C168" t="str">
        <v>Bosvenne Hoeven | Fase 1 | de verkoop is gestart!</v>
      </c>
      <c r="D168" t="str">
        <v>LOOF-woning Type 1</v>
      </c>
      <c r="E168" t="str">
        <v>- 30</v>
      </c>
      <c r="F168" t="str">
        <v>4741 SK</v>
      </c>
      <c r="G168" t="str">
        <v>Hoeven</v>
      </c>
      <c r="H168" t="str">
        <v>Halderberge</v>
      </c>
      <c r="I168" t="str">
        <v>Noord-Brabant</v>
      </c>
      <c r="J168" t="str">
        <v>Zuid-Nederland</v>
      </c>
      <c r="K168" t="str">
        <v>Te koop</v>
      </c>
      <c r="L168" t="str">
        <v>Onbekend</v>
      </c>
      <c r="M168" t="str">
        <v>Onbekend</v>
      </c>
      <c r="N168">
        <v>560000</v>
      </c>
      <c r="O168" t="str">
        <v>v.o.n.</v>
      </c>
      <c r="P168">
        <v>121</v>
      </c>
      <c r="Q168">
        <v>4628</v>
      </c>
      <c r="R168">
        <v>221</v>
      </c>
      <c r="S168" t="str">
        <v>A+++</v>
      </c>
      <c r="T168">
        <v>2</v>
      </c>
      <c r="U168">
        <v>1</v>
      </c>
      <c r="V168" t="str">
        <v>Grondgebonden</v>
      </c>
      <c r="W168" t="str">
        <v>2-onder-1-kapwoning</v>
      </c>
      <c r="X168" t="str">
        <v>N.v.t.</v>
      </c>
      <c r="Y168" t="str">
        <v>Ja</v>
      </c>
      <c r="Z168" t="str">
        <v>eigen parkeerplaats</v>
      </c>
      <c r="AA168" t="str">
        <v>2026</v>
      </c>
      <c r="AB168" t="str">
        <v>Nee</v>
      </c>
      <c r="AC168" t="str">
        <v>NEE</v>
      </c>
      <c r="AD168" t="str">
        <v>JA</v>
      </c>
    </row>
    <row r="169">
      <c r="A169" t="str">
        <v>44423681</v>
      </c>
      <c r="B169" t="str">
        <v>https://www.funda.nl/detail/koop/hoeven/huis-eengezinswoning-type-2-bouwnr-48/44423681/</v>
      </c>
      <c r="C169" t="str">
        <v>Bosvenne Hoeven | Fase 1 | de verkoop is gestart!</v>
      </c>
      <c r="D169" t="str">
        <v>Eengezinswoning Type 2</v>
      </c>
      <c r="E169" t="str">
        <v>- 48</v>
      </c>
      <c r="F169" t="str">
        <v>4741 SK</v>
      </c>
      <c r="G169" t="str">
        <v>Hoeven</v>
      </c>
      <c r="H169" t="str">
        <v>Halderberge</v>
      </c>
      <c r="I169" t="str">
        <v>Noord-Brabant</v>
      </c>
      <c r="J169" t="str">
        <v>Zuid-Nederland</v>
      </c>
      <c r="K169" t="str">
        <v>Te koop</v>
      </c>
      <c r="L169" t="str">
        <v>Onbekend</v>
      </c>
      <c r="M169" t="str">
        <v>Onbekend</v>
      </c>
      <c r="N169">
        <v>432500</v>
      </c>
      <c r="O169" t="str">
        <v>v.o.n.</v>
      </c>
      <c r="P169">
        <v>112</v>
      </c>
      <c r="Q169">
        <v>3862</v>
      </c>
      <c r="R169">
        <v>124</v>
      </c>
      <c r="S169" t="str">
        <v>A+++</v>
      </c>
      <c r="T169">
        <v>4</v>
      </c>
      <c r="U169">
        <v>3</v>
      </c>
      <c r="V169" t="str">
        <v>Grondgebonden</v>
      </c>
      <c r="W169" t="str">
        <v>Tussenwoning</v>
      </c>
      <c r="X169" t="str">
        <v>N.v.t.</v>
      </c>
      <c r="Y169" t="str">
        <v>Ja</v>
      </c>
      <c r="Z169" t="str">
        <v>openbare parkeerplaats</v>
      </c>
      <c r="AA169" t="str">
        <v>2026</v>
      </c>
      <c r="AB169" t="str">
        <v>Nee</v>
      </c>
      <c r="AC169" t="str">
        <v>NEE</v>
      </c>
      <c r="AD169" t="str">
        <v>JA</v>
      </c>
    </row>
    <row r="170">
      <c r="A170" t="str">
        <v>44423680</v>
      </c>
      <c r="B170" t="str">
        <v>https://www.funda.nl/detail/koop/hoeven/huis-eengezinswoning-type-2-bouwnr-50/44423680/</v>
      </c>
      <c r="C170" t="str">
        <v>Bosvenne Hoeven | Fase 1 | de verkoop is gestart!</v>
      </c>
      <c r="D170" t="str">
        <v>Eengezinswoning Type 2</v>
      </c>
      <c r="E170" t="str">
        <v>- 50</v>
      </c>
      <c r="F170" t="str">
        <v>4741 SK</v>
      </c>
      <c r="G170" t="str">
        <v>Hoeven</v>
      </c>
      <c r="H170" t="str">
        <v>Halderberge</v>
      </c>
      <c r="I170" t="str">
        <v>Noord-Brabant</v>
      </c>
      <c r="J170" t="str">
        <v>Zuid-Nederland</v>
      </c>
      <c r="K170" t="str">
        <v>Te koop</v>
      </c>
      <c r="L170" t="str">
        <v>Onbekend</v>
      </c>
      <c r="M170" t="str">
        <v>Onbekend</v>
      </c>
      <c r="N170">
        <v>432000</v>
      </c>
      <c r="O170" t="str">
        <v>v.o.n.</v>
      </c>
      <c r="P170">
        <v>112</v>
      </c>
      <c r="Q170">
        <v>3857</v>
      </c>
      <c r="R170">
        <v>123</v>
      </c>
      <c r="S170" t="str">
        <v>A+++</v>
      </c>
      <c r="T170">
        <v>4</v>
      </c>
      <c r="U170">
        <v>3</v>
      </c>
      <c r="V170" t="str">
        <v>Grondgebonden</v>
      </c>
      <c r="W170" t="str">
        <v>Tussenwoning</v>
      </c>
      <c r="X170" t="str">
        <v>N.v.t.</v>
      </c>
      <c r="Y170" t="str">
        <v>Ja</v>
      </c>
      <c r="Z170" t="str">
        <v>openbare parkeerplaats</v>
      </c>
      <c r="AA170" t="str">
        <v>2026</v>
      </c>
      <c r="AB170" t="str">
        <v>Nee</v>
      </c>
      <c r="AC170" t="str">
        <v>NEE</v>
      </c>
      <c r="AD170" t="str">
        <v>JA</v>
      </c>
    </row>
    <row r="171">
      <c r="A171" t="str">
        <v>44423687</v>
      </c>
      <c r="B171" t="str">
        <v>https://www.funda.nl/detail/koop/hoeven/huis-eengezinswoning-type-2-bouwnr-49/44423687/</v>
      </c>
      <c r="C171" t="str">
        <v>Bosvenne Hoeven | Fase 1 | de verkoop is gestart!</v>
      </c>
      <c r="D171" t="str">
        <v>Eengezinswoning Type 2</v>
      </c>
      <c r="E171" t="str">
        <v>- 49</v>
      </c>
      <c r="F171" t="str">
        <v>4741 SK</v>
      </c>
      <c r="G171" t="str">
        <v>Hoeven</v>
      </c>
      <c r="H171" t="str">
        <v>Halderberge</v>
      </c>
      <c r="I171" t="str">
        <v>Noord-Brabant</v>
      </c>
      <c r="J171" t="str">
        <v>Zuid-Nederland</v>
      </c>
      <c r="K171" t="str">
        <v>Te koop</v>
      </c>
      <c r="L171" t="str">
        <v>Onbekend</v>
      </c>
      <c r="M171" t="str">
        <v>Onbekend</v>
      </c>
      <c r="N171">
        <v>432500</v>
      </c>
      <c r="O171" t="str">
        <v>v.o.n.</v>
      </c>
      <c r="P171">
        <v>112</v>
      </c>
      <c r="Q171">
        <v>3862</v>
      </c>
      <c r="R171">
        <v>124</v>
      </c>
      <c r="S171" t="str">
        <v>A+++</v>
      </c>
      <c r="T171">
        <v>4</v>
      </c>
      <c r="U171">
        <v>3</v>
      </c>
      <c r="V171" t="str">
        <v>Grondgebonden</v>
      </c>
      <c r="W171" t="str">
        <v>Tussenwoning</v>
      </c>
      <c r="X171" t="str">
        <v>N.v.t.</v>
      </c>
      <c r="Y171" t="str">
        <v>Ja</v>
      </c>
      <c r="Z171" t="str">
        <v>openbare parkeerplaats</v>
      </c>
      <c r="AA171" t="str">
        <v>2026</v>
      </c>
      <c r="AB171" t="str">
        <v>Nee</v>
      </c>
      <c r="AC171" t="str">
        <v>NEE</v>
      </c>
      <c r="AD171" t="str">
        <v>JA</v>
      </c>
    </row>
    <row r="172">
      <c r="A172" t="str">
        <v>44423686</v>
      </c>
      <c r="B172" t="str">
        <v>https://www.funda.nl/detail/koop/hoeven/huis-loof-woning-type-1-bouwnr-31/44423686/</v>
      </c>
      <c r="C172" t="str">
        <v>Bosvenne Hoeven | Fase 1 | de verkoop is gestart!</v>
      </c>
      <c r="D172" t="str">
        <v>LOOF-woning Type 1</v>
      </c>
      <c r="E172" t="str">
        <v>- 31</v>
      </c>
      <c r="F172" t="str">
        <v>4741 SK</v>
      </c>
      <c r="G172" t="str">
        <v>Hoeven</v>
      </c>
      <c r="H172" t="str">
        <v>Halderberge</v>
      </c>
      <c r="I172" t="str">
        <v>Noord-Brabant</v>
      </c>
      <c r="J172" t="str">
        <v>Zuid-Nederland</v>
      </c>
      <c r="K172" t="str">
        <v>Te koop</v>
      </c>
      <c r="L172" t="str">
        <v>Onbekend</v>
      </c>
      <c r="M172" t="str">
        <v>Onbekend</v>
      </c>
      <c r="N172">
        <v>560000</v>
      </c>
      <c r="O172" t="str">
        <v>v.o.n.</v>
      </c>
      <c r="P172">
        <v>121</v>
      </c>
      <c r="Q172">
        <v>4628</v>
      </c>
      <c r="R172">
        <v>221</v>
      </c>
      <c r="S172" t="str">
        <v>A+++</v>
      </c>
      <c r="T172">
        <v>2</v>
      </c>
      <c r="U172">
        <v>1</v>
      </c>
      <c r="V172" t="str">
        <v>Grondgebonden</v>
      </c>
      <c r="W172" t="str">
        <v>2-onder-1-kapwoning</v>
      </c>
      <c r="X172" t="str">
        <v>N.v.t.</v>
      </c>
      <c r="Y172" t="str">
        <v>Ja</v>
      </c>
      <c r="Z172" t="str">
        <v>eigen parkeerplaats</v>
      </c>
      <c r="AA172" t="str">
        <v>2026</v>
      </c>
      <c r="AB172" t="str">
        <v>Nee</v>
      </c>
      <c r="AC172" t="str">
        <v>NEE</v>
      </c>
      <c r="AD172" t="str">
        <v>JA</v>
      </c>
    </row>
    <row r="173">
      <c r="A173" t="str">
        <v>44423685</v>
      </c>
      <c r="B173" t="str">
        <v>https://www.funda.nl/detail/koop/hoeven/huis-eengezinswoning-type-2-bouwnr-57/44423685/</v>
      </c>
      <c r="C173" t="str">
        <v>Bosvenne Hoeven | Fase 1 | de verkoop is gestart!</v>
      </c>
      <c r="D173" t="str">
        <v>Eengezinswoning Type 2</v>
      </c>
      <c r="E173" t="str">
        <v>- 57</v>
      </c>
      <c r="F173" t="str">
        <v>4741 SK</v>
      </c>
      <c r="G173" t="str">
        <v>Hoeven</v>
      </c>
      <c r="H173" t="str">
        <v>Halderberge</v>
      </c>
      <c r="I173" t="str">
        <v>Noord-Brabant</v>
      </c>
      <c r="J173" t="str">
        <v>Zuid-Nederland</v>
      </c>
      <c r="K173" t="str">
        <v>Te koop</v>
      </c>
      <c r="L173" t="str">
        <v>Onbekend</v>
      </c>
      <c r="M173" t="str">
        <v>Onbekend</v>
      </c>
      <c r="N173">
        <v>420000</v>
      </c>
      <c r="O173" t="str">
        <v>v.o.n.</v>
      </c>
      <c r="P173">
        <v>112</v>
      </c>
      <c r="Q173">
        <v>3750</v>
      </c>
      <c r="R173">
        <v>125</v>
      </c>
      <c r="S173" t="str">
        <v>A+++</v>
      </c>
      <c r="T173">
        <v>4</v>
      </c>
      <c r="U173">
        <v>3</v>
      </c>
      <c r="V173" t="str">
        <v>Grondgebonden</v>
      </c>
      <c r="W173" t="str">
        <v>Tussenwoning</v>
      </c>
      <c r="X173" t="str">
        <v>N.v.t.</v>
      </c>
      <c r="Y173" t="str">
        <v>Ja</v>
      </c>
      <c r="Z173" t="str">
        <v>openbare parkeerplaats</v>
      </c>
      <c r="AA173" t="str">
        <v>2026</v>
      </c>
      <c r="AB173" t="str">
        <v>Nee</v>
      </c>
      <c r="AC173" t="str">
        <v>NEE</v>
      </c>
      <c r="AD173" t="str">
        <v>JA</v>
      </c>
    </row>
    <row r="174">
      <c r="A174" t="str">
        <v>44423683</v>
      </c>
      <c r="B174" t="str">
        <v>https://www.funda.nl/detail/koop/hoeven/huis-loof-woning-type-2-bouwnr-33/44423683/</v>
      </c>
      <c r="C174" t="str">
        <v>Bosvenne Hoeven | Fase 1 | de verkoop is gestart!</v>
      </c>
      <c r="D174" t="str">
        <v>LOOF-woning Type 2</v>
      </c>
      <c r="E174" t="str">
        <v>- 33</v>
      </c>
      <c r="F174" t="str">
        <v>4741 SK</v>
      </c>
      <c r="G174" t="str">
        <v>Hoeven</v>
      </c>
      <c r="H174" t="str">
        <v>Halderberge</v>
      </c>
      <c r="I174" t="str">
        <v>Noord-Brabant</v>
      </c>
      <c r="J174" t="str">
        <v>Zuid-Nederland</v>
      </c>
      <c r="K174" t="str">
        <v>Te koop</v>
      </c>
      <c r="L174" t="str">
        <v>Onbekend</v>
      </c>
      <c r="M174" t="str">
        <v>Onbekend</v>
      </c>
      <c r="N174">
        <v>575000</v>
      </c>
      <c r="O174" t="str">
        <v>v.o.n.</v>
      </c>
      <c r="P174">
        <v>121</v>
      </c>
      <c r="Q174">
        <v>4752</v>
      </c>
      <c r="R174">
        <v>226</v>
      </c>
      <c r="S174" t="str">
        <v>A+++</v>
      </c>
      <c r="T174">
        <v>2</v>
      </c>
      <c r="U174">
        <v>1</v>
      </c>
      <c r="V174" t="str">
        <v>Grondgebonden</v>
      </c>
      <c r="W174" t="str">
        <v>2-onder-1-kapwoning</v>
      </c>
      <c r="X174" t="str">
        <v>N.v.t.</v>
      </c>
      <c r="Y174" t="str">
        <v>Ja</v>
      </c>
      <c r="Z174" t="str">
        <v>eigen parkeerplaats</v>
      </c>
      <c r="AA174" t="str">
        <v>2026</v>
      </c>
      <c r="AB174" t="str">
        <v>Nee</v>
      </c>
      <c r="AC174" t="str">
        <v>NEE</v>
      </c>
      <c r="AD174" t="str">
        <v>JA</v>
      </c>
    </row>
    <row r="175">
      <c r="A175" t="str">
        <v>44423671</v>
      </c>
      <c r="B175" t="str">
        <v>https://www.funda.nl/detail/koop/hoeven/huis-loof-woning-xl-bouwnr-32/44423671/</v>
      </c>
      <c r="C175" t="str">
        <v>Bosvenne Hoeven | Fase 1 | de verkoop is gestart!</v>
      </c>
      <c r="D175" t="str">
        <v>LOOF-woning XL</v>
      </c>
      <c r="E175" t="str">
        <v>- 32</v>
      </c>
      <c r="F175" t="str">
        <v>4741 SK</v>
      </c>
      <c r="G175" t="str">
        <v>Hoeven</v>
      </c>
      <c r="H175" t="str">
        <v>Halderberge</v>
      </c>
      <c r="I175" t="str">
        <v>Noord-Brabant</v>
      </c>
      <c r="J175" t="str">
        <v>Zuid-Nederland</v>
      </c>
      <c r="K175" t="str">
        <v>Te koop</v>
      </c>
      <c r="L175" t="str">
        <v>Onbekend</v>
      </c>
      <c r="M175" t="str">
        <v>Onbekend</v>
      </c>
      <c r="N175">
        <v>585000</v>
      </c>
      <c r="O175" t="str">
        <v>v.o.n.</v>
      </c>
      <c r="P175">
        <v>135</v>
      </c>
      <c r="Q175">
        <v>4333</v>
      </c>
      <c r="R175">
        <v>221</v>
      </c>
      <c r="S175" t="str">
        <v>A+++</v>
      </c>
      <c r="T175">
        <v>2</v>
      </c>
      <c r="U175">
        <v>1</v>
      </c>
      <c r="V175" t="str">
        <v>Grondgebonden</v>
      </c>
      <c r="W175" t="str">
        <v>2-onder-1-kapwoning</v>
      </c>
      <c r="X175" t="str">
        <v>N.v.t.</v>
      </c>
      <c r="Y175" t="str">
        <v>Ja</v>
      </c>
      <c r="Z175" t="str">
        <v>eigen parkeerplaats</v>
      </c>
      <c r="AA175" t="str">
        <v>2026</v>
      </c>
      <c r="AB175" t="str">
        <v>Nee</v>
      </c>
      <c r="AC175" t="str">
        <v>NEE</v>
      </c>
      <c r="AD175" t="str">
        <v>JA</v>
      </c>
    </row>
    <row r="176">
      <c r="A176" t="str">
        <v>44423679</v>
      </c>
      <c r="B176" t="str">
        <v>https://www.funda.nl/detail/koop/hoeven/huis-loof-woning-xl-bouwnr-28/44423679/</v>
      </c>
      <c r="C176" t="str">
        <v>Bosvenne Hoeven | Fase 1 | de verkoop is gestart!</v>
      </c>
      <c r="D176" t="str">
        <v>LOOF-woning XL</v>
      </c>
      <c r="E176" t="str">
        <v>- 28</v>
      </c>
      <c r="F176" t="str">
        <v>4741 SK</v>
      </c>
      <c r="G176" t="str">
        <v>Hoeven</v>
      </c>
      <c r="H176" t="str">
        <v>Halderberge</v>
      </c>
      <c r="I176" t="str">
        <v>Noord-Brabant</v>
      </c>
      <c r="J176" t="str">
        <v>Zuid-Nederland</v>
      </c>
      <c r="K176" t="str">
        <v>Te koop</v>
      </c>
      <c r="L176" t="str">
        <v>Onbekend</v>
      </c>
      <c r="M176" t="str">
        <v>Onbekend</v>
      </c>
      <c r="N176">
        <v>605000</v>
      </c>
      <c r="O176" t="str">
        <v>v.o.n.</v>
      </c>
      <c r="P176">
        <v>135</v>
      </c>
      <c r="Q176">
        <v>4481</v>
      </c>
      <c r="R176">
        <v>230</v>
      </c>
      <c r="S176" t="str">
        <v>A+++</v>
      </c>
      <c r="T176">
        <v>2</v>
      </c>
      <c r="U176">
        <v>1</v>
      </c>
      <c r="V176" t="str">
        <v>Grondgebonden</v>
      </c>
      <c r="W176" t="str">
        <v>2-onder-1-kapwoning</v>
      </c>
      <c r="X176" t="str">
        <v>N.v.t.</v>
      </c>
      <c r="Y176" t="str">
        <v>Ja</v>
      </c>
      <c r="Z176" t="str">
        <v>eigen parkeerplaats</v>
      </c>
      <c r="AA176" t="str">
        <v>2026</v>
      </c>
      <c r="AB176" t="str">
        <v>Nee</v>
      </c>
      <c r="AC176" t="str">
        <v>NEE</v>
      </c>
      <c r="AD176" t="str">
        <v>JA</v>
      </c>
    </row>
    <row r="177">
      <c r="A177" t="str">
        <v>44423678</v>
      </c>
      <c r="B177" t="str">
        <v>https://www.funda.nl/detail/koop/hoeven/appartement-appartement-type-a-bouwnr-a3/44423678/</v>
      </c>
      <c r="C177" t="str">
        <v>Bosvenne Hoeven | Fase 1 | de verkoop is gestart!</v>
      </c>
      <c r="D177" t="str">
        <v>Appartement type A</v>
      </c>
      <c r="E177" t="str">
        <v>- A3</v>
      </c>
      <c r="F177" t="str">
        <v>4741 SK</v>
      </c>
      <c r="G177" t="str">
        <v>Hoeven</v>
      </c>
      <c r="H177" t="str">
        <v>Halderberge</v>
      </c>
      <c r="I177" t="str">
        <v>Noord-Brabant</v>
      </c>
      <c r="J177" t="str">
        <v>Zuid-Nederland</v>
      </c>
      <c r="K177" t="str">
        <v>Te koop</v>
      </c>
      <c r="L177" t="str">
        <v>Onbekend</v>
      </c>
      <c r="M177" t="str">
        <v>Onbekend</v>
      </c>
      <c r="N177">
        <v>570000</v>
      </c>
      <c r="O177" t="str">
        <v>v.o.n.</v>
      </c>
      <c r="P177">
        <v>111</v>
      </c>
      <c r="Q177">
        <v>5135</v>
      </c>
      <c r="R177" t="str">
        <v>Onbekend</v>
      </c>
      <c r="S177" t="str">
        <v>A+++</v>
      </c>
      <c r="T177">
        <v>1</v>
      </c>
      <c r="U177" t="str">
        <v>Onbekend</v>
      </c>
      <c r="V177" t="str">
        <v>Appartement</v>
      </c>
      <c r="W177" t="str">
        <v>Appartement</v>
      </c>
      <c r="X177" t="str">
        <v>Appartement &gt;100 m²</v>
      </c>
      <c r="Y177" t="str">
        <v>Ja</v>
      </c>
      <c r="Z177" t="str">
        <v>garage</v>
      </c>
      <c r="AA177" t="str">
        <v>2026</v>
      </c>
      <c r="AB177" t="str">
        <v>Nee</v>
      </c>
      <c r="AC177" t="str">
        <v>NEE</v>
      </c>
      <c r="AD177" t="str">
        <v>JA</v>
      </c>
    </row>
    <row r="178">
      <c r="A178" t="str">
        <v>44423629</v>
      </c>
      <c r="B178" t="str">
        <v>https://www.funda.nl/detail/koop/hoeven/huis-eengezinswoning-xl-bouwnr-39/44423629/</v>
      </c>
      <c r="C178" t="str">
        <v>Bosvenne Hoeven | Fase 1 | de verkoop is gestart!</v>
      </c>
      <c r="D178" t="str">
        <v>Eengezinswoning XL</v>
      </c>
      <c r="E178" t="str">
        <v>- 39</v>
      </c>
      <c r="F178" t="str">
        <v>4741 SK</v>
      </c>
      <c r="G178" t="str">
        <v>Hoeven</v>
      </c>
      <c r="H178" t="str">
        <v>Halderberge</v>
      </c>
      <c r="I178" t="str">
        <v>Noord-Brabant</v>
      </c>
      <c r="J178" t="str">
        <v>Zuid-Nederland</v>
      </c>
      <c r="K178" t="str">
        <v>Te koop</v>
      </c>
      <c r="L178" t="str">
        <v>Onbekend</v>
      </c>
      <c r="M178" t="str">
        <v>Onbekend</v>
      </c>
      <c r="N178">
        <v>492500</v>
      </c>
      <c r="O178" t="str">
        <v>v.o.n.</v>
      </c>
      <c r="P178">
        <v>129</v>
      </c>
      <c r="Q178">
        <v>3818</v>
      </c>
      <c r="R178">
        <v>138</v>
      </c>
      <c r="S178" t="str">
        <v>A+++</v>
      </c>
      <c r="T178">
        <v>4</v>
      </c>
      <c r="U178">
        <v>3</v>
      </c>
      <c r="V178" t="str">
        <v>Grondgebonden</v>
      </c>
      <c r="W178" t="str">
        <v>Tussenwoning</v>
      </c>
      <c r="X178" t="str">
        <v>N.v.t.</v>
      </c>
      <c r="Y178" t="str">
        <v>Ja</v>
      </c>
      <c r="Z178" t="str">
        <v>openbare parkeerplaats</v>
      </c>
      <c r="AA178" t="str">
        <v>2026</v>
      </c>
      <c r="AB178" t="str">
        <v>Nee</v>
      </c>
      <c r="AC178" t="str">
        <v>NEE</v>
      </c>
      <c r="AD178" t="str">
        <v>JA</v>
      </c>
    </row>
    <row r="179">
      <c r="A179" t="str">
        <v>44423612</v>
      </c>
      <c r="B179" t="str">
        <v>https://www.funda.nl/detail/koop/hoeven/huis-eengezinswoning-xl-bouwnr-38/44423612/</v>
      </c>
      <c r="C179" t="str">
        <v>Bosvenne Hoeven | Fase 1 | de verkoop is gestart!</v>
      </c>
      <c r="D179" t="str">
        <v>Eengezinswoning XL</v>
      </c>
      <c r="E179" t="str">
        <v>- 38</v>
      </c>
      <c r="F179" t="str">
        <v>4741 SK</v>
      </c>
      <c r="G179" t="str">
        <v>Hoeven</v>
      </c>
      <c r="H179" t="str">
        <v>Halderberge</v>
      </c>
      <c r="I179" t="str">
        <v>Noord-Brabant</v>
      </c>
      <c r="J179" t="str">
        <v>Zuid-Nederland</v>
      </c>
      <c r="K179" t="str">
        <v>Te koop</v>
      </c>
      <c r="L179" t="str">
        <v>Onbekend</v>
      </c>
      <c r="M179" t="str">
        <v>Onbekend</v>
      </c>
      <c r="N179">
        <v>492500</v>
      </c>
      <c r="O179" t="str">
        <v>v.o.n.</v>
      </c>
      <c r="P179">
        <v>129</v>
      </c>
      <c r="Q179">
        <v>3818</v>
      </c>
      <c r="R179">
        <v>138</v>
      </c>
      <c r="S179" t="str">
        <v>A+++</v>
      </c>
      <c r="T179">
        <v>4</v>
      </c>
      <c r="U179">
        <v>3</v>
      </c>
      <c r="V179" t="str">
        <v>Grondgebonden</v>
      </c>
      <c r="W179" t="str">
        <v>Tussenwoning</v>
      </c>
      <c r="X179" t="str">
        <v>N.v.t.</v>
      </c>
      <c r="Y179" t="str">
        <v>Ja</v>
      </c>
      <c r="Z179" t="str">
        <v>openbare parkeerplaats</v>
      </c>
      <c r="AA179" t="str">
        <v>2026</v>
      </c>
      <c r="AB179" t="str">
        <v>Nee</v>
      </c>
      <c r="AC179" t="str">
        <v>NEE</v>
      </c>
      <c r="AD179" t="str">
        <v>JA</v>
      </c>
    </row>
    <row r="180">
      <c r="A180" t="str">
        <v>44423618</v>
      </c>
      <c r="B180" t="str">
        <v>https://www.funda.nl/detail/koop/hoeven/huis-eengezinswoning-xl-bouwnr-37/44423618/</v>
      </c>
      <c r="C180" t="str">
        <v>Bosvenne Hoeven | Fase 1 | de verkoop is gestart!</v>
      </c>
      <c r="D180" t="str">
        <v>Eengezinswoning XL</v>
      </c>
      <c r="E180" t="str">
        <v>- 37</v>
      </c>
      <c r="F180" t="str">
        <v>4741 SK</v>
      </c>
      <c r="G180" t="str">
        <v>Hoeven</v>
      </c>
      <c r="H180" t="str">
        <v>Halderberge</v>
      </c>
      <c r="I180" t="str">
        <v>Noord-Brabant</v>
      </c>
      <c r="J180" t="str">
        <v>Zuid-Nederland</v>
      </c>
      <c r="K180" t="str">
        <v>Te koop</v>
      </c>
      <c r="L180" t="str">
        <v>2026-07-09</v>
      </c>
      <c r="M180">
        <v>4</v>
      </c>
      <c r="N180">
        <v>492500</v>
      </c>
      <c r="O180" t="str">
        <v>v.o.n.</v>
      </c>
      <c r="P180">
        <v>129</v>
      </c>
      <c r="Q180">
        <v>3818</v>
      </c>
      <c r="R180">
        <v>138</v>
      </c>
      <c r="S180" t="str">
        <v>A+++</v>
      </c>
      <c r="T180">
        <v>4</v>
      </c>
      <c r="U180">
        <v>3</v>
      </c>
      <c r="V180" t="str">
        <v>Grondgebonden</v>
      </c>
      <c r="W180" t="str">
        <v>Tussenwoning</v>
      </c>
      <c r="X180" t="str">
        <v>N.v.t.</v>
      </c>
      <c r="Y180" t="str">
        <v>Ja</v>
      </c>
      <c r="Z180" t="str">
        <v>openbare parkeerplaats</v>
      </c>
      <c r="AA180" t="str">
        <v>2026</v>
      </c>
      <c r="AB180" t="str">
        <v>Nee</v>
      </c>
      <c r="AC180" t="str">
        <v>NEE</v>
      </c>
      <c r="AD180" t="str">
        <v>JA</v>
      </c>
    </row>
    <row r="181">
      <c r="A181" t="str">
        <v>44423608</v>
      </c>
      <c r="B181" t="str">
        <v>https://www.funda.nl/detail/koop/hoeven/huis-hoekwoning-xl-type-2-bouwnr-36/44423608/</v>
      </c>
      <c r="C181" t="str">
        <v>Bosvenne Hoeven | Fase 1 | de verkoop is gestart!</v>
      </c>
      <c r="D181" t="str">
        <v>Hoekwoning XL Type 2</v>
      </c>
      <c r="E181" t="str">
        <v>- 36</v>
      </c>
      <c r="F181" t="str">
        <v>4741 SK</v>
      </c>
      <c r="G181" t="str">
        <v>Hoeven</v>
      </c>
      <c r="H181" t="str">
        <v>Halderberge</v>
      </c>
      <c r="I181" t="str">
        <v>Noord-Brabant</v>
      </c>
      <c r="J181" t="str">
        <v>Zuid-Nederland</v>
      </c>
      <c r="K181" t="str">
        <v>Te koop</v>
      </c>
      <c r="L181" t="str">
        <v>Onbekend</v>
      </c>
      <c r="M181" t="str">
        <v>Onbekend</v>
      </c>
      <c r="N181">
        <v>570000</v>
      </c>
      <c r="O181" t="str">
        <v>v.o.n.</v>
      </c>
      <c r="P181">
        <v>142</v>
      </c>
      <c r="Q181">
        <v>4014</v>
      </c>
      <c r="R181">
        <v>208</v>
      </c>
      <c r="S181" t="str">
        <v>A+++</v>
      </c>
      <c r="T181">
        <v>4</v>
      </c>
      <c r="U181">
        <v>3</v>
      </c>
      <c r="V181" t="str">
        <v>Grondgebonden</v>
      </c>
      <c r="W181" t="str">
        <v>Hoekwoning</v>
      </c>
      <c r="X181" t="str">
        <v>N.v.t.</v>
      </c>
      <c r="Y181" t="str">
        <v>Ja</v>
      </c>
      <c r="Z181" t="str">
        <v>openbare parkeerplaats</v>
      </c>
      <c r="AA181" t="str">
        <v>2026</v>
      </c>
      <c r="AB181" t="str">
        <v>Nee</v>
      </c>
      <c r="AC181" t="str">
        <v>NEE</v>
      </c>
      <c r="AD181" t="str">
        <v>JA</v>
      </c>
    </row>
    <row r="182">
      <c r="A182" t="str">
        <v>44423643</v>
      </c>
      <c r="B182" t="str">
        <v>https://www.funda.nl/detail/koop/hoeven/appartement-appartement-type-d-bouwnr-a4/44423643/</v>
      </c>
      <c r="C182" t="str">
        <v>Bosvenne Hoeven | Fase 1 | de verkoop is gestart!</v>
      </c>
      <c r="D182" t="str">
        <v>Appartement type D</v>
      </c>
      <c r="E182" t="str">
        <v>- A4</v>
      </c>
      <c r="F182" t="str">
        <v>4741 SK</v>
      </c>
      <c r="G182" t="str">
        <v>Hoeven</v>
      </c>
      <c r="H182" t="str">
        <v>Halderberge</v>
      </c>
      <c r="I182" t="str">
        <v>Noord-Brabant</v>
      </c>
      <c r="J182" t="str">
        <v>Zuid-Nederland</v>
      </c>
      <c r="K182" t="str">
        <v>Te koop</v>
      </c>
      <c r="L182" t="str">
        <v>Onbekend</v>
      </c>
      <c r="M182" t="str">
        <v>Onbekend</v>
      </c>
      <c r="N182">
        <v>485000</v>
      </c>
      <c r="O182" t="str">
        <v>v.o.n.</v>
      </c>
      <c r="P182">
        <v>99</v>
      </c>
      <c r="Q182">
        <v>4899</v>
      </c>
      <c r="R182" t="str">
        <v>Onbekend</v>
      </c>
      <c r="S182" t="str">
        <v>A+++</v>
      </c>
      <c r="T182">
        <v>1</v>
      </c>
      <c r="U182" t="str">
        <v>Onbekend</v>
      </c>
      <c r="V182" t="str">
        <v>Appartement</v>
      </c>
      <c r="W182" t="str">
        <v>Appartement</v>
      </c>
      <c r="X182" t="str">
        <v>Appartement 75-100 m²</v>
      </c>
      <c r="Y182" t="str">
        <v>Ja</v>
      </c>
      <c r="Z182" t="str">
        <v>garage</v>
      </c>
      <c r="AA182" t="str">
        <v>2026</v>
      </c>
      <c r="AB182" t="str">
        <v>Nee</v>
      </c>
      <c r="AC182" t="str">
        <v>NEE</v>
      </c>
      <c r="AD182" t="str">
        <v>JA</v>
      </c>
    </row>
    <row r="183">
      <c r="A183" t="str">
        <v>44422291</v>
      </c>
      <c r="B183" t="str">
        <v>https://www.funda.nl/detail/koop/harmelen/huis-revita-bouwnr-7/44422291/</v>
      </c>
      <c r="C183" t="str">
        <v>Hof van Harmelen</v>
      </c>
      <c r="D183" t="str">
        <v>Revita</v>
      </c>
      <c r="E183" t="str">
        <v>7</v>
      </c>
      <c r="F183" t="str">
        <v>3481 GJ</v>
      </c>
      <c r="G183" t="str">
        <v>Harmelen</v>
      </c>
      <c r="H183" t="str">
        <v>Woerden</v>
      </c>
      <c r="I183" t="str">
        <v>Utrecht</v>
      </c>
      <c r="J183" t="str">
        <v>West-Nederland</v>
      </c>
      <c r="K183" t="str">
        <v>Te koop</v>
      </c>
      <c r="L183" t="str">
        <v>2026-07-08</v>
      </c>
      <c r="M183">
        <v>5</v>
      </c>
      <c r="N183">
        <v>369000</v>
      </c>
      <c r="O183" t="str">
        <v>v.o.n.</v>
      </c>
      <c r="P183">
        <v>69</v>
      </c>
      <c r="Q183">
        <v>5348</v>
      </c>
      <c r="R183">
        <v>87</v>
      </c>
      <c r="S183" t="str">
        <v>A+++</v>
      </c>
      <c r="T183">
        <v>1</v>
      </c>
      <c r="U183" t="str">
        <v>Onbekend</v>
      </c>
      <c r="V183" t="str">
        <v>Grondgebonden</v>
      </c>
      <c r="W183" t="str">
        <v>Tussenwoning</v>
      </c>
      <c r="X183" t="str">
        <v>N.v.t.</v>
      </c>
      <c r="Y183" t="str">
        <v>Ja</v>
      </c>
      <c r="Z183" t="str">
        <v>openbare parkeerplaats</v>
      </c>
      <c r="AA183" t="str">
        <v>2026</v>
      </c>
      <c r="AB183" t="str">
        <v>Nee</v>
      </c>
      <c r="AC183" t="str">
        <v>NEE</v>
      </c>
      <c r="AD183" t="str">
        <v>JA</v>
      </c>
    </row>
    <row r="184">
      <c r="A184" t="str">
        <v>44422290</v>
      </c>
      <c r="B184" t="str">
        <v>https://www.funda.nl/detail/koop/harmelen/huis-revita-bouwnr-5/44422290/</v>
      </c>
      <c r="C184" t="str">
        <v>Hof van Harmelen</v>
      </c>
      <c r="D184" t="str">
        <v>Revita</v>
      </c>
      <c r="E184" t="str">
        <v>5</v>
      </c>
      <c r="F184" t="str">
        <v>3481 GJ</v>
      </c>
      <c r="G184" t="str">
        <v>Harmelen</v>
      </c>
      <c r="H184" t="str">
        <v>Woerden</v>
      </c>
      <c r="I184" t="str">
        <v>Utrecht</v>
      </c>
      <c r="J184" t="str">
        <v>West-Nederland</v>
      </c>
      <c r="K184" t="str">
        <v>Te koop</v>
      </c>
      <c r="L184" t="str">
        <v>Onbekend</v>
      </c>
      <c r="M184" t="str">
        <v>Onbekend</v>
      </c>
      <c r="N184">
        <v>369000</v>
      </c>
      <c r="O184" t="str">
        <v>v.o.n.</v>
      </c>
      <c r="P184">
        <v>69</v>
      </c>
      <c r="Q184">
        <v>5348</v>
      </c>
      <c r="R184">
        <v>79</v>
      </c>
      <c r="S184" t="str">
        <v>A+++</v>
      </c>
      <c r="T184">
        <v>1</v>
      </c>
      <c r="U184" t="str">
        <v>Onbekend</v>
      </c>
      <c r="V184" t="str">
        <v>Grondgebonden</v>
      </c>
      <c r="W184" t="str">
        <v>Tussenwoning</v>
      </c>
      <c r="X184" t="str">
        <v>N.v.t.</v>
      </c>
      <c r="Y184" t="str">
        <v>Ja</v>
      </c>
      <c r="Z184" t="str">
        <v>openbare parkeerplaats</v>
      </c>
      <c r="AA184" t="str">
        <v>2026</v>
      </c>
      <c r="AB184" t="str">
        <v>Nee</v>
      </c>
      <c r="AC184" t="str">
        <v>NEE</v>
      </c>
      <c r="AD184" t="str">
        <v>JA</v>
      </c>
    </row>
    <row r="185">
      <c r="A185" t="str">
        <v>44422299</v>
      </c>
      <c r="B185" t="str">
        <v>https://www.funda.nl/detail/koop/harmelen/huis-revita-bouwnr-8/44422299/</v>
      </c>
      <c r="C185" t="str">
        <v>Hof van Harmelen</v>
      </c>
      <c r="D185" t="str">
        <v>Revita</v>
      </c>
      <c r="E185" t="str">
        <v>8</v>
      </c>
      <c r="F185" t="str">
        <v>3481 GJ</v>
      </c>
      <c r="G185" t="str">
        <v>Harmelen</v>
      </c>
      <c r="H185" t="str">
        <v>Woerden</v>
      </c>
      <c r="I185" t="str">
        <v>Utrecht</v>
      </c>
      <c r="J185" t="str">
        <v>West-Nederland</v>
      </c>
      <c r="K185" t="str">
        <v>Te koop</v>
      </c>
      <c r="L185" t="str">
        <v>Onbekend</v>
      </c>
      <c r="M185" t="str">
        <v>Onbekend</v>
      </c>
      <c r="N185">
        <v>397000</v>
      </c>
      <c r="O185" t="str">
        <v>v.o.n.</v>
      </c>
      <c r="P185">
        <v>69</v>
      </c>
      <c r="Q185">
        <v>5754</v>
      </c>
      <c r="R185">
        <v>127</v>
      </c>
      <c r="S185" t="str">
        <v>A+++</v>
      </c>
      <c r="T185">
        <v>1</v>
      </c>
      <c r="U185" t="str">
        <v>Onbekend</v>
      </c>
      <c r="V185" t="str">
        <v>Grondgebonden</v>
      </c>
      <c r="W185" t="str">
        <v>Hoekwoning</v>
      </c>
      <c r="X185" t="str">
        <v>N.v.t.</v>
      </c>
      <c r="Y185" t="str">
        <v>Ja</v>
      </c>
      <c r="Z185" t="str">
        <v>openbare parkeerplaats</v>
      </c>
      <c r="AA185" t="str">
        <v>2026</v>
      </c>
      <c r="AB185" t="str">
        <v>Nee</v>
      </c>
      <c r="AC185" t="str">
        <v>NEE</v>
      </c>
      <c r="AD185" t="str">
        <v>JA</v>
      </c>
    </row>
    <row r="186">
      <c r="A186" t="str">
        <v>44422298</v>
      </c>
      <c r="B186" t="str">
        <v>https://www.funda.nl/detail/koop/harmelen/huis-revita-bouwnr-6/44422298/</v>
      </c>
      <c r="C186" t="str">
        <v>Hof van Harmelen</v>
      </c>
      <c r="D186" t="str">
        <v>Revita</v>
      </c>
      <c r="E186" t="str">
        <v>6</v>
      </c>
      <c r="F186" t="str">
        <v>3481 GJ</v>
      </c>
      <c r="G186" t="str">
        <v>Harmelen</v>
      </c>
      <c r="H186" t="str">
        <v>Woerden</v>
      </c>
      <c r="I186" t="str">
        <v>Utrecht</v>
      </c>
      <c r="J186" t="str">
        <v>West-Nederland</v>
      </c>
      <c r="K186" t="str">
        <v>Te koop</v>
      </c>
      <c r="L186" t="str">
        <v>Onbekend</v>
      </c>
      <c r="M186" t="str">
        <v>Onbekend</v>
      </c>
      <c r="N186">
        <v>369000</v>
      </c>
      <c r="O186" t="str">
        <v>v.o.n.</v>
      </c>
      <c r="P186">
        <v>69</v>
      </c>
      <c r="Q186">
        <v>5348</v>
      </c>
      <c r="R186">
        <v>79</v>
      </c>
      <c r="S186" t="str">
        <v>A+++</v>
      </c>
      <c r="T186">
        <v>1</v>
      </c>
      <c r="U186" t="str">
        <v>Onbekend</v>
      </c>
      <c r="V186" t="str">
        <v>Grondgebonden</v>
      </c>
      <c r="W186" t="str">
        <v>Tussenwoning</v>
      </c>
      <c r="X186" t="str">
        <v>N.v.t.</v>
      </c>
      <c r="Y186" t="str">
        <v>Ja</v>
      </c>
      <c r="Z186" t="str">
        <v>openbare parkeerplaats</v>
      </c>
      <c r="AA186" t="str">
        <v>2026</v>
      </c>
      <c r="AB186" t="str">
        <v>Nee</v>
      </c>
      <c r="AC186" t="str">
        <v>NEE</v>
      </c>
      <c r="AD186" t="str">
        <v>JA</v>
      </c>
    </row>
    <row r="187">
      <c r="A187" t="str">
        <v>44422294</v>
      </c>
      <c r="B187" t="str">
        <v>https://www.funda.nl/detail/koop/harmelen/huis-revita-bouwnr-4/44422294/</v>
      </c>
      <c r="C187" t="str">
        <v>Hof van Harmelen</v>
      </c>
      <c r="D187" t="str">
        <v>Revita</v>
      </c>
      <c r="E187" t="str">
        <v>4</v>
      </c>
      <c r="F187" t="str">
        <v>3481 GJ</v>
      </c>
      <c r="G187" t="str">
        <v>Harmelen</v>
      </c>
      <c r="H187" t="str">
        <v>Woerden</v>
      </c>
      <c r="I187" t="str">
        <v>Utrecht</v>
      </c>
      <c r="J187" t="str">
        <v>West-Nederland</v>
      </c>
      <c r="K187" t="str">
        <v>Te koop</v>
      </c>
      <c r="L187" t="str">
        <v>Onbekend</v>
      </c>
      <c r="M187" t="str">
        <v>Onbekend</v>
      </c>
      <c r="N187">
        <v>369000</v>
      </c>
      <c r="O187" t="str">
        <v>v.o.n.</v>
      </c>
      <c r="P187">
        <v>69</v>
      </c>
      <c r="Q187">
        <v>5348</v>
      </c>
      <c r="R187">
        <v>79</v>
      </c>
      <c r="S187" t="str">
        <v>A+++</v>
      </c>
      <c r="T187">
        <v>1</v>
      </c>
      <c r="U187" t="str">
        <v>Onbekend</v>
      </c>
      <c r="V187" t="str">
        <v>Grondgebonden</v>
      </c>
      <c r="W187" t="str">
        <v>Tussenwoning</v>
      </c>
      <c r="X187" t="str">
        <v>N.v.t.</v>
      </c>
      <c r="Y187" t="str">
        <v>Ja</v>
      </c>
      <c r="Z187" t="str">
        <v>openbare parkeerplaats</v>
      </c>
      <c r="AA187" t="str">
        <v>2026</v>
      </c>
      <c r="AB187" t="str">
        <v>Nee</v>
      </c>
      <c r="AC187" t="str">
        <v>NEE</v>
      </c>
      <c r="AD187" t="str">
        <v>JA</v>
      </c>
    </row>
    <row r="188">
      <c r="A188" t="str">
        <v>44422293</v>
      </c>
      <c r="B188" t="str">
        <v>https://www.funda.nl/detail/koop/harmelen/huis-revita-bouwnr-1/44422293/</v>
      </c>
      <c r="C188" t="str">
        <v>Hof van Harmelen</v>
      </c>
      <c r="D188" t="str">
        <v>Revita</v>
      </c>
      <c r="E188" t="str">
        <v>1</v>
      </c>
      <c r="F188" t="str">
        <v>3481 GJ</v>
      </c>
      <c r="G188" t="str">
        <v>Harmelen</v>
      </c>
      <c r="H188" t="str">
        <v>Woerden</v>
      </c>
      <c r="I188" t="str">
        <v>Utrecht</v>
      </c>
      <c r="J188" t="str">
        <v>West-Nederland</v>
      </c>
      <c r="K188" t="str">
        <v>Te koop</v>
      </c>
      <c r="L188" t="str">
        <v>Onbekend</v>
      </c>
      <c r="M188" t="str">
        <v>Onbekend</v>
      </c>
      <c r="N188">
        <v>383000</v>
      </c>
      <c r="O188" t="str">
        <v>v.o.n.</v>
      </c>
      <c r="P188">
        <v>69</v>
      </c>
      <c r="Q188">
        <v>5551</v>
      </c>
      <c r="R188">
        <v>79</v>
      </c>
      <c r="S188" t="str">
        <v>A+++</v>
      </c>
      <c r="T188">
        <v>1</v>
      </c>
      <c r="U188" t="str">
        <v>Onbekend</v>
      </c>
      <c r="V188" t="str">
        <v>Grondgebonden</v>
      </c>
      <c r="W188" t="str">
        <v>Hoekwoning</v>
      </c>
      <c r="X188" t="str">
        <v>N.v.t.</v>
      </c>
      <c r="Y188" t="str">
        <v>Ja</v>
      </c>
      <c r="Z188" t="str">
        <v>openbare parkeerplaats</v>
      </c>
      <c r="AA188" t="str">
        <v>2026</v>
      </c>
      <c r="AB188" t="str">
        <v>Nee</v>
      </c>
      <c r="AC188" t="str">
        <v>NEE</v>
      </c>
      <c r="AD188" t="str">
        <v>JA</v>
      </c>
    </row>
    <row r="189">
      <c r="A189" t="str">
        <v>44422282</v>
      </c>
      <c r="B189" t="str">
        <v>https://www.funda.nl/detail/koop/harmelen/huis-revita-bouwnr-3/44422282/</v>
      </c>
      <c r="C189" t="str">
        <v>Hof van Harmelen</v>
      </c>
      <c r="D189" t="str">
        <v>Revita</v>
      </c>
      <c r="E189" t="str">
        <v>3</v>
      </c>
      <c r="F189" t="str">
        <v>3481 GJ</v>
      </c>
      <c r="G189" t="str">
        <v>Harmelen</v>
      </c>
      <c r="H189" t="str">
        <v>Woerden</v>
      </c>
      <c r="I189" t="str">
        <v>Utrecht</v>
      </c>
      <c r="J189" t="str">
        <v>West-Nederland</v>
      </c>
      <c r="K189" t="str">
        <v>Te koop</v>
      </c>
      <c r="L189" t="str">
        <v>Onbekend</v>
      </c>
      <c r="M189" t="str">
        <v>Onbekend</v>
      </c>
      <c r="N189">
        <v>369000</v>
      </c>
      <c r="O189" t="str">
        <v>v.o.n.</v>
      </c>
      <c r="P189">
        <v>69</v>
      </c>
      <c r="Q189">
        <v>5348</v>
      </c>
      <c r="R189">
        <v>81</v>
      </c>
      <c r="S189" t="str">
        <v>A+++</v>
      </c>
      <c r="T189">
        <v>1</v>
      </c>
      <c r="U189" t="str">
        <v>Onbekend</v>
      </c>
      <c r="V189" t="str">
        <v>Grondgebonden</v>
      </c>
      <c r="W189" t="str">
        <v>Tussenwoning</v>
      </c>
      <c r="X189" t="str">
        <v>N.v.t.</v>
      </c>
      <c r="Y189" t="str">
        <v>Ja</v>
      </c>
      <c r="Z189" t="str">
        <v>openbare parkeerplaats</v>
      </c>
      <c r="AA189" t="str">
        <v>2026</v>
      </c>
      <c r="AB189" t="str">
        <v>Nee</v>
      </c>
      <c r="AC189" t="str">
        <v>NEE</v>
      </c>
      <c r="AD189" t="str">
        <v>JA</v>
      </c>
    </row>
    <row r="190">
      <c r="A190" t="str">
        <v>44422281</v>
      </c>
      <c r="B190" t="str">
        <v>https://www.funda.nl/detail/koop/harmelen/huis-revita-bouwnr-2/44422281/</v>
      </c>
      <c r="C190" t="str">
        <v>Hof van Harmelen</v>
      </c>
      <c r="D190" t="str">
        <v>Revita</v>
      </c>
      <c r="E190" t="str">
        <v>2</v>
      </c>
      <c r="F190" t="str">
        <v>3481 GJ</v>
      </c>
      <c r="G190" t="str">
        <v>Harmelen</v>
      </c>
      <c r="H190" t="str">
        <v>Woerden</v>
      </c>
      <c r="I190" t="str">
        <v>Utrecht</v>
      </c>
      <c r="J190" t="str">
        <v>West-Nederland</v>
      </c>
      <c r="K190" t="str">
        <v>Te koop</v>
      </c>
      <c r="L190" t="str">
        <v>Onbekend</v>
      </c>
      <c r="M190" t="str">
        <v>Onbekend</v>
      </c>
      <c r="N190">
        <v>369000</v>
      </c>
      <c r="O190" t="str">
        <v>v.o.n.</v>
      </c>
      <c r="P190">
        <v>69</v>
      </c>
      <c r="Q190">
        <v>5348</v>
      </c>
      <c r="R190">
        <v>85</v>
      </c>
      <c r="S190" t="str">
        <v>A+++</v>
      </c>
      <c r="T190">
        <v>1</v>
      </c>
      <c r="U190" t="str">
        <v>Onbekend</v>
      </c>
      <c r="V190" t="str">
        <v>Grondgebonden</v>
      </c>
      <c r="W190" t="str">
        <v>Tussenwoning</v>
      </c>
      <c r="X190" t="str">
        <v>N.v.t.</v>
      </c>
      <c r="Y190" t="str">
        <v>Ja</v>
      </c>
      <c r="Z190" t="str">
        <v>openbare parkeerplaats</v>
      </c>
      <c r="AA190" t="str">
        <v>2026</v>
      </c>
      <c r="AB190" t="str">
        <v>Nee</v>
      </c>
      <c r="AC190" t="str">
        <v>NEE</v>
      </c>
      <c r="AD190" t="str">
        <v>JA</v>
      </c>
    </row>
    <row r="191">
      <c r="A191" t="str">
        <v>80886631</v>
      </c>
      <c r="B191" t="str">
        <v>https://www.funda.nl/detail/koop/schoonebeek/appartement-appartement-bouwnr-19/80886631/</v>
      </c>
      <c r="C191" t="str">
        <v>Wonen in de Wolfshoeve</v>
      </c>
      <c r="D191" t="str">
        <v>Appartement</v>
      </c>
      <c r="E191" t="str">
        <v>19</v>
      </c>
      <c r="F191" t="str">
        <v>7761 AL</v>
      </c>
      <c r="G191" t="str">
        <v>Schoonebeek</v>
      </c>
      <c r="H191" t="str">
        <v>Emmen</v>
      </c>
      <c r="I191" t="str">
        <v>Drenthe</v>
      </c>
      <c r="J191" t="str">
        <v>Noord-Nederland</v>
      </c>
      <c r="K191" t="str">
        <v>Te koop</v>
      </c>
      <c r="L191" t="str">
        <v>Onbekend</v>
      </c>
      <c r="M191" t="str">
        <v>Onbekend</v>
      </c>
      <c r="N191">
        <v>454000</v>
      </c>
      <c r="O191" t="str">
        <v>v.o.n.</v>
      </c>
      <c r="P191">
        <v>91</v>
      </c>
      <c r="Q191">
        <v>4989</v>
      </c>
      <c r="R191" t="str">
        <v>Onbekend</v>
      </c>
      <c r="S191" t="str">
        <v>A+++</v>
      </c>
      <c r="T191">
        <v>3</v>
      </c>
      <c r="U191">
        <v>2</v>
      </c>
      <c r="V191" t="str">
        <v>Appartement</v>
      </c>
      <c r="W191" t="str">
        <v>Appartement</v>
      </c>
      <c r="X191" t="str">
        <v>Appartement 75-100 m²</v>
      </c>
      <c r="Y191" t="str">
        <v>Ja</v>
      </c>
      <c r="Z191" t="str">
        <v>eigen parkeerplaats</v>
      </c>
      <c r="AA191" t="str">
        <v>2026</v>
      </c>
      <c r="AB191" t="str">
        <v>Nee</v>
      </c>
      <c r="AC191" t="str">
        <v>NEE</v>
      </c>
      <c r="AD191" t="str">
        <v>JA</v>
      </c>
    </row>
    <row r="192">
      <c r="A192" t="str">
        <v>44422924</v>
      </c>
      <c r="B192" t="str">
        <v>https://www.funda.nl/detail/koop/s-gravenzande/huis-vrijstaand-c3-bouwnr-24/44422924/</v>
      </c>
      <c r="C192" t="str">
        <v>Waelrijk Fase 4</v>
      </c>
      <c r="D192" t="str">
        <v>Vrijstaand - C3</v>
      </c>
      <c r="E192" t="str">
        <v>24</v>
      </c>
      <c r="F192" t="str">
        <v>2691 AA</v>
      </c>
      <c r="G192" t="str">
        <v>'s-Gravenzande</v>
      </c>
      <c r="H192" t="str">
        <v>Westland</v>
      </c>
      <c r="I192" t="str">
        <v>Zuid-Holland</v>
      </c>
      <c r="J192" t="str">
        <v>West-Nederland</v>
      </c>
      <c r="K192" t="str">
        <v>Te koop</v>
      </c>
      <c r="L192" t="str">
        <v>Onbekend</v>
      </c>
      <c r="M192" t="str">
        <v>Onbekend</v>
      </c>
      <c r="N192">
        <v>1165000</v>
      </c>
      <c r="O192" t="str">
        <v>v.o.n.</v>
      </c>
      <c r="P192">
        <v>193</v>
      </c>
      <c r="Q192">
        <v>6036</v>
      </c>
      <c r="R192">
        <v>412</v>
      </c>
      <c r="S192" t="str">
        <v>A+++</v>
      </c>
      <c r="T192">
        <v>6</v>
      </c>
      <c r="U192">
        <v>5</v>
      </c>
      <c r="V192" t="str">
        <v>Grondgebonden</v>
      </c>
      <c r="W192" t="str">
        <v>Vrijstaande woning</v>
      </c>
      <c r="X192" t="str">
        <v>N.v.t.</v>
      </c>
      <c r="Y192" t="str">
        <v>Ja</v>
      </c>
      <c r="Z192" t="str">
        <v>eigen parkeerplaats</v>
      </c>
      <c r="AA192" t="str">
        <v>2026</v>
      </c>
      <c r="AB192" t="str">
        <v>Nee</v>
      </c>
      <c r="AC192" t="str">
        <v>NEE</v>
      </c>
      <c r="AD192" t="str">
        <v>JA</v>
      </c>
    </row>
    <row r="193">
      <c r="A193" t="str">
        <v>44422912</v>
      </c>
      <c r="B193" t="str">
        <v>https://www.funda.nl/detail/koop/s-gravenzande/huis-vrijstaand-c2-bouwnr-23/44422912/</v>
      </c>
      <c r="C193" t="str">
        <v>Waelrijk Fase 4</v>
      </c>
      <c r="D193" t="str">
        <v>Vrijstaand - C2</v>
      </c>
      <c r="E193" t="str">
        <v>23</v>
      </c>
      <c r="F193" t="str">
        <v>2691 AA</v>
      </c>
      <c r="G193" t="str">
        <v>'s-Gravenzande</v>
      </c>
      <c r="H193" t="str">
        <v>Westland</v>
      </c>
      <c r="I193" t="str">
        <v>Zuid-Holland</v>
      </c>
      <c r="J193" t="str">
        <v>West-Nederland</v>
      </c>
      <c r="K193" t="str">
        <v>Te koop</v>
      </c>
      <c r="L193" t="str">
        <v>Onbekend</v>
      </c>
      <c r="M193" t="str">
        <v>Onbekend</v>
      </c>
      <c r="N193">
        <v>1165000</v>
      </c>
      <c r="O193" t="str">
        <v>v.o.n.</v>
      </c>
      <c r="P193">
        <v>190</v>
      </c>
      <c r="Q193">
        <v>6132</v>
      </c>
      <c r="R193">
        <v>421</v>
      </c>
      <c r="S193" t="str">
        <v>A+++</v>
      </c>
      <c r="T193">
        <v>6</v>
      </c>
      <c r="U193">
        <v>5</v>
      </c>
      <c r="V193" t="str">
        <v>Grondgebonden</v>
      </c>
      <c r="W193" t="str">
        <v>Vrijstaande woning</v>
      </c>
      <c r="X193" t="str">
        <v>N.v.t.</v>
      </c>
      <c r="Y193" t="str">
        <v>Ja</v>
      </c>
      <c r="Z193" t="str">
        <v>eigen parkeerplaats</v>
      </c>
      <c r="AA193" t="str">
        <v>2026</v>
      </c>
      <c r="AB193" t="str">
        <v>Nee</v>
      </c>
      <c r="AC193" t="str">
        <v>NEE</v>
      </c>
      <c r="AD193" t="str">
        <v>JA</v>
      </c>
    </row>
    <row r="194">
      <c r="A194" t="str">
        <v>44422915</v>
      </c>
      <c r="B194" t="str">
        <v>https://www.funda.nl/detail/koop/s-gravenzande/huis-vrijstaand-c3-bouwnr-22/44422915/</v>
      </c>
      <c r="C194" t="str">
        <v>Waelrijk Fase 4</v>
      </c>
      <c r="D194" t="str">
        <v>Vrijstaand - C3</v>
      </c>
      <c r="E194" t="str">
        <v>22</v>
      </c>
      <c r="F194" t="str">
        <v>2691 AA</v>
      </c>
      <c r="G194" t="str">
        <v>'s-Gravenzande</v>
      </c>
      <c r="H194" t="str">
        <v>Westland</v>
      </c>
      <c r="I194" t="str">
        <v>Zuid-Holland</v>
      </c>
      <c r="J194" t="str">
        <v>West-Nederland</v>
      </c>
      <c r="K194" t="str">
        <v>Te koop</v>
      </c>
      <c r="L194" t="str">
        <v>Onbekend</v>
      </c>
      <c r="M194" t="str">
        <v>Onbekend</v>
      </c>
      <c r="N194">
        <v>1165000</v>
      </c>
      <c r="O194" t="str">
        <v>v.o.n.</v>
      </c>
      <c r="P194">
        <v>193</v>
      </c>
      <c r="Q194">
        <v>6036</v>
      </c>
      <c r="R194">
        <v>412</v>
      </c>
      <c r="S194" t="str">
        <v>A+++</v>
      </c>
      <c r="T194">
        <v>6</v>
      </c>
      <c r="U194">
        <v>5</v>
      </c>
      <c r="V194" t="str">
        <v>Grondgebonden</v>
      </c>
      <c r="W194" t="str">
        <v>Vrijstaande woning</v>
      </c>
      <c r="X194" t="str">
        <v>N.v.t.</v>
      </c>
      <c r="Y194" t="str">
        <v>Ja</v>
      </c>
      <c r="Z194" t="str">
        <v>eigen parkeerplaats</v>
      </c>
      <c r="AA194" t="str">
        <v>2026</v>
      </c>
      <c r="AB194" t="str">
        <v>Nee</v>
      </c>
      <c r="AC194" t="str">
        <v>NEE</v>
      </c>
      <c r="AD194" t="str">
        <v>JA</v>
      </c>
    </row>
    <row r="195">
      <c r="A195" t="str">
        <v>44422910</v>
      </c>
      <c r="B195" t="str">
        <v>https://www.funda.nl/detail/koop/s-gravenzande/huis-twee-onder-een-kap-b3-bouwnr-1/44422910/</v>
      </c>
      <c r="C195" t="str">
        <v>Waelrijk Fase 4</v>
      </c>
      <c r="D195" t="str">
        <v>Twee-onder-een-kap - B3</v>
      </c>
      <c r="E195" t="str">
        <v>1</v>
      </c>
      <c r="F195" t="str">
        <v>2691 AA</v>
      </c>
      <c r="G195" t="str">
        <v>'s-Gravenzande</v>
      </c>
      <c r="H195" t="str">
        <v>Westland</v>
      </c>
      <c r="I195" t="str">
        <v>Zuid-Holland</v>
      </c>
      <c r="J195" t="str">
        <v>West-Nederland</v>
      </c>
      <c r="K195" t="str">
        <v>Te koop</v>
      </c>
      <c r="L195" t="str">
        <v>2026-07-08</v>
      </c>
      <c r="M195">
        <v>5</v>
      </c>
      <c r="N195">
        <v>965000</v>
      </c>
      <c r="O195" t="str">
        <v>v.o.n.</v>
      </c>
      <c r="P195">
        <v>181</v>
      </c>
      <c r="Q195">
        <v>5331</v>
      </c>
      <c r="R195">
        <v>349</v>
      </c>
      <c r="S195" t="str">
        <v>A+++</v>
      </c>
      <c r="T195">
        <v>6</v>
      </c>
      <c r="U195">
        <v>5</v>
      </c>
      <c r="V195" t="str">
        <v>Grondgebonden</v>
      </c>
      <c r="W195" t="str">
        <v>2-onder-1-kapwoning</v>
      </c>
      <c r="X195" t="str">
        <v>N.v.t.</v>
      </c>
      <c r="Y195" t="str">
        <v>Ja</v>
      </c>
      <c r="Z195" t="str">
        <v>eigen parkeerplaats</v>
      </c>
      <c r="AA195" t="str">
        <v>2026</v>
      </c>
      <c r="AB195" t="str">
        <v>Nee</v>
      </c>
      <c r="AC195" t="str">
        <v>NEE</v>
      </c>
      <c r="AD195" t="str">
        <v>JA</v>
      </c>
    </row>
    <row r="196">
      <c r="A196" t="str">
        <v>44422917</v>
      </c>
      <c r="B196" t="str">
        <v>https://www.funda.nl/detail/koop/s-gravenzande/huis-twee-onder-een-kap-b2-bouwnr-4/44422917/</v>
      </c>
      <c r="C196" t="str">
        <v>Waelrijk Fase 4</v>
      </c>
      <c r="D196" t="str">
        <v>Twee-onder-een-kap - B2</v>
      </c>
      <c r="E196" t="str">
        <v>4</v>
      </c>
      <c r="F196" t="str">
        <v>2691 AA</v>
      </c>
      <c r="G196" t="str">
        <v>'s-Gravenzande</v>
      </c>
      <c r="H196" t="str">
        <v>Westland</v>
      </c>
      <c r="I196" t="str">
        <v>Zuid-Holland</v>
      </c>
      <c r="J196" t="str">
        <v>West-Nederland</v>
      </c>
      <c r="K196" t="str">
        <v>Te koop</v>
      </c>
      <c r="L196" t="str">
        <v>Onbekend</v>
      </c>
      <c r="M196" t="str">
        <v>Onbekend</v>
      </c>
      <c r="N196">
        <v>885000</v>
      </c>
      <c r="O196" t="str">
        <v>v.o.n.</v>
      </c>
      <c r="P196">
        <v>171</v>
      </c>
      <c r="Q196">
        <v>5175</v>
      </c>
      <c r="R196">
        <v>328</v>
      </c>
      <c r="S196" t="str">
        <v>A+++</v>
      </c>
      <c r="T196">
        <v>6</v>
      </c>
      <c r="U196">
        <v>5</v>
      </c>
      <c r="V196" t="str">
        <v>Grondgebonden</v>
      </c>
      <c r="W196" t="str">
        <v>2-onder-1-kapwoning</v>
      </c>
      <c r="X196" t="str">
        <v>N.v.t.</v>
      </c>
      <c r="Y196" t="str">
        <v>Ja</v>
      </c>
      <c r="Z196" t="str">
        <v>eigen parkeerplaats</v>
      </c>
      <c r="AA196" t="str">
        <v>2026</v>
      </c>
      <c r="AB196" t="str">
        <v>Nee</v>
      </c>
      <c r="AC196" t="str">
        <v>NEE</v>
      </c>
      <c r="AD196" t="str">
        <v>JA</v>
      </c>
    </row>
    <row r="197">
      <c r="A197" t="str">
        <v>44422916</v>
      </c>
      <c r="B197" t="str">
        <v>https://www.funda.nl/detail/koop/s-gravenzande/huis-twee-onder-een-kap-b4-bouwnr-2/44422916/</v>
      </c>
      <c r="C197" t="str">
        <v>Waelrijk Fase 4</v>
      </c>
      <c r="D197" t="str">
        <v>Twee-onder-een-kap - B4</v>
      </c>
      <c r="E197" t="str">
        <v>2</v>
      </c>
      <c r="F197" t="str">
        <v>2691 AA</v>
      </c>
      <c r="G197" t="str">
        <v>'s-Gravenzande</v>
      </c>
      <c r="H197" t="str">
        <v>Westland</v>
      </c>
      <c r="I197" t="str">
        <v>Zuid-Holland</v>
      </c>
      <c r="J197" t="str">
        <v>West-Nederland</v>
      </c>
      <c r="K197" t="str">
        <v>Te koop</v>
      </c>
      <c r="L197" t="str">
        <v>Onbekend</v>
      </c>
      <c r="M197" t="str">
        <v>Onbekend</v>
      </c>
      <c r="N197">
        <v>865000</v>
      </c>
      <c r="O197" t="str">
        <v>v.o.n.</v>
      </c>
      <c r="P197">
        <v>171</v>
      </c>
      <c r="Q197">
        <v>5058</v>
      </c>
      <c r="R197">
        <v>243</v>
      </c>
      <c r="S197" t="str">
        <v>A+++</v>
      </c>
      <c r="T197">
        <v>6</v>
      </c>
      <c r="U197">
        <v>5</v>
      </c>
      <c r="V197" t="str">
        <v>Grondgebonden</v>
      </c>
      <c r="W197" t="str">
        <v>2-onder-1-kapwoning</v>
      </c>
      <c r="X197" t="str">
        <v>N.v.t.</v>
      </c>
      <c r="Y197" t="str">
        <v>Ja</v>
      </c>
      <c r="Z197" t="str">
        <v>eigen parkeerplaats</v>
      </c>
      <c r="AA197" t="str">
        <v>2026</v>
      </c>
      <c r="AB197" t="str">
        <v>Nee</v>
      </c>
      <c r="AC197" t="str">
        <v>NEE</v>
      </c>
      <c r="AD197" t="str">
        <v>JA</v>
      </c>
    </row>
    <row r="198">
      <c r="A198" t="str">
        <v>44422902</v>
      </c>
      <c r="B198" t="str">
        <v>https://www.funda.nl/detail/koop/s-gravenzande/huis-twee-onder-een-kap-b1-bouwnr-3/44422902/</v>
      </c>
      <c r="C198" t="str">
        <v>Waelrijk Fase 4</v>
      </c>
      <c r="D198" t="str">
        <v>Twee-onder-een-kap - B1</v>
      </c>
      <c r="E198" t="str">
        <v>3</v>
      </c>
      <c r="F198" t="str">
        <v>2691 AA</v>
      </c>
      <c r="G198" t="str">
        <v>'s-Gravenzande</v>
      </c>
      <c r="H198" t="str">
        <v>Westland</v>
      </c>
      <c r="I198" t="str">
        <v>Zuid-Holland</v>
      </c>
      <c r="J198" t="str">
        <v>West-Nederland</v>
      </c>
      <c r="K198" t="str">
        <v>Te koop</v>
      </c>
      <c r="L198" t="str">
        <v>Onbekend</v>
      </c>
      <c r="M198" t="str">
        <v>Onbekend</v>
      </c>
      <c r="N198">
        <v>895000</v>
      </c>
      <c r="O198" t="str">
        <v>v.o.n.</v>
      </c>
      <c r="P198">
        <v>181</v>
      </c>
      <c r="Q198">
        <v>4945</v>
      </c>
      <c r="R198">
        <v>279</v>
      </c>
      <c r="S198" t="str">
        <v>A+++</v>
      </c>
      <c r="T198">
        <v>6</v>
      </c>
      <c r="U198">
        <v>5</v>
      </c>
      <c r="V198" t="str">
        <v>Grondgebonden</v>
      </c>
      <c r="W198" t="str">
        <v>2-onder-1-kapwoning</v>
      </c>
      <c r="X198" t="str">
        <v>N.v.t.</v>
      </c>
      <c r="Y198" t="str">
        <v>Ja</v>
      </c>
      <c r="Z198" t="str">
        <v>eigen parkeerplaats</v>
      </c>
      <c r="AA198" t="str">
        <v>2026</v>
      </c>
      <c r="AB198" t="str">
        <v>Nee</v>
      </c>
      <c r="AC198" t="str">
        <v>NEE</v>
      </c>
      <c r="AD198" t="str">
        <v>JA</v>
      </c>
    </row>
    <row r="199">
      <c r="A199" t="str">
        <v>44422965</v>
      </c>
      <c r="B199" t="str">
        <v>https://www.funda.nl/detail/koop/groenlo/huis-koetsier-2-1-kap-bouwnr-13/44422965/</v>
      </c>
      <c r="C199" t="str">
        <v>Brouwhuizen Fase II</v>
      </c>
      <c r="D199" t="str">
        <v>Koetsier - 2/1 kap</v>
      </c>
      <c r="E199" t="str">
        <v>13</v>
      </c>
      <c r="F199" t="str">
        <v>7141</v>
      </c>
      <c r="G199" t="str">
        <v>Groenlo</v>
      </c>
      <c r="H199" t="str">
        <v>Oost Gelre</v>
      </c>
      <c r="I199" t="str">
        <v>Gelderland</v>
      </c>
      <c r="J199" t="str">
        <v>Oost-Nederland</v>
      </c>
      <c r="K199" t="str">
        <v>Te koop</v>
      </c>
      <c r="L199" t="str">
        <v>Onbekend</v>
      </c>
      <c r="M199" t="str">
        <v>Onbekend</v>
      </c>
      <c r="N199">
        <v>545750</v>
      </c>
      <c r="O199" t="str">
        <v>v.o.n.</v>
      </c>
      <c r="P199">
        <v>137</v>
      </c>
      <c r="Q199">
        <v>3984</v>
      </c>
      <c r="R199">
        <v>343</v>
      </c>
      <c r="S199" t="str">
        <v>A+++</v>
      </c>
      <c r="T199">
        <v>4</v>
      </c>
      <c r="U199">
        <v>3</v>
      </c>
      <c r="V199" t="str">
        <v>Grondgebonden</v>
      </c>
      <c r="W199" t="str">
        <v>2-onder-1-kapwoning</v>
      </c>
      <c r="X199" t="str">
        <v>N.v.t.</v>
      </c>
      <c r="Y199" t="str">
        <v>Ja</v>
      </c>
      <c r="Z199" t="str">
        <v>eigen parkeerplaats</v>
      </c>
      <c r="AA199" t="str">
        <v>Na 2020</v>
      </c>
      <c r="AB199" t="str">
        <v>Nee</v>
      </c>
      <c r="AC199" t="str">
        <v>NEE</v>
      </c>
      <c r="AD199" t="str">
        <v>JA</v>
      </c>
    </row>
    <row r="200">
      <c r="A200" t="str">
        <v>44422851</v>
      </c>
      <c r="B200" t="str">
        <v>https://www.funda.nl/detail/koop/groenlo/huis-koetsier-2-1-kap-bouwnr-14/44422851/</v>
      </c>
      <c r="C200" t="str">
        <v>Brouwhuizen Fase II</v>
      </c>
      <c r="D200" t="str">
        <v>Koetsier - 2/1 kap</v>
      </c>
      <c r="E200" t="str">
        <v>14</v>
      </c>
      <c r="F200" t="str">
        <v>7141</v>
      </c>
      <c r="G200" t="str">
        <v>Groenlo</v>
      </c>
      <c r="H200" t="str">
        <v>Oost Gelre</v>
      </c>
      <c r="I200" t="str">
        <v>Gelderland</v>
      </c>
      <c r="J200" t="str">
        <v>Oost-Nederland</v>
      </c>
      <c r="K200" t="str">
        <v>Te koop</v>
      </c>
      <c r="L200" t="str">
        <v>Onbekend</v>
      </c>
      <c r="M200" t="str">
        <v>Onbekend</v>
      </c>
      <c r="N200">
        <v>560750</v>
      </c>
      <c r="O200" t="str">
        <v>v.o.n.</v>
      </c>
      <c r="P200">
        <v>137</v>
      </c>
      <c r="Q200">
        <v>4093</v>
      </c>
      <c r="R200">
        <v>374</v>
      </c>
      <c r="S200" t="str">
        <v>A+++</v>
      </c>
      <c r="T200">
        <v>4</v>
      </c>
      <c r="U200">
        <v>3</v>
      </c>
      <c r="V200" t="str">
        <v>Grondgebonden</v>
      </c>
      <c r="W200" t="str">
        <v>2-onder-1-kapwoning</v>
      </c>
      <c r="X200" t="str">
        <v>N.v.t.</v>
      </c>
      <c r="Y200" t="str">
        <v>Ja</v>
      </c>
      <c r="Z200" t="str">
        <v>eigen parkeerplaats</v>
      </c>
      <c r="AA200" t="str">
        <v>Na 2020</v>
      </c>
      <c r="AB200" t="str">
        <v>Nee</v>
      </c>
      <c r="AC200" t="str">
        <v>NEE</v>
      </c>
      <c r="AD200" t="str">
        <v>JA</v>
      </c>
    </row>
    <row r="201">
      <c r="A201" t="str">
        <v>44422630</v>
      </c>
      <c r="B201" t="str">
        <v>https://www.funda.nl/detail/koop/brielle/huis-buitenplaats-brielle-fase-1b-bouwnummer-2-bouwnr-227/44422630/</v>
      </c>
      <c r="C201" t="str">
        <v>Buitenplaats Brielle fase 1B</v>
      </c>
      <c r="D201" t="str">
        <v>Buitenplaats Brielle fase 1B - Bouwnummer 2</v>
      </c>
      <c r="E201" t="str">
        <v>227</v>
      </c>
      <c r="F201" t="str">
        <v>3232 GA</v>
      </c>
      <c r="G201" t="str">
        <v>Brielle</v>
      </c>
      <c r="H201" t="str">
        <v>Voorne aan Zee</v>
      </c>
      <c r="I201" t="str">
        <v>Zuid-Holland</v>
      </c>
      <c r="J201" t="str">
        <v>West-Nederland</v>
      </c>
      <c r="K201" t="str">
        <v>Te koop</v>
      </c>
      <c r="L201" t="str">
        <v>Onbekend</v>
      </c>
      <c r="M201" t="str">
        <v>Onbekend</v>
      </c>
      <c r="N201">
        <v>549500</v>
      </c>
      <c r="O201" t="str">
        <v>v.o.n.</v>
      </c>
      <c r="P201">
        <v>132</v>
      </c>
      <c r="Q201">
        <v>4163</v>
      </c>
      <c r="R201" t="str">
        <v>Onbekend</v>
      </c>
      <c r="S201" t="str">
        <v>A++++</v>
      </c>
      <c r="T201">
        <v>5</v>
      </c>
      <c r="U201">
        <v>3</v>
      </c>
      <c r="V201" t="str">
        <v>Grondgebonden</v>
      </c>
      <c r="W201" t="str">
        <v>Tussenwoning</v>
      </c>
      <c r="X201" t="str">
        <v>N.v.t.</v>
      </c>
      <c r="Y201" t="str">
        <v>Ja</v>
      </c>
      <c r="Z201" t="str">
        <v>openbare parkeerplaats</v>
      </c>
      <c r="AA201" t="str">
        <v>Na 2020</v>
      </c>
      <c r="AB201" t="str">
        <v>Nee</v>
      </c>
      <c r="AC201" t="str">
        <v>NEE</v>
      </c>
      <c r="AD201" t="str">
        <v>JA</v>
      </c>
    </row>
    <row r="202">
      <c r="A202" t="str">
        <v>44422639</v>
      </c>
      <c r="B202" t="str">
        <v>https://www.funda.nl/detail/koop/brielle/huis-buitenplaats-brielle-fase-1b-bouwnummer-2-bouwnr-228/44422639/</v>
      </c>
      <c r="C202" t="str">
        <v>Buitenplaats Brielle fase 1B</v>
      </c>
      <c r="D202" t="str">
        <v>Buitenplaats Brielle fase 1B - Bouwnummer 2</v>
      </c>
      <c r="E202" t="str">
        <v>228</v>
      </c>
      <c r="F202" t="str">
        <v>3232 GA</v>
      </c>
      <c r="G202" t="str">
        <v>Brielle</v>
      </c>
      <c r="H202" t="str">
        <v>Voorne aan Zee</v>
      </c>
      <c r="I202" t="str">
        <v>Zuid-Holland</v>
      </c>
      <c r="J202" t="str">
        <v>West-Nederland</v>
      </c>
      <c r="K202" t="str">
        <v>Te koop</v>
      </c>
      <c r="L202" t="str">
        <v>Onbekend</v>
      </c>
      <c r="M202" t="str">
        <v>Onbekend</v>
      </c>
      <c r="N202">
        <v>521500</v>
      </c>
      <c r="O202" t="str">
        <v>v.o.n.</v>
      </c>
      <c r="P202">
        <v>128</v>
      </c>
      <c r="Q202">
        <v>4074</v>
      </c>
      <c r="R202" t="str">
        <v>Onbekend</v>
      </c>
      <c r="S202" t="str">
        <v>A++++</v>
      </c>
      <c r="T202">
        <v>5</v>
      </c>
      <c r="U202">
        <v>3</v>
      </c>
      <c r="V202" t="str">
        <v>Grondgebonden</v>
      </c>
      <c r="W202" t="str">
        <v>Tussenwoning</v>
      </c>
      <c r="X202" t="str">
        <v>N.v.t.</v>
      </c>
      <c r="Y202" t="str">
        <v>Ja</v>
      </c>
      <c r="Z202" t="str">
        <v>openbare parkeerplaats</v>
      </c>
      <c r="AA202" t="str">
        <v>Na 2020</v>
      </c>
      <c r="AB202" t="str">
        <v>Nee</v>
      </c>
      <c r="AC202" t="str">
        <v>NEE</v>
      </c>
      <c r="AD202" t="str">
        <v>JA</v>
      </c>
    </row>
    <row r="203">
      <c r="A203" t="str">
        <v>44422638</v>
      </c>
      <c r="B203" t="str">
        <v>https://www.funda.nl/detail/koop/brielle/huis-buitenplaats-brielle-fase-1b-bouwnummer-0-bouwnr-067/44422638/</v>
      </c>
      <c r="C203" t="str">
        <v>Buitenplaats Brielle fase 1B</v>
      </c>
      <c r="D203" t="str">
        <v>Buitenplaats Brielle fase 1B - Bouwnummer 0</v>
      </c>
      <c r="E203" t="str">
        <v>067</v>
      </c>
      <c r="F203" t="str">
        <v>3232 GA</v>
      </c>
      <c r="G203" t="str">
        <v>Brielle</v>
      </c>
      <c r="H203" t="str">
        <v>Voorne aan Zee</v>
      </c>
      <c r="I203" t="str">
        <v>Zuid-Holland</v>
      </c>
      <c r="J203" t="str">
        <v>West-Nederland</v>
      </c>
      <c r="K203" t="str">
        <v>Te koop</v>
      </c>
      <c r="L203" t="str">
        <v>Onbekend</v>
      </c>
      <c r="M203" t="str">
        <v>Onbekend</v>
      </c>
      <c r="N203">
        <v>524000</v>
      </c>
      <c r="O203" t="str">
        <v>v.o.n.</v>
      </c>
      <c r="P203">
        <v>128</v>
      </c>
      <c r="Q203">
        <v>4094</v>
      </c>
      <c r="R203" t="str">
        <v>Onbekend</v>
      </c>
      <c r="S203" t="str">
        <v>A++++</v>
      </c>
      <c r="T203">
        <v>5</v>
      </c>
      <c r="U203">
        <v>3</v>
      </c>
      <c r="V203" t="str">
        <v>Grondgebonden</v>
      </c>
      <c r="W203" t="str">
        <v>Tussenwoning</v>
      </c>
      <c r="X203" t="str">
        <v>N.v.t.</v>
      </c>
      <c r="Y203" t="str">
        <v>Ja</v>
      </c>
      <c r="Z203" t="str">
        <v>openbare parkeerplaats</v>
      </c>
      <c r="AA203" t="str">
        <v>Na 2020</v>
      </c>
      <c r="AB203" t="str">
        <v>Nee</v>
      </c>
      <c r="AC203" t="str">
        <v>NEE</v>
      </c>
      <c r="AD203" t="str">
        <v>JA</v>
      </c>
    </row>
    <row r="204">
      <c r="A204" t="str">
        <v>44422637</v>
      </c>
      <c r="B204" t="str">
        <v>https://www.funda.nl/detail/koop/brielle/huis-buitenplaats-brielle-fase-1b-bouwnummer-0-bouwnr-071/44422637/</v>
      </c>
      <c r="C204" t="str">
        <v>Buitenplaats Brielle fase 1B</v>
      </c>
      <c r="D204" t="str">
        <v>Buitenplaats Brielle fase 1B - Bouwnummer 0</v>
      </c>
      <c r="E204" t="str">
        <v>071</v>
      </c>
      <c r="F204" t="str">
        <v>3232 GA</v>
      </c>
      <c r="G204" t="str">
        <v>Brielle</v>
      </c>
      <c r="H204" t="str">
        <v>Voorne aan Zee</v>
      </c>
      <c r="I204" t="str">
        <v>Zuid-Holland</v>
      </c>
      <c r="J204" t="str">
        <v>West-Nederland</v>
      </c>
      <c r="K204" t="str">
        <v>Te koop</v>
      </c>
      <c r="L204" t="str">
        <v>Onbekend</v>
      </c>
      <c r="M204" t="str">
        <v>Onbekend</v>
      </c>
      <c r="N204">
        <v>529000</v>
      </c>
      <c r="O204" t="str">
        <v>v.o.n.</v>
      </c>
      <c r="P204">
        <v>130</v>
      </c>
      <c r="Q204">
        <v>4069</v>
      </c>
      <c r="R204" t="str">
        <v>Onbekend</v>
      </c>
      <c r="S204" t="str">
        <v>A++++</v>
      </c>
      <c r="T204">
        <v>5</v>
      </c>
      <c r="U204">
        <v>3</v>
      </c>
      <c r="V204" t="str">
        <v>Grondgebonden</v>
      </c>
      <c r="W204" t="str">
        <v>Tussenwoning</v>
      </c>
      <c r="X204" t="str">
        <v>N.v.t.</v>
      </c>
      <c r="Y204" t="str">
        <v>Ja</v>
      </c>
      <c r="Z204" t="str">
        <v>openbare parkeerplaats</v>
      </c>
      <c r="AA204" t="str">
        <v>Na 2020</v>
      </c>
      <c r="AB204" t="str">
        <v>Nee</v>
      </c>
      <c r="AC204" t="str">
        <v>NEE</v>
      </c>
      <c r="AD204" t="str">
        <v>JA</v>
      </c>
    </row>
    <row r="205">
      <c r="A205" t="str">
        <v>44422636</v>
      </c>
      <c r="B205" t="str">
        <v>https://www.funda.nl/detail/koop/brielle/huis-buitenplaats-brielle-fase-1b-bouwnummer-0-bouwnr-072/44422636/</v>
      </c>
      <c r="C205" t="str">
        <v>Buitenplaats Brielle fase 1B</v>
      </c>
      <c r="D205" t="str">
        <v>Buitenplaats Brielle fase 1B - Bouwnummer 0</v>
      </c>
      <c r="E205" t="str">
        <v>072</v>
      </c>
      <c r="F205" t="str">
        <v>3232 GA</v>
      </c>
      <c r="G205" t="str">
        <v>Brielle</v>
      </c>
      <c r="H205" t="str">
        <v>Voorne aan Zee</v>
      </c>
      <c r="I205" t="str">
        <v>Zuid-Holland</v>
      </c>
      <c r="J205" t="str">
        <v>West-Nederland</v>
      </c>
      <c r="K205" t="str">
        <v>Te koop</v>
      </c>
      <c r="L205" t="str">
        <v>Onbekend</v>
      </c>
      <c r="M205" t="str">
        <v>Onbekend</v>
      </c>
      <c r="N205">
        <v>555000</v>
      </c>
      <c r="O205" t="str">
        <v>v.o.n.</v>
      </c>
      <c r="P205">
        <v>128</v>
      </c>
      <c r="Q205">
        <v>4336</v>
      </c>
      <c r="R205" t="str">
        <v>Onbekend</v>
      </c>
      <c r="S205" t="str">
        <v>A++++</v>
      </c>
      <c r="T205">
        <v>5</v>
      </c>
      <c r="U205">
        <v>3</v>
      </c>
      <c r="V205" t="str">
        <v>Grondgebonden</v>
      </c>
      <c r="W205" t="str">
        <v>Hoekwoning</v>
      </c>
      <c r="X205" t="str">
        <v>N.v.t.</v>
      </c>
      <c r="Y205" t="str">
        <v>Ja</v>
      </c>
      <c r="Z205" t="str">
        <v>openbare parkeerplaats</v>
      </c>
      <c r="AA205" t="str">
        <v>Na 2020</v>
      </c>
      <c r="AB205" t="str">
        <v>Nee</v>
      </c>
      <c r="AC205" t="str">
        <v>NEE</v>
      </c>
      <c r="AD205" t="str">
        <v>JA</v>
      </c>
    </row>
    <row r="206">
      <c r="A206" t="str">
        <v>44422635</v>
      </c>
      <c r="B206" t="str">
        <v>https://www.funda.nl/detail/koop/brielle/huis-buitenplaats-brielle-fase-1b-bouwnummer-0-bouwnr-086/44422635/</v>
      </c>
      <c r="C206" t="str">
        <v>Buitenplaats Brielle fase 1B</v>
      </c>
      <c r="D206" t="str">
        <v>Buitenplaats Brielle fase 1B - Bouwnummer 0</v>
      </c>
      <c r="E206" t="str">
        <v>086</v>
      </c>
      <c r="F206" t="str">
        <v>3232 GA</v>
      </c>
      <c r="G206" t="str">
        <v>Brielle</v>
      </c>
      <c r="H206" t="str">
        <v>Voorne aan Zee</v>
      </c>
      <c r="I206" t="str">
        <v>Zuid-Holland</v>
      </c>
      <c r="J206" t="str">
        <v>West-Nederland</v>
      </c>
      <c r="K206" t="str">
        <v>Te koop</v>
      </c>
      <c r="L206" t="str">
        <v>Onbekend</v>
      </c>
      <c r="M206" t="str">
        <v>Onbekend</v>
      </c>
      <c r="N206">
        <v>577500</v>
      </c>
      <c r="O206" t="str">
        <v>v.o.n.</v>
      </c>
      <c r="P206">
        <v>145</v>
      </c>
      <c r="Q206">
        <v>3983</v>
      </c>
      <c r="R206" t="str">
        <v>Onbekend</v>
      </c>
      <c r="S206" t="str">
        <v>A++++</v>
      </c>
      <c r="T206">
        <v>6</v>
      </c>
      <c r="U206">
        <v>5</v>
      </c>
      <c r="V206" t="str">
        <v>Grondgebonden</v>
      </c>
      <c r="W206" t="str">
        <v>Tussenwoning</v>
      </c>
      <c r="X206" t="str">
        <v>N.v.t.</v>
      </c>
      <c r="Y206" t="str">
        <v>Ja</v>
      </c>
      <c r="Z206" t="str">
        <v>openbare parkeerplaats</v>
      </c>
      <c r="AA206" t="str">
        <v>Na 2020</v>
      </c>
      <c r="AB206" t="str">
        <v>Nee</v>
      </c>
      <c r="AC206" t="str">
        <v>NEE</v>
      </c>
      <c r="AD206" t="str">
        <v>JA</v>
      </c>
    </row>
    <row r="207">
      <c r="A207" t="str">
        <v>44422634</v>
      </c>
      <c r="B207" t="str">
        <v>https://www.funda.nl/detail/koop/brielle/huis-buitenplaats-brielle-fase-1b-bouwnummer-0-bouwnr-087/44422634/</v>
      </c>
      <c r="C207" t="str">
        <v>Buitenplaats Brielle fase 1B</v>
      </c>
      <c r="D207" t="str">
        <v>Buitenplaats Brielle fase 1B - Bouwnummer 0</v>
      </c>
      <c r="E207" t="str">
        <v>087</v>
      </c>
      <c r="F207" t="str">
        <v>3232 GA</v>
      </c>
      <c r="G207" t="str">
        <v>Brielle</v>
      </c>
      <c r="H207" t="str">
        <v>Voorne aan Zee</v>
      </c>
      <c r="I207" t="str">
        <v>Zuid-Holland</v>
      </c>
      <c r="J207" t="str">
        <v>West-Nederland</v>
      </c>
      <c r="K207" t="str">
        <v>Te koop</v>
      </c>
      <c r="L207" t="str">
        <v>Onbekend</v>
      </c>
      <c r="M207" t="str">
        <v>Onbekend</v>
      </c>
      <c r="N207">
        <v>560000</v>
      </c>
      <c r="O207" t="str">
        <v>v.o.n.</v>
      </c>
      <c r="P207">
        <v>141</v>
      </c>
      <c r="Q207">
        <v>3972</v>
      </c>
      <c r="R207" t="str">
        <v>Onbekend</v>
      </c>
      <c r="S207" t="str">
        <v>A++++</v>
      </c>
      <c r="T207">
        <v>5</v>
      </c>
      <c r="U207">
        <v>4</v>
      </c>
      <c r="V207" t="str">
        <v>Grondgebonden</v>
      </c>
      <c r="W207" t="str">
        <v>Tussenwoning</v>
      </c>
      <c r="X207" t="str">
        <v>N.v.t.</v>
      </c>
      <c r="Y207" t="str">
        <v>Ja</v>
      </c>
      <c r="Z207" t="str">
        <v>openbare parkeerplaats</v>
      </c>
      <c r="AA207" t="str">
        <v>Na 2020</v>
      </c>
      <c r="AB207" t="str">
        <v>Nee</v>
      </c>
      <c r="AC207" t="str">
        <v>NEE</v>
      </c>
      <c r="AD207" t="str">
        <v>JA</v>
      </c>
    </row>
    <row r="208">
      <c r="A208" t="str">
        <v>44422633</v>
      </c>
      <c r="B208" t="str">
        <v>https://www.funda.nl/detail/koop/brielle/huis-buitenplaats-brielle-fase-1b-bouwnummer-2-bouwnr-226/44422633/</v>
      </c>
      <c r="C208" t="str">
        <v>Buitenplaats Brielle fase 1B</v>
      </c>
      <c r="D208" t="str">
        <v>Buitenplaats Brielle fase 1B - Bouwnummer 2</v>
      </c>
      <c r="E208" t="str">
        <v>226</v>
      </c>
      <c r="F208" t="str">
        <v>3232 GA</v>
      </c>
      <c r="G208" t="str">
        <v>Brielle</v>
      </c>
      <c r="H208" t="str">
        <v>Voorne aan Zee</v>
      </c>
      <c r="I208" t="str">
        <v>Zuid-Holland</v>
      </c>
      <c r="J208" t="str">
        <v>West-Nederland</v>
      </c>
      <c r="K208" t="str">
        <v>Te koop</v>
      </c>
      <c r="L208" t="str">
        <v>Onbekend</v>
      </c>
      <c r="M208" t="str">
        <v>Onbekend</v>
      </c>
      <c r="N208">
        <v>559500</v>
      </c>
      <c r="O208" t="str">
        <v>v.o.n.</v>
      </c>
      <c r="P208">
        <v>128</v>
      </c>
      <c r="Q208">
        <v>4371</v>
      </c>
      <c r="R208" t="str">
        <v>Onbekend</v>
      </c>
      <c r="S208" t="str">
        <v>A++++</v>
      </c>
      <c r="T208">
        <v>5</v>
      </c>
      <c r="U208">
        <v>3</v>
      </c>
      <c r="V208" t="str">
        <v>Grondgebonden</v>
      </c>
      <c r="W208" t="str">
        <v>Hoekwoning</v>
      </c>
      <c r="X208" t="str">
        <v>N.v.t.</v>
      </c>
      <c r="Y208" t="str">
        <v>Ja</v>
      </c>
      <c r="Z208" t="str">
        <v>openbare parkeerplaats</v>
      </c>
      <c r="AA208" t="str">
        <v>Na 2020</v>
      </c>
      <c r="AB208" t="str">
        <v>Nee</v>
      </c>
      <c r="AC208" t="str">
        <v>NEE</v>
      </c>
      <c r="AD208" t="str">
        <v>JA</v>
      </c>
    </row>
    <row r="209">
      <c r="A209" t="str">
        <v>44422622</v>
      </c>
      <c r="B209" t="str">
        <v>https://www.funda.nl/detail/koop/brielle/huis-buitenplaats-brielle-fase-1b-bouwnummer-0-bouwnr-069/44422622/</v>
      </c>
      <c r="C209" t="str">
        <v>Buitenplaats Brielle fase 1B</v>
      </c>
      <c r="D209" t="str">
        <v>Buitenplaats Brielle fase 1B - Bouwnummer 0</v>
      </c>
      <c r="E209" t="str">
        <v>069</v>
      </c>
      <c r="F209" t="str">
        <v>3232 GA</v>
      </c>
      <c r="G209" t="str">
        <v>Brielle</v>
      </c>
      <c r="H209" t="str">
        <v>Voorne aan Zee</v>
      </c>
      <c r="I209" t="str">
        <v>Zuid-Holland</v>
      </c>
      <c r="J209" t="str">
        <v>West-Nederland</v>
      </c>
      <c r="K209" t="str">
        <v>Te koop</v>
      </c>
      <c r="L209" t="str">
        <v>Onbekend</v>
      </c>
      <c r="M209" t="str">
        <v>Onbekend</v>
      </c>
      <c r="N209">
        <v>597000</v>
      </c>
      <c r="O209" t="str">
        <v>v.o.n.</v>
      </c>
      <c r="P209">
        <v>134</v>
      </c>
      <c r="Q209">
        <v>4455</v>
      </c>
      <c r="R209" t="str">
        <v>Onbekend</v>
      </c>
      <c r="S209" t="str">
        <v>A++++</v>
      </c>
      <c r="T209">
        <v>5</v>
      </c>
      <c r="U209">
        <v>3</v>
      </c>
      <c r="V209" t="str">
        <v>Grondgebonden</v>
      </c>
      <c r="W209" t="str">
        <v>Hoekwoning</v>
      </c>
      <c r="X209" t="str">
        <v>N.v.t.</v>
      </c>
      <c r="Y209" t="str">
        <v>Ja</v>
      </c>
      <c r="Z209" t="str">
        <v>openbare parkeerplaats</v>
      </c>
      <c r="AA209" t="str">
        <v>Na 2020</v>
      </c>
      <c r="AB209" t="str">
        <v>Nee</v>
      </c>
      <c r="AC209" t="str">
        <v>NEE</v>
      </c>
      <c r="AD209" t="str">
        <v>JA</v>
      </c>
    </row>
    <row r="210">
      <c r="A210" t="str">
        <v>44422621</v>
      </c>
      <c r="B210" t="str">
        <v>https://www.funda.nl/detail/koop/brielle/huis-buitenplaats-brielle-fase-1b-bouwnummer-0-bouwnr-046/44422621/</v>
      </c>
      <c r="C210" t="str">
        <v>Buitenplaats Brielle fase 1B</v>
      </c>
      <c r="D210" t="str">
        <v>Buitenplaats Brielle fase 1B - Bouwnummer 0</v>
      </c>
      <c r="E210" t="str">
        <v>046</v>
      </c>
      <c r="F210" t="str">
        <v>3232 GA</v>
      </c>
      <c r="G210" t="str">
        <v>Brielle</v>
      </c>
      <c r="H210" t="str">
        <v>Voorne aan Zee</v>
      </c>
      <c r="I210" t="str">
        <v>Zuid-Holland</v>
      </c>
      <c r="J210" t="str">
        <v>West-Nederland</v>
      </c>
      <c r="K210" t="str">
        <v>Te koop</v>
      </c>
      <c r="L210" t="str">
        <v>2026-07-08</v>
      </c>
      <c r="M210">
        <v>5</v>
      </c>
      <c r="N210">
        <v>812500</v>
      </c>
      <c r="O210" t="str">
        <v>v.o.n.</v>
      </c>
      <c r="P210">
        <v>158</v>
      </c>
      <c r="Q210">
        <v>5142</v>
      </c>
      <c r="R210" t="str">
        <v>Onbekend</v>
      </c>
      <c r="S210" t="str">
        <v>A++++</v>
      </c>
      <c r="T210">
        <v>5</v>
      </c>
      <c r="U210">
        <v>3</v>
      </c>
      <c r="V210" t="str">
        <v>Grondgebonden</v>
      </c>
      <c r="W210" t="str">
        <v>2-onder-1-kapwoning</v>
      </c>
      <c r="X210" t="str">
        <v>N.v.t.</v>
      </c>
      <c r="Y210" t="str">
        <v>Ja</v>
      </c>
      <c r="Z210" t="str">
        <v>eigen parkeerplaats</v>
      </c>
      <c r="AA210" t="str">
        <v>Na 2020</v>
      </c>
      <c r="AB210" t="str">
        <v>Nee</v>
      </c>
      <c r="AC210" t="str">
        <v>NEE</v>
      </c>
      <c r="AD210" t="str">
        <v>JA</v>
      </c>
    </row>
    <row r="211">
      <c r="A211" t="str">
        <v>44422620</v>
      </c>
      <c r="B211" t="str">
        <v>https://www.funda.nl/detail/koop/brielle/huis-buitenplaats-brielle-fase-1b-bouwnummer-0-bouwnr-088/44422620/</v>
      </c>
      <c r="C211" t="str">
        <v>Buitenplaats Brielle fase 1B</v>
      </c>
      <c r="D211" t="str">
        <v>Buitenplaats Brielle fase 1B - Bouwnummer 0</v>
      </c>
      <c r="E211" t="str">
        <v>088</v>
      </c>
      <c r="F211" t="str">
        <v>3232 GA</v>
      </c>
      <c r="G211" t="str">
        <v>Brielle</v>
      </c>
      <c r="H211" t="str">
        <v>Voorne aan Zee</v>
      </c>
      <c r="I211" t="str">
        <v>Zuid-Holland</v>
      </c>
      <c r="J211" t="str">
        <v>West-Nederland</v>
      </c>
      <c r="K211" t="str">
        <v>Te koop</v>
      </c>
      <c r="L211" t="str">
        <v>Onbekend</v>
      </c>
      <c r="M211" t="str">
        <v>Onbekend</v>
      </c>
      <c r="N211">
        <v>597500</v>
      </c>
      <c r="O211" t="str">
        <v>v.o.n.</v>
      </c>
      <c r="P211">
        <v>145</v>
      </c>
      <c r="Q211">
        <v>4121</v>
      </c>
      <c r="R211" t="str">
        <v>Onbekend</v>
      </c>
      <c r="S211" t="str">
        <v>A++++</v>
      </c>
      <c r="T211">
        <v>6</v>
      </c>
      <c r="U211">
        <v>5</v>
      </c>
      <c r="V211" t="str">
        <v>Grondgebonden</v>
      </c>
      <c r="W211" t="str">
        <v>Hoekwoning</v>
      </c>
      <c r="X211" t="str">
        <v>N.v.t.</v>
      </c>
      <c r="Y211" t="str">
        <v>Ja</v>
      </c>
      <c r="Z211" t="str">
        <v>openbare parkeerplaats</v>
      </c>
      <c r="AA211" t="str">
        <v>Na 2020</v>
      </c>
      <c r="AB211" t="str">
        <v>Nee</v>
      </c>
      <c r="AC211" t="str">
        <v>NEE</v>
      </c>
      <c r="AD211" t="str">
        <v>JA</v>
      </c>
    </row>
    <row r="212">
      <c r="A212" t="str">
        <v>44422629</v>
      </c>
      <c r="B212" t="str">
        <v>https://www.funda.nl/detail/koop/brielle/huis-buitenplaats-brielle-fase-1b-bouwnummer-0-bouwnr-085/44422629/</v>
      </c>
      <c r="C212" t="str">
        <v>Buitenplaats Brielle fase 1B</v>
      </c>
      <c r="D212" t="str">
        <v>Buitenplaats Brielle fase 1B - Bouwnummer 0</v>
      </c>
      <c r="E212" t="str">
        <v>085</v>
      </c>
      <c r="F212" t="str">
        <v>3232 GA</v>
      </c>
      <c r="G212" t="str">
        <v>Brielle</v>
      </c>
      <c r="H212" t="str">
        <v>Voorne aan Zee</v>
      </c>
      <c r="I212" t="str">
        <v>Zuid-Holland</v>
      </c>
      <c r="J212" t="str">
        <v>West-Nederland</v>
      </c>
      <c r="K212" t="str">
        <v>Te koop</v>
      </c>
      <c r="L212" t="str">
        <v>Onbekend</v>
      </c>
      <c r="M212" t="str">
        <v>Onbekend</v>
      </c>
      <c r="N212">
        <v>577500</v>
      </c>
      <c r="O212" t="str">
        <v>v.o.n.</v>
      </c>
      <c r="P212">
        <v>145</v>
      </c>
      <c r="Q212">
        <v>3983</v>
      </c>
      <c r="R212" t="str">
        <v>Onbekend</v>
      </c>
      <c r="S212" t="str">
        <v>A++++</v>
      </c>
      <c r="T212">
        <v>6</v>
      </c>
      <c r="U212">
        <v>5</v>
      </c>
      <c r="V212" t="str">
        <v>Grondgebonden</v>
      </c>
      <c r="W212" t="str">
        <v>Tussenwoning</v>
      </c>
      <c r="X212" t="str">
        <v>N.v.t.</v>
      </c>
      <c r="Y212" t="str">
        <v>Ja</v>
      </c>
      <c r="Z212" t="str">
        <v>openbare parkeerplaats</v>
      </c>
      <c r="AA212" t="str">
        <v>Na 2020</v>
      </c>
      <c r="AB212" t="str">
        <v>Nee</v>
      </c>
      <c r="AC212" t="str">
        <v>NEE</v>
      </c>
      <c r="AD212" t="str">
        <v>JA</v>
      </c>
    </row>
    <row r="213">
      <c r="A213" t="str">
        <v>44422628</v>
      </c>
      <c r="B213" t="str">
        <v>https://www.funda.nl/detail/koop/brielle/huis-buitenplaats-brielle-fase-1b-bouwnummer-0-bouwnr-083/44422628/</v>
      </c>
      <c r="C213" t="str">
        <v>Buitenplaats Brielle fase 1B</v>
      </c>
      <c r="D213" t="str">
        <v>Buitenplaats Brielle fase 1B - Bouwnummer 0</v>
      </c>
      <c r="E213" t="str">
        <v>083</v>
      </c>
      <c r="F213" t="str">
        <v>3232 GA</v>
      </c>
      <c r="G213" t="str">
        <v>Brielle</v>
      </c>
      <c r="H213" t="str">
        <v>Voorne aan Zee</v>
      </c>
      <c r="I213" t="str">
        <v>Zuid-Holland</v>
      </c>
      <c r="J213" t="str">
        <v>West-Nederland</v>
      </c>
      <c r="K213" t="str">
        <v>Te koop</v>
      </c>
      <c r="L213" t="str">
        <v>Onbekend</v>
      </c>
      <c r="M213" t="str">
        <v>Onbekend</v>
      </c>
      <c r="N213">
        <v>577500</v>
      </c>
      <c r="O213" t="str">
        <v>v.o.n.</v>
      </c>
      <c r="P213">
        <v>145</v>
      </c>
      <c r="Q213">
        <v>3983</v>
      </c>
      <c r="R213" t="str">
        <v>Onbekend</v>
      </c>
      <c r="S213" t="str">
        <v>A++++</v>
      </c>
      <c r="T213">
        <v>6</v>
      </c>
      <c r="U213">
        <v>5</v>
      </c>
      <c r="V213" t="str">
        <v>Grondgebonden</v>
      </c>
      <c r="W213" t="str">
        <v>Tussenwoning</v>
      </c>
      <c r="X213" t="str">
        <v>N.v.t.</v>
      </c>
      <c r="Y213" t="str">
        <v>Ja</v>
      </c>
      <c r="Z213" t="str">
        <v>openbare parkeerplaats</v>
      </c>
      <c r="AA213" t="str">
        <v>Na 2020</v>
      </c>
      <c r="AB213" t="str">
        <v>Nee</v>
      </c>
      <c r="AC213" t="str">
        <v>NEE</v>
      </c>
      <c r="AD213" t="str">
        <v>JA</v>
      </c>
    </row>
    <row r="214">
      <c r="A214" t="str">
        <v>44422625</v>
      </c>
      <c r="B214" t="str">
        <v>https://www.funda.nl/detail/koop/brielle/huis-buitenplaats-brielle-fase-1b-bouwnummer-0-bouwnr-082/44422625/</v>
      </c>
      <c r="C214" t="str">
        <v>Buitenplaats Brielle fase 1B</v>
      </c>
      <c r="D214" t="str">
        <v>Buitenplaats Brielle fase 1B - Bouwnummer 0</v>
      </c>
      <c r="E214" t="str">
        <v>082</v>
      </c>
      <c r="F214" t="str">
        <v>3232 GA</v>
      </c>
      <c r="G214" t="str">
        <v>Brielle</v>
      </c>
      <c r="H214" t="str">
        <v>Voorne aan Zee</v>
      </c>
      <c r="I214" t="str">
        <v>Zuid-Holland</v>
      </c>
      <c r="J214" t="str">
        <v>West-Nederland</v>
      </c>
      <c r="K214" t="str">
        <v>Te koop</v>
      </c>
      <c r="L214" t="str">
        <v>Onbekend</v>
      </c>
      <c r="M214" t="str">
        <v>Onbekend</v>
      </c>
      <c r="N214">
        <v>587000</v>
      </c>
      <c r="O214" t="str">
        <v>v.o.n.</v>
      </c>
      <c r="P214">
        <v>141</v>
      </c>
      <c r="Q214">
        <v>4163</v>
      </c>
      <c r="R214" t="str">
        <v>Onbekend</v>
      </c>
      <c r="S214" t="str">
        <v>A++++</v>
      </c>
      <c r="T214">
        <v>5</v>
      </c>
      <c r="U214">
        <v>4</v>
      </c>
      <c r="V214" t="str">
        <v>Grondgebonden</v>
      </c>
      <c r="W214" t="str">
        <v>Hoekwoning</v>
      </c>
      <c r="X214" t="str">
        <v>N.v.t.</v>
      </c>
      <c r="Y214" t="str">
        <v>Ja</v>
      </c>
      <c r="Z214" t="str">
        <v>openbare parkeerplaats</v>
      </c>
      <c r="AA214" t="str">
        <v>Na 2020</v>
      </c>
      <c r="AB214" t="str">
        <v>Nee</v>
      </c>
      <c r="AC214" t="str">
        <v>NEE</v>
      </c>
      <c r="AD214" t="str">
        <v>JA</v>
      </c>
    </row>
    <row r="215">
      <c r="A215" t="str">
        <v>44422624</v>
      </c>
      <c r="B215" t="str">
        <v>https://www.funda.nl/detail/koop/brielle/huis-buitenplaats-brielle-fase-1b-bouwnummer-0-bouwnr-065/44422624/</v>
      </c>
      <c r="C215" t="str">
        <v>Buitenplaats Brielle fase 1B</v>
      </c>
      <c r="D215" t="str">
        <v>Buitenplaats Brielle fase 1B - Bouwnummer 0</v>
      </c>
      <c r="E215" t="str">
        <v>065</v>
      </c>
      <c r="F215" t="str">
        <v>3232 GA</v>
      </c>
      <c r="G215" t="str">
        <v>Brielle</v>
      </c>
      <c r="H215" t="str">
        <v>Voorne aan Zee</v>
      </c>
      <c r="I215" t="str">
        <v>Zuid-Holland</v>
      </c>
      <c r="J215" t="str">
        <v>West-Nederland</v>
      </c>
      <c r="K215" t="str">
        <v>Te koop</v>
      </c>
      <c r="L215" t="str">
        <v>Onbekend</v>
      </c>
      <c r="M215" t="str">
        <v>Onbekend</v>
      </c>
      <c r="N215">
        <v>574000</v>
      </c>
      <c r="O215" t="str">
        <v>v.o.n.</v>
      </c>
      <c r="P215">
        <v>128</v>
      </c>
      <c r="Q215">
        <v>4484</v>
      </c>
      <c r="R215" t="str">
        <v>Onbekend</v>
      </c>
      <c r="S215" t="str">
        <v>A++++</v>
      </c>
      <c r="T215">
        <v>5</v>
      </c>
      <c r="U215">
        <v>3</v>
      </c>
      <c r="V215" t="str">
        <v>Grondgebonden</v>
      </c>
      <c r="W215" t="str">
        <v>Hoekwoning</v>
      </c>
      <c r="X215" t="str">
        <v>N.v.t.</v>
      </c>
      <c r="Y215" t="str">
        <v>Ja</v>
      </c>
      <c r="Z215" t="str">
        <v>openbare parkeerplaats</v>
      </c>
      <c r="AA215" t="str">
        <v>Na 2020</v>
      </c>
      <c r="AB215" t="str">
        <v>Nee</v>
      </c>
      <c r="AC215" t="str">
        <v>NEE</v>
      </c>
      <c r="AD215" t="str">
        <v>JA</v>
      </c>
    </row>
    <row r="216">
      <c r="A216" t="str">
        <v>44422623</v>
      </c>
      <c r="B216" t="str">
        <v>https://www.funda.nl/detail/koop/brielle/huis-buitenplaats-brielle-fase-1b-bouwnummer-2-bouwnr-229/44422623/</v>
      </c>
      <c r="C216" t="str">
        <v>Buitenplaats Brielle fase 1B</v>
      </c>
      <c r="D216" t="str">
        <v>Buitenplaats Brielle fase 1B - Bouwnummer 2</v>
      </c>
      <c r="E216" t="str">
        <v>229</v>
      </c>
      <c r="F216" t="str">
        <v>3232 GA</v>
      </c>
      <c r="G216" t="str">
        <v>Brielle</v>
      </c>
      <c r="H216" t="str">
        <v>Voorne aan Zee</v>
      </c>
      <c r="I216" t="str">
        <v>Zuid-Holland</v>
      </c>
      <c r="J216" t="str">
        <v>West-Nederland</v>
      </c>
      <c r="K216" t="str">
        <v>Te koop</v>
      </c>
      <c r="L216" t="str">
        <v>Onbekend</v>
      </c>
      <c r="M216" t="str">
        <v>Onbekend</v>
      </c>
      <c r="N216">
        <v>554500</v>
      </c>
      <c r="O216" t="str">
        <v>v.o.n.</v>
      </c>
      <c r="P216">
        <v>128</v>
      </c>
      <c r="Q216">
        <v>4332</v>
      </c>
      <c r="R216" t="str">
        <v>Onbekend</v>
      </c>
      <c r="S216" t="str">
        <v>A++++</v>
      </c>
      <c r="T216">
        <v>5</v>
      </c>
      <c r="U216">
        <v>3</v>
      </c>
      <c r="V216" t="str">
        <v>Grondgebonden</v>
      </c>
      <c r="W216" t="str">
        <v>Hoekwoning</v>
      </c>
      <c r="X216" t="str">
        <v>N.v.t.</v>
      </c>
      <c r="Y216" t="str">
        <v>Ja</v>
      </c>
      <c r="Z216" t="str">
        <v>openbare parkeerplaats</v>
      </c>
      <c r="AA216" t="str">
        <v>Na 2020</v>
      </c>
      <c r="AB216" t="str">
        <v>Nee</v>
      </c>
      <c r="AC216" t="str">
        <v>NEE</v>
      </c>
      <c r="AD216" t="str">
        <v>JA</v>
      </c>
    </row>
    <row r="217">
      <c r="A217" t="str">
        <v>44422612</v>
      </c>
      <c r="B217" t="str">
        <v>https://www.funda.nl/detail/koop/brielle/huis-buitenplaats-brielle-fase-1b-bouwnummer-0-bouwnr-070/44422612/</v>
      </c>
      <c r="C217" t="str">
        <v>Buitenplaats Brielle fase 1B</v>
      </c>
      <c r="D217" t="str">
        <v>Buitenplaats Brielle fase 1B - Bouwnummer 0</v>
      </c>
      <c r="E217" t="str">
        <v>070</v>
      </c>
      <c r="F217" t="str">
        <v>3232 GA</v>
      </c>
      <c r="G217" t="str">
        <v>Brielle</v>
      </c>
      <c r="H217" t="str">
        <v>Voorne aan Zee</v>
      </c>
      <c r="I217" t="str">
        <v>Zuid-Holland</v>
      </c>
      <c r="J217" t="str">
        <v>West-Nederland</v>
      </c>
      <c r="K217" t="str">
        <v>Te koop</v>
      </c>
      <c r="L217" t="str">
        <v>Onbekend</v>
      </c>
      <c r="M217" t="str">
        <v>Onbekend</v>
      </c>
      <c r="N217">
        <v>531000</v>
      </c>
      <c r="O217" t="str">
        <v>v.o.n.</v>
      </c>
      <c r="P217">
        <v>130</v>
      </c>
      <c r="Q217">
        <v>4085</v>
      </c>
      <c r="R217" t="str">
        <v>Onbekend</v>
      </c>
      <c r="S217" t="str">
        <v>A++++</v>
      </c>
      <c r="T217">
        <v>5</v>
      </c>
      <c r="U217">
        <v>3</v>
      </c>
      <c r="V217" t="str">
        <v>Grondgebonden</v>
      </c>
      <c r="W217" t="str">
        <v>Tussenwoning</v>
      </c>
      <c r="X217" t="str">
        <v>N.v.t.</v>
      </c>
      <c r="Y217" t="str">
        <v>Ja</v>
      </c>
      <c r="Z217" t="str">
        <v>openbare parkeerplaats</v>
      </c>
      <c r="AA217" t="str">
        <v>Na 2020</v>
      </c>
      <c r="AB217" t="str">
        <v>Nee</v>
      </c>
      <c r="AC217" t="str">
        <v>NEE</v>
      </c>
      <c r="AD217" t="str">
        <v>JA</v>
      </c>
    </row>
    <row r="218">
      <c r="A218" t="str">
        <v>44422611</v>
      </c>
      <c r="B218" t="str">
        <v>https://www.funda.nl/detail/koop/brielle/huis-buitenplaats-brielle-fase-1b-bouwnummer-0-bouwnr-084/44422611/</v>
      </c>
      <c r="C218" t="str">
        <v>Buitenplaats Brielle fase 1B</v>
      </c>
      <c r="D218" t="str">
        <v>Buitenplaats Brielle fase 1B - Bouwnummer 0</v>
      </c>
      <c r="E218" t="str">
        <v>084</v>
      </c>
      <c r="F218" t="str">
        <v>3232 GA</v>
      </c>
      <c r="G218" t="str">
        <v>Brielle</v>
      </c>
      <c r="H218" t="str">
        <v>Voorne aan Zee</v>
      </c>
      <c r="I218" t="str">
        <v>Zuid-Holland</v>
      </c>
      <c r="J218" t="str">
        <v>West-Nederland</v>
      </c>
      <c r="K218" t="str">
        <v>Te koop</v>
      </c>
      <c r="L218" t="str">
        <v>Onbekend</v>
      </c>
      <c r="M218" t="str">
        <v>Onbekend</v>
      </c>
      <c r="N218">
        <v>560000</v>
      </c>
      <c r="O218" t="str">
        <v>v.o.n.</v>
      </c>
      <c r="P218">
        <v>141</v>
      </c>
      <c r="Q218">
        <v>3972</v>
      </c>
      <c r="R218" t="str">
        <v>Onbekend</v>
      </c>
      <c r="S218" t="str">
        <v>A++++</v>
      </c>
      <c r="T218">
        <v>5</v>
      </c>
      <c r="U218">
        <v>4</v>
      </c>
      <c r="V218" t="str">
        <v>Grondgebonden</v>
      </c>
      <c r="W218" t="str">
        <v>Tussenwoning</v>
      </c>
      <c r="X218" t="str">
        <v>N.v.t.</v>
      </c>
      <c r="Y218" t="str">
        <v>Ja</v>
      </c>
      <c r="Z218" t="str">
        <v>openbare parkeerplaats</v>
      </c>
      <c r="AA218" t="str">
        <v>Na 2020</v>
      </c>
      <c r="AB218" t="str">
        <v>Nee</v>
      </c>
      <c r="AC218" t="str">
        <v>NEE</v>
      </c>
      <c r="AD218" t="str">
        <v>JA</v>
      </c>
    </row>
    <row r="219">
      <c r="A219" t="str">
        <v>44422610</v>
      </c>
      <c r="B219" t="str">
        <v>https://www.funda.nl/detail/koop/brielle/huis-buitenplaats-brielle-fase-1b-bouwnummer-0-bouwnr-045/44422610/</v>
      </c>
      <c r="C219" t="str">
        <v>Buitenplaats Brielle fase 1B</v>
      </c>
      <c r="D219" t="str">
        <v>Buitenplaats Brielle fase 1B - Bouwnummer 0</v>
      </c>
      <c r="E219" t="str">
        <v>045</v>
      </c>
      <c r="F219" t="str">
        <v>3232 GA</v>
      </c>
      <c r="G219" t="str">
        <v>Brielle</v>
      </c>
      <c r="H219" t="str">
        <v>Voorne aan Zee</v>
      </c>
      <c r="I219" t="str">
        <v>Zuid-Holland</v>
      </c>
      <c r="J219" t="str">
        <v>West-Nederland</v>
      </c>
      <c r="K219" t="str">
        <v>Te koop</v>
      </c>
      <c r="L219" t="str">
        <v>Onbekend</v>
      </c>
      <c r="M219" t="str">
        <v>Onbekend</v>
      </c>
      <c r="N219">
        <v>770000</v>
      </c>
      <c r="O219" t="str">
        <v>v.o.n.</v>
      </c>
      <c r="P219">
        <v>152</v>
      </c>
      <c r="Q219">
        <v>5066</v>
      </c>
      <c r="R219" t="str">
        <v>Onbekend</v>
      </c>
      <c r="S219" t="str">
        <v>A++++</v>
      </c>
      <c r="T219">
        <v>5</v>
      </c>
      <c r="U219">
        <v>3</v>
      </c>
      <c r="V219" t="str">
        <v>Grondgebonden</v>
      </c>
      <c r="W219" t="str">
        <v>2-onder-1-kapwoning</v>
      </c>
      <c r="X219" t="str">
        <v>N.v.t.</v>
      </c>
      <c r="Y219" t="str">
        <v>Ja</v>
      </c>
      <c r="Z219" t="str">
        <v>eigen parkeerplaats</v>
      </c>
      <c r="AA219" t="str">
        <v>Na 2020</v>
      </c>
      <c r="AB219" t="str">
        <v>Nee</v>
      </c>
      <c r="AC219" t="str">
        <v>NEE</v>
      </c>
      <c r="AD219" t="str">
        <v>JA</v>
      </c>
    </row>
    <row r="220">
      <c r="A220" t="str">
        <v>44422618</v>
      </c>
      <c r="B220" t="str">
        <v>https://www.funda.nl/detail/koop/brielle/huis-buitenplaats-brielle-fase-1b-bouwnummer-0-bouwnr-068/44422618/</v>
      </c>
      <c r="C220" t="str">
        <v>Buitenplaats Brielle fase 1B</v>
      </c>
      <c r="D220" t="str">
        <v>Buitenplaats Brielle fase 1B - Bouwnummer 0</v>
      </c>
      <c r="E220" t="str">
        <v>068</v>
      </c>
      <c r="F220" t="str">
        <v>3232 GA</v>
      </c>
      <c r="G220" t="str">
        <v>Brielle</v>
      </c>
      <c r="H220" t="str">
        <v>Voorne aan Zee</v>
      </c>
      <c r="I220" t="str">
        <v>Zuid-Holland</v>
      </c>
      <c r="J220" t="str">
        <v>West-Nederland</v>
      </c>
      <c r="K220" t="str">
        <v>Te koop</v>
      </c>
      <c r="L220" t="str">
        <v>Onbekend</v>
      </c>
      <c r="M220" t="str">
        <v>Onbekend</v>
      </c>
      <c r="N220">
        <v>599000</v>
      </c>
      <c r="O220" t="str">
        <v>v.o.n.</v>
      </c>
      <c r="P220">
        <v>134</v>
      </c>
      <c r="Q220">
        <v>4470</v>
      </c>
      <c r="R220" t="str">
        <v>Onbekend</v>
      </c>
      <c r="S220" t="str">
        <v>A++++</v>
      </c>
      <c r="T220">
        <v>5</v>
      </c>
      <c r="U220">
        <v>3</v>
      </c>
      <c r="V220" t="str">
        <v>Grondgebonden</v>
      </c>
      <c r="W220" t="str">
        <v>Hoekwoning</v>
      </c>
      <c r="X220" t="str">
        <v>N.v.t.</v>
      </c>
      <c r="Y220" t="str">
        <v>Ja</v>
      </c>
      <c r="Z220" t="str">
        <v>openbare parkeerplaats</v>
      </c>
      <c r="AA220" t="str">
        <v>Na 2020</v>
      </c>
      <c r="AB220" t="str">
        <v>Nee</v>
      </c>
      <c r="AC220" t="str">
        <v>NEE</v>
      </c>
      <c r="AD220" t="str">
        <v>JA</v>
      </c>
    </row>
    <row r="221">
      <c r="A221" t="str">
        <v>44422617</v>
      </c>
      <c r="B221" t="str">
        <v>https://www.funda.nl/detail/koop/brielle/huis-buitenplaats-brielle-fase-1b-bouwnummer-0-bouwnr-066/44422617/</v>
      </c>
      <c r="C221" t="str">
        <v>Buitenplaats Brielle fase 1B</v>
      </c>
      <c r="D221" t="str">
        <v>Buitenplaats Brielle fase 1B - Bouwnummer 0</v>
      </c>
      <c r="E221" t="str">
        <v>066</v>
      </c>
      <c r="F221" t="str">
        <v>3232 GA</v>
      </c>
      <c r="G221" t="str">
        <v>Brielle</v>
      </c>
      <c r="H221" t="str">
        <v>Voorne aan Zee</v>
      </c>
      <c r="I221" t="str">
        <v>Zuid-Holland</v>
      </c>
      <c r="J221" t="str">
        <v>West-Nederland</v>
      </c>
      <c r="K221" t="str">
        <v>Te koop</v>
      </c>
      <c r="L221" t="str">
        <v>Onbekend</v>
      </c>
      <c r="M221" t="str">
        <v>Onbekend</v>
      </c>
      <c r="N221">
        <v>549000</v>
      </c>
      <c r="O221" t="str">
        <v>v.o.n.</v>
      </c>
      <c r="P221">
        <v>132</v>
      </c>
      <c r="Q221">
        <v>4159</v>
      </c>
      <c r="R221" t="str">
        <v>Onbekend</v>
      </c>
      <c r="S221" t="str">
        <v>A++++</v>
      </c>
      <c r="T221">
        <v>5</v>
      </c>
      <c r="U221">
        <v>3</v>
      </c>
      <c r="V221" t="str">
        <v>Grondgebonden</v>
      </c>
      <c r="W221" t="str">
        <v>Tussenwoning</v>
      </c>
      <c r="X221" t="str">
        <v>N.v.t.</v>
      </c>
      <c r="Y221" t="str">
        <v>Ja</v>
      </c>
      <c r="Z221" t="str">
        <v>openbare parkeerplaats</v>
      </c>
      <c r="AA221" t="str">
        <v>Na 2020</v>
      </c>
      <c r="AB221" t="str">
        <v>Nee</v>
      </c>
      <c r="AC221" t="str">
        <v>NEE</v>
      </c>
      <c r="AD221" t="str">
        <v>JA</v>
      </c>
    </row>
    <row r="222">
      <c r="A222" t="str">
        <v>44422616</v>
      </c>
      <c r="B222" t="str">
        <v>https://www.funda.nl/detail/koop/brielle/huis-buitenplaats-brielle-fase-1b-bouwnummer-0-bouwnr-042/44422616/</v>
      </c>
      <c r="C222" t="str">
        <v>Buitenplaats Brielle fase 1B</v>
      </c>
      <c r="D222" t="str">
        <v>Buitenplaats Brielle fase 1B - Bouwnummer 0</v>
      </c>
      <c r="E222" t="str">
        <v>042</v>
      </c>
      <c r="F222" t="str">
        <v>3232 GA</v>
      </c>
      <c r="G222" t="str">
        <v>Brielle</v>
      </c>
      <c r="H222" t="str">
        <v>Voorne aan Zee</v>
      </c>
      <c r="I222" t="str">
        <v>Zuid-Holland</v>
      </c>
      <c r="J222" t="str">
        <v>West-Nederland</v>
      </c>
      <c r="K222" t="str">
        <v>Te koop</v>
      </c>
      <c r="L222" t="str">
        <v>Onbekend</v>
      </c>
      <c r="M222" t="str">
        <v>Onbekend</v>
      </c>
      <c r="N222">
        <v>792500</v>
      </c>
      <c r="O222" t="str">
        <v>v.o.n.</v>
      </c>
      <c r="P222">
        <v>155</v>
      </c>
      <c r="Q222">
        <v>5113</v>
      </c>
      <c r="R222" t="str">
        <v>Onbekend</v>
      </c>
      <c r="S222" t="str">
        <v>A++++</v>
      </c>
      <c r="T222">
        <v>5</v>
      </c>
      <c r="U222">
        <v>3</v>
      </c>
      <c r="V222" t="str">
        <v>Grondgebonden</v>
      </c>
      <c r="W222" t="str">
        <v>2-onder-1-kapwoning</v>
      </c>
      <c r="X222" t="str">
        <v>N.v.t.</v>
      </c>
      <c r="Y222" t="str">
        <v>Ja</v>
      </c>
      <c r="Z222" t="str">
        <v>eigen parkeerplaats</v>
      </c>
      <c r="AA222" t="str">
        <v>Na 2020</v>
      </c>
      <c r="AB222" t="str">
        <v>Nee</v>
      </c>
      <c r="AC222" t="str">
        <v>NEE</v>
      </c>
      <c r="AD222" t="str">
        <v>JA</v>
      </c>
    </row>
    <row r="223">
      <c r="A223" t="str">
        <v>44422615</v>
      </c>
      <c r="B223" t="str">
        <v>https://www.funda.nl/detail/koop/brielle/huis-buitenplaats-brielle-fase-1b-bouwnummer-0-bouwnr-041/44422615/</v>
      </c>
      <c r="C223" t="str">
        <v>Buitenplaats Brielle fase 1B</v>
      </c>
      <c r="D223" t="str">
        <v>Buitenplaats Brielle fase 1B - Bouwnummer 0</v>
      </c>
      <c r="E223" t="str">
        <v>041</v>
      </c>
      <c r="F223" t="str">
        <v>3232 GA</v>
      </c>
      <c r="G223" t="str">
        <v>Brielle</v>
      </c>
      <c r="H223" t="str">
        <v>Voorne aan Zee</v>
      </c>
      <c r="I223" t="str">
        <v>Zuid-Holland</v>
      </c>
      <c r="J223" t="str">
        <v>West-Nederland</v>
      </c>
      <c r="K223" t="str">
        <v>Te koop</v>
      </c>
      <c r="L223" t="str">
        <v>Onbekend</v>
      </c>
      <c r="M223" t="str">
        <v>Onbekend</v>
      </c>
      <c r="N223">
        <v>815000</v>
      </c>
      <c r="O223" t="str">
        <v>v.o.n.</v>
      </c>
      <c r="P223">
        <v>155</v>
      </c>
      <c r="Q223">
        <v>5258</v>
      </c>
      <c r="R223" t="str">
        <v>Onbekend</v>
      </c>
      <c r="S223" t="str">
        <v>A++++</v>
      </c>
      <c r="T223">
        <v>5</v>
      </c>
      <c r="U223">
        <v>3</v>
      </c>
      <c r="V223" t="str">
        <v>Grondgebonden</v>
      </c>
      <c r="W223" t="str">
        <v>2-onder-1-kapwoning</v>
      </c>
      <c r="X223" t="str">
        <v>N.v.t.</v>
      </c>
      <c r="Y223" t="str">
        <v>Ja</v>
      </c>
      <c r="Z223" t="str">
        <v>eigen parkeerplaats</v>
      </c>
      <c r="AA223" t="str">
        <v>Na 2020</v>
      </c>
      <c r="AB223" t="str">
        <v>Nee</v>
      </c>
      <c r="AC223" t="str">
        <v>NEE</v>
      </c>
      <c r="AD223" t="str">
        <v>JA</v>
      </c>
    </row>
    <row r="224">
      <c r="A224" t="str">
        <v>44422614</v>
      </c>
      <c r="B224" t="str">
        <v>https://www.funda.nl/detail/koop/brielle/huis-buitenplaats-brielle-fase-1b-bouwnummer-0-bouwnr-043/44422614/</v>
      </c>
      <c r="C224" t="str">
        <v>Buitenplaats Brielle fase 1B</v>
      </c>
      <c r="D224" t="str">
        <v>Buitenplaats Brielle fase 1B - Bouwnummer 0</v>
      </c>
      <c r="E224" t="str">
        <v>043</v>
      </c>
      <c r="F224" t="str">
        <v>3232 GA</v>
      </c>
      <c r="G224" t="str">
        <v>Brielle</v>
      </c>
      <c r="H224" t="str">
        <v>Voorne aan Zee</v>
      </c>
      <c r="I224" t="str">
        <v>Zuid-Holland</v>
      </c>
      <c r="J224" t="str">
        <v>West-Nederland</v>
      </c>
      <c r="K224" t="str">
        <v>Te koop</v>
      </c>
      <c r="L224" t="str">
        <v>Onbekend</v>
      </c>
      <c r="M224" t="str">
        <v>Onbekend</v>
      </c>
      <c r="N224">
        <v>797500</v>
      </c>
      <c r="O224" t="str">
        <v>v.o.n.</v>
      </c>
      <c r="P224">
        <v>158</v>
      </c>
      <c r="Q224">
        <v>5047</v>
      </c>
      <c r="R224" t="str">
        <v>Onbekend</v>
      </c>
      <c r="S224" t="str">
        <v>A++++</v>
      </c>
      <c r="T224">
        <v>5</v>
      </c>
      <c r="U224">
        <v>3</v>
      </c>
      <c r="V224" t="str">
        <v>Grondgebonden</v>
      </c>
      <c r="W224" t="str">
        <v>2-onder-1-kapwoning</v>
      </c>
      <c r="X224" t="str">
        <v>N.v.t.</v>
      </c>
      <c r="Y224" t="str">
        <v>Ja</v>
      </c>
      <c r="Z224" t="str">
        <v>eigen parkeerplaats</v>
      </c>
      <c r="AA224" t="str">
        <v>Na 2020</v>
      </c>
      <c r="AB224" t="str">
        <v>Nee</v>
      </c>
      <c r="AC224" t="str">
        <v>NEE</v>
      </c>
      <c r="AD224" t="str">
        <v>JA</v>
      </c>
    </row>
    <row r="225">
      <c r="A225" t="str">
        <v>44422613</v>
      </c>
      <c r="B225" t="str">
        <v>https://www.funda.nl/detail/koop/brielle/huis-buitenplaats-brielle-fase-1b-bouwnummer-0-bouwnr-044/44422613/</v>
      </c>
      <c r="C225" t="str">
        <v>Buitenplaats Brielle fase 1B</v>
      </c>
      <c r="D225" t="str">
        <v>Buitenplaats Brielle fase 1B - Bouwnummer 0</v>
      </c>
      <c r="E225" t="str">
        <v>044</v>
      </c>
      <c r="F225" t="str">
        <v>3232 GA</v>
      </c>
      <c r="G225" t="str">
        <v>Brielle</v>
      </c>
      <c r="H225" t="str">
        <v>Voorne aan Zee</v>
      </c>
      <c r="I225" t="str">
        <v>Zuid-Holland</v>
      </c>
      <c r="J225" t="str">
        <v>West-Nederland</v>
      </c>
      <c r="K225" t="str">
        <v>Te koop</v>
      </c>
      <c r="L225" t="str">
        <v>2026-07-08</v>
      </c>
      <c r="M225">
        <v>5</v>
      </c>
      <c r="N225">
        <v>770000</v>
      </c>
      <c r="O225" t="str">
        <v>v.o.n.</v>
      </c>
      <c r="P225">
        <v>152</v>
      </c>
      <c r="Q225">
        <v>5066</v>
      </c>
      <c r="R225" t="str">
        <v>Onbekend</v>
      </c>
      <c r="S225" t="str">
        <v>A++++</v>
      </c>
      <c r="T225">
        <v>5</v>
      </c>
      <c r="U225">
        <v>3</v>
      </c>
      <c r="V225" t="str">
        <v>Grondgebonden</v>
      </c>
      <c r="W225" t="str">
        <v>2-onder-1-kapwoning</v>
      </c>
      <c r="X225" t="str">
        <v>N.v.t.</v>
      </c>
      <c r="Y225" t="str">
        <v>Ja</v>
      </c>
      <c r="Z225" t="str">
        <v>eigen parkeerplaats</v>
      </c>
      <c r="AA225" t="str">
        <v>Na 2020</v>
      </c>
      <c r="AB225" t="str">
        <v>Nee</v>
      </c>
      <c r="AC225" t="str">
        <v>NEE</v>
      </c>
      <c r="AD225" t="str">
        <v>JA</v>
      </c>
    </row>
    <row r="226">
      <c r="A226" t="str">
        <v>80886137</v>
      </c>
      <c r="B226" t="str">
        <v>https://www.funda.nl/detail/koop/hulst/huis-jo-ivenshof-bouwnr-12/80886137/</v>
      </c>
      <c r="C226" t="str">
        <v>Zoetevaart | Hulst</v>
      </c>
      <c r="D226" t="str">
        <v>Jo Ivenshof</v>
      </c>
      <c r="E226" t="str">
        <v>12</v>
      </c>
      <c r="F226" t="str">
        <v>4561 TW</v>
      </c>
      <c r="G226" t="str">
        <v>Hulst</v>
      </c>
      <c r="H226" t="str">
        <v>Hulst</v>
      </c>
      <c r="I226" t="str">
        <v>Zeeland</v>
      </c>
      <c r="J226" t="str">
        <v>West-Nederland</v>
      </c>
      <c r="K226" t="str">
        <v>Te koop</v>
      </c>
      <c r="L226" t="str">
        <v>Onbekend</v>
      </c>
      <c r="M226" t="str">
        <v>Onbekend</v>
      </c>
      <c r="N226">
        <v>449900</v>
      </c>
      <c r="O226" t="str">
        <v>v.o.n.</v>
      </c>
      <c r="P226">
        <v>100</v>
      </c>
      <c r="Q226">
        <v>4499</v>
      </c>
      <c r="R226" t="str">
        <v>Onbekend</v>
      </c>
      <c r="S226" t="str">
        <v>A+++</v>
      </c>
      <c r="T226">
        <v>3</v>
      </c>
      <c r="U226">
        <v>2</v>
      </c>
      <c r="V226" t="str">
        <v>Grondgebonden</v>
      </c>
      <c r="W226" t="str">
        <v>Hoekwoning</v>
      </c>
      <c r="X226" t="str">
        <v>N.v.t.</v>
      </c>
      <c r="Y226" t="str">
        <v>Ja</v>
      </c>
      <c r="Z226" t="str">
        <v>openbare parkeerplaats</v>
      </c>
      <c r="AA226" t="str">
        <v>2026</v>
      </c>
      <c r="AB226" t="str">
        <v>Nee</v>
      </c>
      <c r="AC226" t="str">
        <v>NEE</v>
      </c>
      <c r="AD226" t="str">
        <v>JA</v>
      </c>
    </row>
    <row r="227">
      <c r="A227" t="str">
        <v>80886135</v>
      </c>
      <c r="B227" t="str">
        <v>https://www.funda.nl/detail/koop/hulst/huis-jo-ivenshof-bouwnr-11/80886135/</v>
      </c>
      <c r="C227" t="str">
        <v>Zoetevaart | Hulst</v>
      </c>
      <c r="D227" t="str">
        <v>Jo Ivenshof</v>
      </c>
      <c r="E227" t="str">
        <v>11</v>
      </c>
      <c r="F227" t="str">
        <v>4561 TW</v>
      </c>
      <c r="G227" t="str">
        <v>Hulst</v>
      </c>
      <c r="H227" t="str">
        <v>Hulst</v>
      </c>
      <c r="I227" t="str">
        <v>Zeeland</v>
      </c>
      <c r="J227" t="str">
        <v>West-Nederland</v>
      </c>
      <c r="K227" t="str">
        <v>Te koop</v>
      </c>
      <c r="L227" t="str">
        <v>Onbekend</v>
      </c>
      <c r="M227" t="str">
        <v>Onbekend</v>
      </c>
      <c r="N227">
        <v>409900</v>
      </c>
      <c r="O227" t="str">
        <v>v.o.n.</v>
      </c>
      <c r="P227">
        <v>100</v>
      </c>
      <c r="Q227">
        <v>4099</v>
      </c>
      <c r="R227" t="str">
        <v>Onbekend</v>
      </c>
      <c r="S227" t="str">
        <v>A+++</v>
      </c>
      <c r="T227">
        <v>3</v>
      </c>
      <c r="U227">
        <v>2</v>
      </c>
      <c r="V227" t="str">
        <v>Grondgebonden</v>
      </c>
      <c r="W227" t="str">
        <v>Hoekwoning</v>
      </c>
      <c r="X227" t="str">
        <v>N.v.t.</v>
      </c>
      <c r="Y227" t="str">
        <v>Ja</v>
      </c>
      <c r="Z227" t="str">
        <v>openbare parkeerplaats</v>
      </c>
      <c r="AA227" t="str">
        <v>2026</v>
      </c>
      <c r="AB227" t="str">
        <v>Nee</v>
      </c>
      <c r="AC227" t="str">
        <v>NEE</v>
      </c>
      <c r="AD227" t="str">
        <v>JA</v>
      </c>
    </row>
    <row r="228">
      <c r="A228" t="str">
        <v>80886124</v>
      </c>
      <c r="B228" t="str">
        <v>https://www.funda.nl/detail/koop/hulst/huis-jo-ivenshof-bouwnr-10/80886124/</v>
      </c>
      <c r="C228" t="str">
        <v>Zoetevaart | Hulst</v>
      </c>
      <c r="D228" t="str">
        <v>Jo Ivenshof</v>
      </c>
      <c r="E228" t="str">
        <v>10</v>
      </c>
      <c r="F228" t="str">
        <v>4561 TW</v>
      </c>
      <c r="G228" t="str">
        <v>Hulst</v>
      </c>
      <c r="H228" t="str">
        <v>Hulst</v>
      </c>
      <c r="I228" t="str">
        <v>Zeeland</v>
      </c>
      <c r="J228" t="str">
        <v>West-Nederland</v>
      </c>
      <c r="K228" t="str">
        <v>Te koop</v>
      </c>
      <c r="L228" t="str">
        <v>Onbekend</v>
      </c>
      <c r="M228" t="str">
        <v>Onbekend</v>
      </c>
      <c r="N228">
        <v>469900</v>
      </c>
      <c r="O228" t="str">
        <v>v.o.n.</v>
      </c>
      <c r="P228">
        <v>100</v>
      </c>
      <c r="Q228">
        <v>4699</v>
      </c>
      <c r="R228" t="str">
        <v>Onbekend</v>
      </c>
      <c r="S228" t="str">
        <v>A+++</v>
      </c>
      <c r="T228">
        <v>3</v>
      </c>
      <c r="U228">
        <v>2</v>
      </c>
      <c r="V228" t="str">
        <v>Grondgebonden</v>
      </c>
      <c r="W228" t="str">
        <v>Hoekwoning</v>
      </c>
      <c r="X228" t="str">
        <v>N.v.t.</v>
      </c>
      <c r="Y228" t="str">
        <v>Ja</v>
      </c>
      <c r="Z228" t="str">
        <v>openbare parkeerplaats</v>
      </c>
      <c r="AA228" t="str">
        <v>2026</v>
      </c>
      <c r="AB228" t="str">
        <v>Nee</v>
      </c>
      <c r="AC228" t="str">
        <v>NEE</v>
      </c>
      <c r="AD228" t="str">
        <v>JA</v>
      </c>
    </row>
    <row r="229">
      <c r="A229" t="str">
        <v>80886120</v>
      </c>
      <c r="B229" t="str">
        <v>https://www.funda.nl/detail/koop/hulst/huis-jo-ivenshof-bouwnr-9/80886120/</v>
      </c>
      <c r="C229" t="str">
        <v>Zoetevaart | Hulst</v>
      </c>
      <c r="D229" t="str">
        <v>Jo Ivenshof</v>
      </c>
      <c r="E229" t="str">
        <v>9</v>
      </c>
      <c r="F229" t="str">
        <v>4561 TW</v>
      </c>
      <c r="G229" t="str">
        <v>Hulst</v>
      </c>
      <c r="H229" t="str">
        <v>Hulst</v>
      </c>
      <c r="I229" t="str">
        <v>Zeeland</v>
      </c>
      <c r="J229" t="str">
        <v>West-Nederland</v>
      </c>
      <c r="K229" t="str">
        <v>Te koop</v>
      </c>
      <c r="L229" t="str">
        <v>Onbekend</v>
      </c>
      <c r="M229" t="str">
        <v>Onbekend</v>
      </c>
      <c r="N229">
        <v>409900</v>
      </c>
      <c r="O229" t="str">
        <v>v.o.n.</v>
      </c>
      <c r="P229">
        <v>100</v>
      </c>
      <c r="Q229">
        <v>4099</v>
      </c>
      <c r="R229" t="str">
        <v>Onbekend</v>
      </c>
      <c r="S229" t="str">
        <v>A+++</v>
      </c>
      <c r="T229">
        <v>3</v>
      </c>
      <c r="U229">
        <v>2</v>
      </c>
      <c r="V229" t="str">
        <v>Grondgebonden</v>
      </c>
      <c r="W229" t="str">
        <v>Tussenwoning</v>
      </c>
      <c r="X229" t="str">
        <v>N.v.t.</v>
      </c>
      <c r="Y229" t="str">
        <v>Ja</v>
      </c>
      <c r="Z229" t="str">
        <v>openbare parkeerplaats</v>
      </c>
      <c r="AA229" t="str">
        <v>2026</v>
      </c>
      <c r="AB229" t="str">
        <v>Nee</v>
      </c>
      <c r="AC229" t="str">
        <v>NEE</v>
      </c>
      <c r="AD229" t="str">
        <v>JA</v>
      </c>
    </row>
    <row r="230">
      <c r="A230" t="str">
        <v>80886117</v>
      </c>
      <c r="B230" t="str">
        <v>https://www.funda.nl/detail/koop/hulst/huis-jo-ivenshof-bouwnr-8/80886117/</v>
      </c>
      <c r="C230" t="str">
        <v>Zoetevaart | Hulst</v>
      </c>
      <c r="D230" t="str">
        <v>Jo Ivenshof</v>
      </c>
      <c r="E230" t="str">
        <v>8</v>
      </c>
      <c r="F230" t="str">
        <v>4561 TW</v>
      </c>
      <c r="G230" t="str">
        <v>Hulst</v>
      </c>
      <c r="H230" t="str">
        <v>Hulst</v>
      </c>
      <c r="I230" t="str">
        <v>Zeeland</v>
      </c>
      <c r="J230" t="str">
        <v>West-Nederland</v>
      </c>
      <c r="K230" t="str">
        <v>Te koop</v>
      </c>
      <c r="L230" t="str">
        <v>Onbekend</v>
      </c>
      <c r="M230" t="str">
        <v>Onbekend</v>
      </c>
      <c r="N230">
        <v>409900</v>
      </c>
      <c r="O230" t="str">
        <v>v.o.n.</v>
      </c>
      <c r="P230">
        <v>100</v>
      </c>
      <c r="Q230">
        <v>4099</v>
      </c>
      <c r="R230" t="str">
        <v>Onbekend</v>
      </c>
      <c r="S230" t="str">
        <v>A+++</v>
      </c>
      <c r="T230">
        <v>3</v>
      </c>
      <c r="U230">
        <v>2</v>
      </c>
      <c r="V230" t="str">
        <v>Grondgebonden</v>
      </c>
      <c r="W230" t="str">
        <v>Tussenwoning</v>
      </c>
      <c r="X230" t="str">
        <v>N.v.t.</v>
      </c>
      <c r="Y230" t="str">
        <v>Ja</v>
      </c>
      <c r="Z230" t="str">
        <v>openbare parkeerplaats</v>
      </c>
      <c r="AA230" t="str">
        <v>2026</v>
      </c>
      <c r="AB230" t="str">
        <v>Nee</v>
      </c>
      <c r="AC230" t="str">
        <v>NEE</v>
      </c>
      <c r="AD230" t="str">
        <v>JA</v>
      </c>
    </row>
    <row r="231">
      <c r="A231" t="str">
        <v>80886119</v>
      </c>
      <c r="B231" t="str">
        <v>https://www.funda.nl/detail/koop/hulst/huis-jo-ivenshof-bouwnr-7/80886119/</v>
      </c>
      <c r="C231" t="str">
        <v>Zoetevaart | Hulst</v>
      </c>
      <c r="D231" t="str">
        <v>Jo Ivenshof</v>
      </c>
      <c r="E231" t="str">
        <v>7</v>
      </c>
      <c r="F231" t="str">
        <v>4561 TW</v>
      </c>
      <c r="G231" t="str">
        <v>Hulst</v>
      </c>
      <c r="H231" t="str">
        <v>Hulst</v>
      </c>
      <c r="I231" t="str">
        <v>Zeeland</v>
      </c>
      <c r="J231" t="str">
        <v>West-Nederland</v>
      </c>
      <c r="K231" t="str">
        <v>Te koop</v>
      </c>
      <c r="L231" t="str">
        <v>Onbekend</v>
      </c>
      <c r="M231" t="str">
        <v>Onbekend</v>
      </c>
      <c r="N231">
        <v>449900</v>
      </c>
      <c r="O231" t="str">
        <v>v.o.n.</v>
      </c>
      <c r="P231">
        <v>100</v>
      </c>
      <c r="Q231">
        <v>4499</v>
      </c>
      <c r="R231" t="str">
        <v>Onbekend</v>
      </c>
      <c r="S231" t="str">
        <v>A+++</v>
      </c>
      <c r="T231">
        <v>3</v>
      </c>
      <c r="U231">
        <v>2</v>
      </c>
      <c r="V231" t="str">
        <v>Grondgebonden</v>
      </c>
      <c r="W231" t="str">
        <v>Hoekwoning</v>
      </c>
      <c r="X231" t="str">
        <v>N.v.t.</v>
      </c>
      <c r="Y231" t="str">
        <v>Ja</v>
      </c>
      <c r="Z231" t="str">
        <v>openbare parkeerplaats</v>
      </c>
      <c r="AA231" t="str">
        <v>2026</v>
      </c>
      <c r="AB231" t="str">
        <v>Nee</v>
      </c>
      <c r="AC231" t="str">
        <v>NEE</v>
      </c>
      <c r="AD231" t="str">
        <v>JA</v>
      </c>
    </row>
    <row r="232">
      <c r="A232" t="str">
        <v>44422855</v>
      </c>
      <c r="B232" t="str">
        <v>https://www.funda.nl/detail/koop/brunssum/appartement-kloosterpark-2-b/44422855/</v>
      </c>
      <c r="C232" t="str">
        <v>Onbekend</v>
      </c>
      <c r="D232" t="str">
        <v>Kloosterpark 2-B</v>
      </c>
      <c r="E232" t="str">
        <v>Onbekend</v>
      </c>
      <c r="F232" t="str">
        <v>6441 DP</v>
      </c>
      <c r="G232" t="str">
        <v>Brunssum</v>
      </c>
      <c r="H232" t="str">
        <v>Brunssum</v>
      </c>
      <c r="I232" t="str">
        <v>Limburg</v>
      </c>
      <c r="J232" t="str">
        <v>Zuid-Nederland</v>
      </c>
      <c r="K232" t="str">
        <v>Te koop</v>
      </c>
      <c r="L232" t="str">
        <v>Onbekend</v>
      </c>
      <c r="M232" t="str">
        <v>Onbekend</v>
      </c>
      <c r="N232">
        <v>374500</v>
      </c>
      <c r="O232" t="str">
        <v>v.o.n.</v>
      </c>
      <c r="P232">
        <v>92</v>
      </c>
      <c r="Q232">
        <v>4071</v>
      </c>
      <c r="R232" t="str">
        <v>Onbekend</v>
      </c>
      <c r="S232" t="str">
        <v>A+++</v>
      </c>
      <c r="T232">
        <v>4</v>
      </c>
      <c r="U232">
        <v>2</v>
      </c>
      <c r="V232" t="str">
        <v>Appartement</v>
      </c>
      <c r="W232" t="str">
        <v>Appartement</v>
      </c>
      <c r="X232" t="str">
        <v>Appartement 75-100 m²</v>
      </c>
      <c r="Y232" t="str">
        <v>Ja</v>
      </c>
      <c r="Z232" t="str">
        <v>openbare parkeerplaats</v>
      </c>
      <c r="AA232" t="str">
        <v>2026</v>
      </c>
      <c r="AB232" t="str">
        <v>Nee</v>
      </c>
      <c r="AC232" t="str">
        <v>NEE</v>
      </c>
      <c r="AD232" t="str">
        <v>JA</v>
      </c>
    </row>
    <row r="233">
      <c r="A233" t="str">
        <v>44422666</v>
      </c>
      <c r="B233" t="str">
        <v>https://www.funda.nl/detail/koop/hoogezand/huis-multatulistraat-35/44422666/</v>
      </c>
      <c r="C233" t="str">
        <v>Onbekend</v>
      </c>
      <c r="D233" t="str">
        <v>Multatulistraat 35</v>
      </c>
      <c r="E233" t="str">
        <v>Onbekend</v>
      </c>
      <c r="F233" t="str">
        <v>9602 BA</v>
      </c>
      <c r="G233" t="str">
        <v>Hoogezand</v>
      </c>
      <c r="H233" t="str">
        <v>Midden-Groningen</v>
      </c>
      <c r="I233" t="str">
        <v>Groningen</v>
      </c>
      <c r="J233" t="str">
        <v>Noord-Nederland</v>
      </c>
      <c r="K233" t="str">
        <v>Te koop</v>
      </c>
      <c r="L233" t="str">
        <v>Onbekend</v>
      </c>
      <c r="M233" t="str">
        <v>Onbekend</v>
      </c>
      <c r="N233">
        <v>460000</v>
      </c>
      <c r="O233" t="str">
        <v>v.o.n.</v>
      </c>
      <c r="P233">
        <v>139</v>
      </c>
      <c r="Q233">
        <v>3309</v>
      </c>
      <c r="R233">
        <v>266</v>
      </c>
      <c r="S233" t="str">
        <v>A+++</v>
      </c>
      <c r="T233">
        <v>6</v>
      </c>
      <c r="U233">
        <v>3</v>
      </c>
      <c r="V233" t="str">
        <v>Grondgebonden</v>
      </c>
      <c r="W233" t="str">
        <v>2-onder-1-kapwoning</v>
      </c>
      <c r="X233" t="str">
        <v>N.v.t.</v>
      </c>
      <c r="Y233" t="str">
        <v>Ja</v>
      </c>
      <c r="Z233" t="str">
        <v>eigen parkeerplaats</v>
      </c>
      <c r="AA233" t="str">
        <v>Na 2020</v>
      </c>
      <c r="AB233" t="str">
        <v>Nee</v>
      </c>
      <c r="AC233" t="str">
        <v>NEE</v>
      </c>
      <c r="AD233" t="str">
        <v>JA</v>
      </c>
    </row>
    <row r="234">
      <c r="A234" t="str">
        <v>44422631</v>
      </c>
      <c r="B234" t="str">
        <v>https://www.funda.nl/detail/koop/hoogezand/huis-erasmusweg-36/44422631/</v>
      </c>
      <c r="C234" t="str">
        <v>Onbekend</v>
      </c>
      <c r="D234" t="str">
        <v>Erasmusweg 36</v>
      </c>
      <c r="E234" t="str">
        <v>Onbekend</v>
      </c>
      <c r="F234" t="str">
        <v>9602 AE</v>
      </c>
      <c r="G234" t="str">
        <v>Hoogezand</v>
      </c>
      <c r="H234" t="str">
        <v>Midden-Groningen</v>
      </c>
      <c r="I234" t="str">
        <v>Groningen</v>
      </c>
      <c r="J234" t="str">
        <v>Noord-Nederland</v>
      </c>
      <c r="K234" t="str">
        <v>Te koop</v>
      </c>
      <c r="L234" t="str">
        <v>Onbekend</v>
      </c>
      <c r="M234" t="str">
        <v>Onbekend</v>
      </c>
      <c r="N234">
        <v>355000</v>
      </c>
      <c r="O234" t="str">
        <v>v.o.n.</v>
      </c>
      <c r="P234">
        <v>105</v>
      </c>
      <c r="Q234">
        <v>3381</v>
      </c>
      <c r="R234">
        <v>98</v>
      </c>
      <c r="S234" t="str">
        <v>A+++</v>
      </c>
      <c r="T234">
        <v>5</v>
      </c>
      <c r="U234">
        <v>3</v>
      </c>
      <c r="V234" t="str">
        <v>Grondgebonden</v>
      </c>
      <c r="W234" t="str">
        <v>Tussenwoning</v>
      </c>
      <c r="X234" t="str">
        <v>N.v.t.</v>
      </c>
      <c r="Y234" t="str">
        <v>Ja</v>
      </c>
      <c r="Z234" t="str">
        <v>openbare parkeerplaats</v>
      </c>
      <c r="AA234" t="str">
        <v>Na 2020</v>
      </c>
      <c r="AB234" t="str">
        <v>Nee</v>
      </c>
      <c r="AC234" t="str">
        <v>NEE</v>
      </c>
      <c r="AD234" t="str">
        <v>JA</v>
      </c>
    </row>
    <row r="235">
      <c r="A235" t="str">
        <v>44422718</v>
      </c>
      <c r="B235" t="str">
        <v>https://www.funda.nl/detail/koop/hoogezand/appartement-erasmusweg-23/44422718/</v>
      </c>
      <c r="C235" t="str">
        <v>Onbekend</v>
      </c>
      <c r="D235" t="str">
        <v>Erasmusweg 23</v>
      </c>
      <c r="E235" t="str">
        <v>Onbekend</v>
      </c>
      <c r="F235" t="str">
        <v>9602 AB</v>
      </c>
      <c r="G235" t="str">
        <v>Hoogezand</v>
      </c>
      <c r="H235" t="str">
        <v>Midden-Groningen</v>
      </c>
      <c r="I235" t="str">
        <v>Groningen</v>
      </c>
      <c r="J235" t="str">
        <v>Noord-Nederland</v>
      </c>
      <c r="K235" t="str">
        <v>Te koop</v>
      </c>
      <c r="L235" t="str">
        <v>Onbekend</v>
      </c>
      <c r="M235" t="str">
        <v>Onbekend</v>
      </c>
      <c r="N235">
        <v>330000</v>
      </c>
      <c r="O235" t="str">
        <v>v.o.n.</v>
      </c>
      <c r="P235">
        <v>79</v>
      </c>
      <c r="Q235">
        <v>4177</v>
      </c>
      <c r="R235" t="str">
        <v>Onbekend</v>
      </c>
      <c r="S235" t="str">
        <v>A++</v>
      </c>
      <c r="T235">
        <v>3</v>
      </c>
      <c r="U235">
        <v>2</v>
      </c>
      <c r="V235" t="str">
        <v>Appartement</v>
      </c>
      <c r="W235" t="str">
        <v>Appartement</v>
      </c>
      <c r="X235" t="str">
        <v>Appartement 75-100 m²</v>
      </c>
      <c r="Y235" t="str">
        <v>Ja</v>
      </c>
      <c r="Z235" t="str">
        <v>openbare parkeerplaats</v>
      </c>
      <c r="AA235" t="str">
        <v>Na 2020</v>
      </c>
      <c r="AB235" t="str">
        <v>Nee</v>
      </c>
      <c r="AC235" t="str">
        <v>NEE</v>
      </c>
      <c r="AD235" t="str">
        <v>JA</v>
      </c>
    </row>
    <row r="236">
      <c r="A236" t="str">
        <v>44420317</v>
      </c>
      <c r="B236" t="str">
        <v>https://www.funda.nl/detail/koop/geleen/huis-craveldweg-38/44420317/</v>
      </c>
      <c r="C236" t="str">
        <v>Onbekend</v>
      </c>
      <c r="D236" t="str">
        <v>Craveldweg 38</v>
      </c>
      <c r="E236" t="str">
        <v>Onbekend</v>
      </c>
      <c r="F236" t="str">
        <v>6166 LG</v>
      </c>
      <c r="G236" t="str">
        <v>Geleen</v>
      </c>
      <c r="H236" t="str">
        <v>Sittard-Geleen</v>
      </c>
      <c r="I236" t="str">
        <v>Limburg</v>
      </c>
      <c r="J236" t="str">
        <v>Zuid-Nederland</v>
      </c>
      <c r="K236" t="str">
        <v>Te koop</v>
      </c>
      <c r="L236" t="str">
        <v>Onbekend</v>
      </c>
      <c r="M236" t="str">
        <v>Onbekend</v>
      </c>
      <c r="N236">
        <v>392500</v>
      </c>
      <c r="O236" t="str">
        <v>v.o.n.</v>
      </c>
      <c r="P236">
        <v>114</v>
      </c>
      <c r="Q236">
        <v>3443</v>
      </c>
      <c r="R236">
        <v>143</v>
      </c>
      <c r="S236" t="str">
        <v>A++++</v>
      </c>
      <c r="T236">
        <v>3</v>
      </c>
      <c r="U236">
        <v>2</v>
      </c>
      <c r="V236" t="str">
        <v>Grondgebonden</v>
      </c>
      <c r="W236" t="str">
        <v>Tussenwoning</v>
      </c>
      <c r="X236" t="str">
        <v>N.v.t.</v>
      </c>
      <c r="Y236" t="str">
        <v>Ja</v>
      </c>
      <c r="Z236" t="str">
        <v>openbare parkeerplaats</v>
      </c>
      <c r="AA236" t="str">
        <v>2026</v>
      </c>
      <c r="AB236" t="str">
        <v>Nee</v>
      </c>
      <c r="AC236" t="str">
        <v>NEE</v>
      </c>
      <c r="AD236" t="str">
        <v>JA</v>
      </c>
    </row>
    <row r="237">
      <c r="A237" t="str">
        <v>44422495</v>
      </c>
      <c r="B237" t="str">
        <v>https://www.funda.nl/detail/koop/venlo/appartement-witherenstraat-7-s/44422495/</v>
      </c>
      <c r="C237" t="str">
        <v>Onbekend</v>
      </c>
      <c r="D237" t="str">
        <v>Witherenstraat 7-S</v>
      </c>
      <c r="E237" t="str">
        <v>Onbekend</v>
      </c>
      <c r="F237" t="str">
        <v>5921 GA</v>
      </c>
      <c r="G237" t="str">
        <v>Venlo</v>
      </c>
      <c r="H237" t="str">
        <v>Venlo</v>
      </c>
      <c r="I237" t="str">
        <v>Limburg</v>
      </c>
      <c r="J237" t="str">
        <v>Zuid-Nederland</v>
      </c>
      <c r="K237" t="str">
        <v>Te koop</v>
      </c>
      <c r="L237" t="str">
        <v>Onbekend</v>
      </c>
      <c r="M237" t="str">
        <v>Onbekend</v>
      </c>
      <c r="N237">
        <v>445000</v>
      </c>
      <c r="O237" t="str">
        <v>v.o.n.</v>
      </c>
      <c r="P237">
        <v>71</v>
      </c>
      <c r="Q237">
        <v>6268</v>
      </c>
      <c r="R237" t="str">
        <v>Onbekend</v>
      </c>
      <c r="S237" t="str">
        <v>Niet beschikbaar</v>
      </c>
      <c r="T237">
        <v>2</v>
      </c>
      <c r="U237">
        <v>1</v>
      </c>
      <c r="V237" t="str">
        <v>Appartement</v>
      </c>
      <c r="W237" t="str">
        <v>Appartement</v>
      </c>
      <c r="X237" t="str">
        <v>Appartement 50-75 m²</v>
      </c>
      <c r="Y237" t="str">
        <v>Ja</v>
      </c>
      <c r="Z237" t="str">
        <v>openbare parkeerplaats</v>
      </c>
      <c r="AA237" t="str">
        <v>2026</v>
      </c>
      <c r="AB237" t="str">
        <v>Nee</v>
      </c>
      <c r="AC237" t="str">
        <v>NEE</v>
      </c>
      <c r="AD237" t="str">
        <v>JA</v>
      </c>
    </row>
    <row r="238">
      <c r="A238" t="str">
        <v>44421287</v>
      </c>
      <c r="B238" t="str">
        <v>https://www.funda.nl/detail/koop/heeswijk-dinther/huis-peerheuvel-tiend-11/44421287/</v>
      </c>
      <c r="C238" t="str">
        <v>Onbekend</v>
      </c>
      <c r="D238" t="str">
        <v>Peerheuvel Tiend 11</v>
      </c>
      <c r="E238" t="str">
        <v>Onbekend</v>
      </c>
      <c r="F238" t="str">
        <v>5473</v>
      </c>
      <c r="G238" t="str">
        <v>Heeswijk-Dinther</v>
      </c>
      <c r="H238" t="str">
        <v>Bernheze</v>
      </c>
      <c r="I238" t="str">
        <v>Noord-Brabant</v>
      </c>
      <c r="J238" t="str">
        <v>Zuid-Nederland</v>
      </c>
      <c r="K238" t="str">
        <v>Te koop</v>
      </c>
      <c r="L238" t="str">
        <v>Onbekend</v>
      </c>
      <c r="M238" t="str">
        <v>Onbekend</v>
      </c>
      <c r="N238">
        <v>524800</v>
      </c>
      <c r="O238" t="str">
        <v>v.o.n.</v>
      </c>
      <c r="P238">
        <v>128</v>
      </c>
      <c r="Q238">
        <v>4100</v>
      </c>
      <c r="R238">
        <v>165</v>
      </c>
      <c r="S238" t="str">
        <v>A+++</v>
      </c>
      <c r="T238">
        <v>5</v>
      </c>
      <c r="U238">
        <v>3</v>
      </c>
      <c r="V238" t="str">
        <v>Grondgebonden</v>
      </c>
      <c r="W238" t="str">
        <v>Tussenwoning</v>
      </c>
      <c r="X238" t="str">
        <v>N.v.t.</v>
      </c>
      <c r="Y238" t="str">
        <v>Ja</v>
      </c>
      <c r="Z238" t="str">
        <v>openbare parkeerplaats</v>
      </c>
      <c r="AA238" t="str">
        <v>Na 2020</v>
      </c>
      <c r="AB238" t="str">
        <v>Nee</v>
      </c>
      <c r="AC238" t="str">
        <v>NEE</v>
      </c>
      <c r="AD238" t="str">
        <v>JA</v>
      </c>
    </row>
    <row r="239">
      <c r="A239" t="str">
        <v>44420477</v>
      </c>
      <c r="B239" t="str">
        <v>https://www.funda.nl/detail/koop/geleen/huis-craveldweg-36/44420477/</v>
      </c>
      <c r="C239" t="str">
        <v>Onbekend</v>
      </c>
      <c r="D239" t="str">
        <v>Craveldweg 36</v>
      </c>
      <c r="E239" t="str">
        <v>Onbekend</v>
      </c>
      <c r="F239" t="str">
        <v>6166 LG</v>
      </c>
      <c r="G239" t="str">
        <v>Geleen</v>
      </c>
      <c r="H239" t="str">
        <v>Sittard-Geleen</v>
      </c>
      <c r="I239" t="str">
        <v>Limburg</v>
      </c>
      <c r="J239" t="str">
        <v>Zuid-Nederland</v>
      </c>
      <c r="K239" t="str">
        <v>Te koop</v>
      </c>
      <c r="L239" t="str">
        <v>2026-07-08</v>
      </c>
      <c r="M239">
        <v>5</v>
      </c>
      <c r="N239">
        <v>392500</v>
      </c>
      <c r="O239" t="str">
        <v>v.o.n.</v>
      </c>
      <c r="P239">
        <v>114</v>
      </c>
      <c r="Q239">
        <v>3443</v>
      </c>
      <c r="R239">
        <v>143</v>
      </c>
      <c r="S239" t="str">
        <v>A++++</v>
      </c>
      <c r="T239">
        <v>3</v>
      </c>
      <c r="U239">
        <v>2</v>
      </c>
      <c r="V239" t="str">
        <v>Grondgebonden</v>
      </c>
      <c r="W239" t="str">
        <v>Tussenwoning</v>
      </c>
      <c r="X239" t="str">
        <v>N.v.t.</v>
      </c>
      <c r="Y239" t="str">
        <v>Ja</v>
      </c>
      <c r="Z239" t="str">
        <v>openbare parkeerplaats</v>
      </c>
      <c r="AA239" t="str">
        <v>2026</v>
      </c>
      <c r="AB239" t="str">
        <v>Nee</v>
      </c>
      <c r="AC239" t="str">
        <v>NEE</v>
      </c>
      <c r="AD239" t="str">
        <v>JA</v>
      </c>
    </row>
    <row r="240">
      <c r="A240" t="str">
        <v>44421039</v>
      </c>
      <c r="B240" t="str">
        <v>https://www.funda.nl/detail/koop/harfsen/appartement-bouwnummer-18-bouwnr-0/44421039/</v>
      </c>
      <c r="C240" t="str">
        <v>Harfsens Hart</v>
      </c>
      <c r="D240" t="str">
        <v>Bouwnummer 18</v>
      </c>
      <c r="E240" t="str">
        <v>0</v>
      </c>
      <c r="F240" t="str">
        <v>7217</v>
      </c>
      <c r="G240" t="str">
        <v>Harfsen</v>
      </c>
      <c r="H240" t="str">
        <v>Lochem</v>
      </c>
      <c r="I240" t="str">
        <v>Gelderland</v>
      </c>
      <c r="J240" t="str">
        <v>Oost-Nederland</v>
      </c>
      <c r="K240" t="str">
        <v>Te koop</v>
      </c>
      <c r="L240" t="str">
        <v>2026-07-07</v>
      </c>
      <c r="M240">
        <v>6</v>
      </c>
      <c r="N240">
        <v>260400</v>
      </c>
      <c r="O240" t="str">
        <v>v.o.n.</v>
      </c>
      <c r="P240">
        <v>48</v>
      </c>
      <c r="Q240">
        <v>5425</v>
      </c>
      <c r="R240" t="str">
        <v>Onbekend</v>
      </c>
      <c r="S240" t="str">
        <v>A+++</v>
      </c>
      <c r="T240">
        <v>2</v>
      </c>
      <c r="U240">
        <v>1</v>
      </c>
      <c r="V240" t="str">
        <v>Appartement</v>
      </c>
      <c r="W240" t="str">
        <v>Appartement</v>
      </c>
      <c r="X240" t="str">
        <v>Appartement &lt;50 m²</v>
      </c>
      <c r="Y240" t="str">
        <v>Ja</v>
      </c>
      <c r="Z240" t="str">
        <v>eigen parkeerplaats</v>
      </c>
      <c r="AA240" t="str">
        <v>2026</v>
      </c>
      <c r="AB240" t="str">
        <v>Nee</v>
      </c>
      <c r="AC240" t="str">
        <v>NEE</v>
      </c>
      <c r="AD240" t="str">
        <v>JA</v>
      </c>
    </row>
    <row r="241">
      <c r="A241" t="str">
        <v>44421824</v>
      </c>
      <c r="B241" t="str">
        <v>https://www.funda.nl/detail/koop/gennep/appartement-wiertshof-22-bouwnr-b8/44421824/</v>
      </c>
      <c r="C241" t="str">
        <v>Wiertshof Appartementen Koop</v>
      </c>
      <c r="D241" t="str">
        <v>Wiertshof 22</v>
      </c>
      <c r="E241" t="str">
        <v>B8</v>
      </c>
      <c r="F241" t="str">
        <v>6591 DZ</v>
      </c>
      <c r="G241" t="str">
        <v>Gennep</v>
      </c>
      <c r="H241" t="str">
        <v>Gennep</v>
      </c>
      <c r="I241" t="str">
        <v>Limburg</v>
      </c>
      <c r="J241" t="str">
        <v>Zuid-Nederland</v>
      </c>
      <c r="K241" t="str">
        <v>Te koop</v>
      </c>
      <c r="L241" t="str">
        <v>Onbekend</v>
      </c>
      <c r="M241" t="str">
        <v>Onbekend</v>
      </c>
      <c r="N241">
        <v>413000</v>
      </c>
      <c r="O241" t="str">
        <v>v.o.n.</v>
      </c>
      <c r="P241">
        <v>83</v>
      </c>
      <c r="Q241">
        <v>4976</v>
      </c>
      <c r="R241" t="str">
        <v>Onbekend</v>
      </c>
      <c r="S241" t="str">
        <v>A+++</v>
      </c>
      <c r="T241">
        <v>3</v>
      </c>
      <c r="U241">
        <v>2</v>
      </c>
      <c r="V241" t="str">
        <v>Appartement</v>
      </c>
      <c r="W241" t="str">
        <v>Appartement</v>
      </c>
      <c r="X241" t="str">
        <v>Appartement 75-100 m²</v>
      </c>
      <c r="Y241" t="str">
        <v>Ja</v>
      </c>
      <c r="Z241" t="str">
        <v>openbare parkeerplaats</v>
      </c>
      <c r="AA241" t="str">
        <v>Na 2020</v>
      </c>
      <c r="AB241" t="str">
        <v>Nee</v>
      </c>
      <c r="AC241" t="str">
        <v>NEE</v>
      </c>
      <c r="AD241" t="str">
        <v>JA</v>
      </c>
    </row>
    <row r="242">
      <c r="A242" t="str">
        <v>44421823</v>
      </c>
      <c r="B242" t="str">
        <v>https://www.funda.nl/detail/koop/gennep/appartement-wiertshof-2-bouwnr-b5/44421823/</v>
      </c>
      <c r="C242" t="str">
        <v>Wiertshof Appartementen Koop</v>
      </c>
      <c r="D242" t="str">
        <v>Wiertshof 2</v>
      </c>
      <c r="E242" t="str">
        <v>B5</v>
      </c>
      <c r="F242" t="str">
        <v>6591 DZ</v>
      </c>
      <c r="G242" t="str">
        <v>Gennep</v>
      </c>
      <c r="H242" t="str">
        <v>Gennep</v>
      </c>
      <c r="I242" t="str">
        <v>Limburg</v>
      </c>
      <c r="J242" t="str">
        <v>Zuid-Nederland</v>
      </c>
      <c r="K242" t="str">
        <v>Te koop</v>
      </c>
      <c r="L242" t="str">
        <v>Onbekend</v>
      </c>
      <c r="M242" t="str">
        <v>Onbekend</v>
      </c>
      <c r="N242">
        <v>419000</v>
      </c>
      <c r="O242" t="str">
        <v>v.o.n.</v>
      </c>
      <c r="P242">
        <v>86</v>
      </c>
      <c r="Q242">
        <v>4872</v>
      </c>
      <c r="R242" t="str">
        <v>Onbekend</v>
      </c>
      <c r="S242" t="str">
        <v>A+++</v>
      </c>
      <c r="T242">
        <v>3</v>
      </c>
      <c r="U242">
        <v>2</v>
      </c>
      <c r="V242" t="str">
        <v>Appartement</v>
      </c>
      <c r="W242" t="str">
        <v>Appartement</v>
      </c>
      <c r="X242" t="str">
        <v>Appartement 75-100 m²</v>
      </c>
      <c r="Y242" t="str">
        <v>Ja</v>
      </c>
      <c r="Z242" t="str">
        <v>openbare parkeerplaats</v>
      </c>
      <c r="AA242" t="str">
        <v>Na 2020</v>
      </c>
      <c r="AB242" t="str">
        <v>Nee</v>
      </c>
      <c r="AC242" t="str">
        <v>NEE</v>
      </c>
      <c r="AD242" t="str">
        <v>JA</v>
      </c>
    </row>
    <row r="243">
      <c r="A243" t="str">
        <v>44421811</v>
      </c>
      <c r="B243" t="str">
        <v>https://www.funda.nl/detail/koop/gennep/appartement-wiertshof-28-bouwnr-a2/44421811/</v>
      </c>
      <c r="C243" t="str">
        <v>Wiertshof Appartementen Koop</v>
      </c>
      <c r="D243" t="str">
        <v>Wiertshof 28</v>
      </c>
      <c r="E243" t="str">
        <v>A2</v>
      </c>
      <c r="F243" t="str">
        <v>6591 DZ</v>
      </c>
      <c r="G243" t="str">
        <v>Gennep</v>
      </c>
      <c r="H243" t="str">
        <v>Gennep</v>
      </c>
      <c r="I243" t="str">
        <v>Limburg</v>
      </c>
      <c r="J243" t="str">
        <v>Zuid-Nederland</v>
      </c>
      <c r="K243" t="str">
        <v>Te koop</v>
      </c>
      <c r="L243" t="str">
        <v>Onbekend</v>
      </c>
      <c r="M243" t="str">
        <v>Onbekend</v>
      </c>
      <c r="N243">
        <v>376000</v>
      </c>
      <c r="O243" t="str">
        <v>v.o.n.</v>
      </c>
      <c r="P243">
        <v>89</v>
      </c>
      <c r="Q243">
        <v>4225</v>
      </c>
      <c r="R243" t="str">
        <v>Onbekend</v>
      </c>
      <c r="S243" t="str">
        <v>A+++</v>
      </c>
      <c r="T243">
        <v>3</v>
      </c>
      <c r="U243">
        <v>2</v>
      </c>
      <c r="V243" t="str">
        <v>Appartement</v>
      </c>
      <c r="W243" t="str">
        <v>Appartement</v>
      </c>
      <c r="X243" t="str">
        <v>Appartement 75-100 m²</v>
      </c>
      <c r="Y243" t="str">
        <v>Ja</v>
      </c>
      <c r="Z243" t="str">
        <v>openbare parkeerplaats</v>
      </c>
      <c r="AA243" t="str">
        <v>Na 2020</v>
      </c>
      <c r="AB243" t="str">
        <v>Nee</v>
      </c>
      <c r="AC243" t="str">
        <v>NEE</v>
      </c>
      <c r="AD243" t="str">
        <v>JA</v>
      </c>
    </row>
    <row r="244">
      <c r="A244" t="str">
        <v>80885121</v>
      </c>
      <c r="B244" t="str">
        <v>https://www.funda.nl/detail/koop/schoonebeek/appartement-appartement-bouwnr-15/80885121/</v>
      </c>
      <c r="C244" t="str">
        <v>Wonen in de Wolfshoeve</v>
      </c>
      <c r="D244" t="str">
        <v>Appartement</v>
      </c>
      <c r="E244" t="str">
        <v>15</v>
      </c>
      <c r="F244" t="str">
        <v>7761 AL</v>
      </c>
      <c r="G244" t="str">
        <v>Schoonebeek</v>
      </c>
      <c r="H244" t="str">
        <v>Emmen</v>
      </c>
      <c r="I244" t="str">
        <v>Drenthe</v>
      </c>
      <c r="J244" t="str">
        <v>Noord-Nederland</v>
      </c>
      <c r="K244" t="str">
        <v>Te koop</v>
      </c>
      <c r="L244" t="str">
        <v>Onbekend</v>
      </c>
      <c r="M244" t="str">
        <v>Onbekend</v>
      </c>
      <c r="N244">
        <v>410000</v>
      </c>
      <c r="O244" t="str">
        <v>v.o.n.</v>
      </c>
      <c r="P244">
        <v>76</v>
      </c>
      <c r="Q244">
        <v>5395</v>
      </c>
      <c r="R244" t="str">
        <v>Onbekend</v>
      </c>
      <c r="S244" t="str">
        <v>A+++</v>
      </c>
      <c r="T244">
        <v>3</v>
      </c>
      <c r="U244">
        <v>2</v>
      </c>
      <c r="V244" t="str">
        <v>Appartement</v>
      </c>
      <c r="W244" t="str">
        <v>Appartement</v>
      </c>
      <c r="X244" t="str">
        <v>Appartement 75-100 m²</v>
      </c>
      <c r="Y244" t="str">
        <v>Ja</v>
      </c>
      <c r="Z244" t="str">
        <v>eigen parkeerplaats</v>
      </c>
      <c r="AA244" t="str">
        <v>2026</v>
      </c>
      <c r="AB244" t="str">
        <v>Nee</v>
      </c>
      <c r="AC244" t="str">
        <v>NEE</v>
      </c>
      <c r="AD244" t="str">
        <v>JA</v>
      </c>
    </row>
    <row r="245">
      <c r="A245" t="str">
        <v>44421934</v>
      </c>
      <c r="B245" t="str">
        <v>https://www.funda.nl/detail/koop/almere/huis-jean-paul-sartrestraat-29/44421934/</v>
      </c>
      <c r="C245" t="str">
        <v>Onbekend</v>
      </c>
      <c r="D245" t="str">
        <v>Jean-Paul Sartrestraat 29</v>
      </c>
      <c r="E245" t="str">
        <v>Onbekend</v>
      </c>
      <c r="F245" t="str">
        <v>1349 HK</v>
      </c>
      <c r="G245" t="str">
        <v>Almere</v>
      </c>
      <c r="H245" t="str">
        <v>Almere</v>
      </c>
      <c r="I245" t="str">
        <v>Flevoland</v>
      </c>
      <c r="J245" t="str">
        <v>Oost-Nederland</v>
      </c>
      <c r="K245" t="str">
        <v>Te koop</v>
      </c>
      <c r="L245" t="str">
        <v>Onbekend</v>
      </c>
      <c r="M245" t="str">
        <v>Onbekend</v>
      </c>
      <c r="N245">
        <v>795000</v>
      </c>
      <c r="O245" t="str">
        <v>v.o.n.</v>
      </c>
      <c r="P245">
        <v>118</v>
      </c>
      <c r="Q245">
        <v>6737</v>
      </c>
      <c r="R245">
        <v>1105</v>
      </c>
      <c r="S245" t="str">
        <v>A+++</v>
      </c>
      <c r="T245">
        <v>4</v>
      </c>
      <c r="U245">
        <v>3</v>
      </c>
      <c r="V245" t="str">
        <v>Grondgebonden</v>
      </c>
      <c r="W245" t="str">
        <v>Vrijstaande woning</v>
      </c>
      <c r="X245" t="str">
        <v>N.v.t.</v>
      </c>
      <c r="Y245" t="str">
        <v>Ja</v>
      </c>
      <c r="Z245" t="str">
        <v>eigen parkeerplaats</v>
      </c>
      <c r="AA245" t="str">
        <v>2026</v>
      </c>
      <c r="AB245" t="str">
        <v>Nee</v>
      </c>
      <c r="AC245" t="str">
        <v>NEE</v>
      </c>
      <c r="AD245" t="str">
        <v>JA</v>
      </c>
    </row>
    <row r="246">
      <c r="A246" t="str">
        <v>44421809</v>
      </c>
      <c r="B246" t="str">
        <v>https://www.funda.nl/detail/koop/aalten/appartement-hoge-blik-2-e/44421809/</v>
      </c>
      <c r="C246" t="str">
        <v>Onbekend</v>
      </c>
      <c r="D246" t="str">
        <v>Hoge Blik 2-E</v>
      </c>
      <c r="E246" t="str">
        <v>Onbekend</v>
      </c>
      <c r="F246" t="str">
        <v>7121 CW</v>
      </c>
      <c r="G246" t="str">
        <v>Aalten</v>
      </c>
      <c r="H246" t="str">
        <v>Aalten</v>
      </c>
      <c r="I246" t="str">
        <v>Gelderland</v>
      </c>
      <c r="J246" t="str">
        <v>Oost-Nederland</v>
      </c>
      <c r="K246" t="str">
        <v>Te koop</v>
      </c>
      <c r="L246" t="str">
        <v>Onbekend</v>
      </c>
      <c r="M246" t="str">
        <v>Onbekend</v>
      </c>
      <c r="N246">
        <v>452000</v>
      </c>
      <c r="O246" t="str">
        <v>v.o.n.</v>
      </c>
      <c r="P246">
        <v>85</v>
      </c>
      <c r="Q246">
        <v>5318</v>
      </c>
      <c r="R246" t="str">
        <v>Onbekend</v>
      </c>
      <c r="S246" t="str">
        <v>A++</v>
      </c>
      <c r="T246">
        <v>3</v>
      </c>
      <c r="U246">
        <v>2</v>
      </c>
      <c r="V246" t="str">
        <v>Appartement</v>
      </c>
      <c r="W246" t="str">
        <v>Appartement</v>
      </c>
      <c r="X246" t="str">
        <v>Appartement 75-100 m²</v>
      </c>
      <c r="Y246" t="str">
        <v>Ja</v>
      </c>
      <c r="Z246" t="str">
        <v>parkeerterrein</v>
      </c>
      <c r="AA246" t="str">
        <v>2026</v>
      </c>
      <c r="AB246" t="str">
        <v>Nee</v>
      </c>
      <c r="AC246" t="str">
        <v>NEE</v>
      </c>
      <c r="AD246" t="str">
        <v>JA</v>
      </c>
    </row>
    <row r="247">
      <c r="A247" t="str">
        <v>44420322</v>
      </c>
      <c r="B247" t="str">
        <v>https://www.funda.nl/detail/koop/zetten/huis-bouwnummer-bouwnr-4/44420322/</v>
      </c>
      <c r="C247" t="str">
        <v>Veldzicht</v>
      </c>
      <c r="D247" t="str">
        <v>Bouwnummer</v>
      </c>
      <c r="E247" t="str">
        <v>4</v>
      </c>
      <c r="F247" t="str">
        <v>6671 BX</v>
      </c>
      <c r="G247" t="str">
        <v>Zetten</v>
      </c>
      <c r="H247" t="str">
        <v>Overbetuwe</v>
      </c>
      <c r="I247" t="str">
        <v>Gelderland</v>
      </c>
      <c r="J247" t="str">
        <v>Oost-Nederland</v>
      </c>
      <c r="K247" t="str">
        <v>Te koop</v>
      </c>
      <c r="L247" t="str">
        <v>Onbekend</v>
      </c>
      <c r="M247" t="str">
        <v>Onbekend</v>
      </c>
      <c r="N247">
        <v>427000</v>
      </c>
      <c r="O247" t="str">
        <v>v.o.n.</v>
      </c>
      <c r="P247">
        <v>90</v>
      </c>
      <c r="Q247">
        <v>4744</v>
      </c>
      <c r="R247">
        <v>170</v>
      </c>
      <c r="S247" t="str">
        <v>A+++</v>
      </c>
      <c r="T247">
        <v>2</v>
      </c>
      <c r="U247">
        <v>2</v>
      </c>
      <c r="V247" t="str">
        <v>Grondgebonden</v>
      </c>
      <c r="W247" t="str">
        <v>Eindwoning</v>
      </c>
      <c r="X247" t="str">
        <v>N.v.t.</v>
      </c>
      <c r="Y247" t="str">
        <v>Ja</v>
      </c>
      <c r="Z247" t="str">
        <v>openbare parkeerplaats</v>
      </c>
      <c r="AA247" t="str">
        <v>2027</v>
      </c>
      <c r="AB247" t="str">
        <v>Nee</v>
      </c>
      <c r="AC247" t="str">
        <v>NEE</v>
      </c>
      <c r="AD247" t="str">
        <v>JA</v>
      </c>
    </row>
    <row r="248">
      <c r="A248" t="str">
        <v>44420321</v>
      </c>
      <c r="B248" t="str">
        <v>https://www.funda.nl/detail/koop/zetten/huis-bouwnummer-bouwnr-3/44420321/</v>
      </c>
      <c r="C248" t="str">
        <v>Veldzicht</v>
      </c>
      <c r="D248" t="str">
        <v>Bouwnummer</v>
      </c>
      <c r="E248" t="str">
        <v>3</v>
      </c>
      <c r="F248" t="str">
        <v>6671 BX</v>
      </c>
      <c r="G248" t="str">
        <v>Zetten</v>
      </c>
      <c r="H248" t="str">
        <v>Overbetuwe</v>
      </c>
      <c r="I248" t="str">
        <v>Gelderland</v>
      </c>
      <c r="J248" t="str">
        <v>Oost-Nederland</v>
      </c>
      <c r="K248" t="str">
        <v>Te koop</v>
      </c>
      <c r="L248" t="str">
        <v>Onbekend</v>
      </c>
      <c r="M248" t="str">
        <v>Onbekend</v>
      </c>
      <c r="N248">
        <v>427000</v>
      </c>
      <c r="O248" t="str">
        <v>v.o.n.</v>
      </c>
      <c r="P248">
        <v>90</v>
      </c>
      <c r="Q248">
        <v>4744</v>
      </c>
      <c r="R248">
        <v>170</v>
      </c>
      <c r="S248" t="str">
        <v>A+++</v>
      </c>
      <c r="T248">
        <v>2</v>
      </c>
      <c r="U248">
        <v>2</v>
      </c>
      <c r="V248" t="str">
        <v>Grondgebonden</v>
      </c>
      <c r="W248" t="str">
        <v>Eindwoning</v>
      </c>
      <c r="X248" t="str">
        <v>N.v.t.</v>
      </c>
      <c r="Y248" t="str">
        <v>Ja</v>
      </c>
      <c r="Z248" t="str">
        <v>openbare parkeerplaats</v>
      </c>
      <c r="AA248" t="str">
        <v>2027</v>
      </c>
      <c r="AB248" t="str">
        <v>Nee</v>
      </c>
      <c r="AC248" t="str">
        <v>NEE</v>
      </c>
      <c r="AD248" t="str">
        <v>JA</v>
      </c>
    </row>
    <row r="249">
      <c r="A249" t="str">
        <v>44420251</v>
      </c>
      <c r="B249" t="str">
        <v>https://www.funda.nl/detail/koop/vlaardingen/huis-excellent-bouwnr-317/44420251/</v>
      </c>
      <c r="C249" t="str">
        <v>Park Vijfsluizen fase E</v>
      </c>
      <c r="D249" t="str">
        <v>Excellent</v>
      </c>
      <c r="E249" t="str">
        <v>317</v>
      </c>
      <c r="F249" t="str">
        <v>3135 BT</v>
      </c>
      <c r="G249" t="str">
        <v>Vlaardingen</v>
      </c>
      <c r="H249" t="str">
        <v>Vlaardingen</v>
      </c>
      <c r="I249" t="str">
        <v>Zuid-Holland</v>
      </c>
      <c r="J249" t="str">
        <v>West-Nederland</v>
      </c>
      <c r="K249" t="str">
        <v>Te koop</v>
      </c>
      <c r="L249" t="str">
        <v>Onbekend</v>
      </c>
      <c r="M249" t="str">
        <v>Onbekend</v>
      </c>
      <c r="N249">
        <v>875052</v>
      </c>
      <c r="O249" t="str">
        <v>v.o.n.</v>
      </c>
      <c r="P249">
        <v>168</v>
      </c>
      <c r="Q249">
        <v>5209</v>
      </c>
      <c r="R249" t="str">
        <v>Onbekend</v>
      </c>
      <c r="S249" t="str">
        <v>Niet beschikbaar</v>
      </c>
      <c r="T249">
        <v>5</v>
      </c>
      <c r="U249">
        <v>3</v>
      </c>
      <c r="V249" t="str">
        <v>Grondgebonden</v>
      </c>
      <c r="W249" t="str">
        <v>2-onder-1-kapwoning</v>
      </c>
      <c r="X249" t="str">
        <v>N.v.t.</v>
      </c>
      <c r="Y249" t="str">
        <v>Ja</v>
      </c>
      <c r="Z249" t="str">
        <v>eigen parkeerplaats</v>
      </c>
      <c r="AA249" t="str">
        <v>2025</v>
      </c>
      <c r="AB249" t="str">
        <v>Nee</v>
      </c>
      <c r="AC249" t="str">
        <v>NEE</v>
      </c>
      <c r="AD249" t="str">
        <v>JA</v>
      </c>
    </row>
    <row r="250">
      <c r="A250" t="str">
        <v>44420190</v>
      </c>
      <c r="B250" t="str">
        <v>https://www.funda.nl/detail/koop/hengelo-ov/appartement-studio-s-bouwnr-a6/44420190/</v>
      </c>
      <c r="C250" t="str">
        <v>Noaberhof de Rijkskweek</v>
      </c>
      <c r="D250" t="str">
        <v>Studio's</v>
      </c>
      <c r="E250" t="str">
        <v>A6</v>
      </c>
      <c r="F250" t="str">
        <v>7551</v>
      </c>
      <c r="G250" t="str">
        <v>Hengelo (OV)</v>
      </c>
      <c r="H250" t="str">
        <v>Hengelo (O)</v>
      </c>
      <c r="I250" t="str">
        <v>Overijssel</v>
      </c>
      <c r="J250" t="str">
        <v>Oost-Nederland</v>
      </c>
      <c r="K250" t="str">
        <v>Te koop</v>
      </c>
      <c r="L250" t="str">
        <v>Onbekend</v>
      </c>
      <c r="M250" t="str">
        <v>Onbekend</v>
      </c>
      <c r="N250">
        <v>325000</v>
      </c>
      <c r="O250" t="str">
        <v>v.o.n.</v>
      </c>
      <c r="P250">
        <v>65</v>
      </c>
      <c r="Q250">
        <v>5000</v>
      </c>
      <c r="R250" t="str">
        <v>Onbekend</v>
      </c>
      <c r="S250" t="str">
        <v>A++</v>
      </c>
      <c r="T250">
        <v>2</v>
      </c>
      <c r="U250">
        <v>1</v>
      </c>
      <c r="V250" t="str">
        <v>Appartement</v>
      </c>
      <c r="W250" t="str">
        <v>Appartement</v>
      </c>
      <c r="X250" t="str">
        <v>Appartement 50-75 m²</v>
      </c>
      <c r="Y250" t="str">
        <v>Ja</v>
      </c>
      <c r="Z250" t="str">
        <v>parkeerterrein</v>
      </c>
      <c r="AA250" t="str">
        <v>Na 2020</v>
      </c>
      <c r="AB250" t="str">
        <v>Nee</v>
      </c>
      <c r="AC250" t="str">
        <v>NEE</v>
      </c>
      <c r="AD250" t="str">
        <v>JA</v>
      </c>
    </row>
    <row r="251">
      <c r="A251" t="str">
        <v>44420098</v>
      </c>
      <c r="B251" t="str">
        <v>https://www.funda.nl/detail/koop/veenendaal/huis-brink-bouwnr-6/44420098/</v>
      </c>
      <c r="C251" t="str">
        <v>Linde</v>
      </c>
      <c r="D251" t="str">
        <v>Brink</v>
      </c>
      <c r="E251" t="str">
        <v>6</v>
      </c>
      <c r="F251" t="str">
        <v>3907</v>
      </c>
      <c r="G251" t="str">
        <v>Veenendaal</v>
      </c>
      <c r="H251" t="str">
        <v>Veenendaal</v>
      </c>
      <c r="I251" t="str">
        <v>Utrecht</v>
      </c>
      <c r="J251" t="str">
        <v>West-Nederland</v>
      </c>
      <c r="K251" t="str">
        <v>Te koop</v>
      </c>
      <c r="L251" t="str">
        <v>Onbekend</v>
      </c>
      <c r="M251" t="str">
        <v>Onbekend</v>
      </c>
      <c r="N251">
        <v>650000</v>
      </c>
      <c r="O251" t="str">
        <v>v.o.n.</v>
      </c>
      <c r="P251">
        <v>130</v>
      </c>
      <c r="Q251">
        <v>5000</v>
      </c>
      <c r="R251">
        <v>265</v>
      </c>
      <c r="S251" t="str">
        <v>Niet beschikbaar</v>
      </c>
      <c r="T251">
        <v>5</v>
      </c>
      <c r="U251">
        <v>3</v>
      </c>
      <c r="V251" t="str">
        <v>Grondgebonden</v>
      </c>
      <c r="W251" t="str">
        <v>2-onder-1-kapwoning</v>
      </c>
      <c r="X251" t="str">
        <v>N.v.t.</v>
      </c>
      <c r="Y251" t="str">
        <v>Ja</v>
      </c>
      <c r="Z251" t="str">
        <v>eigen parkeerplaats</v>
      </c>
      <c r="AA251" t="str">
        <v>Na 2020</v>
      </c>
      <c r="AB251" t="str">
        <v>Nee</v>
      </c>
      <c r="AC251" t="str">
        <v>NEE</v>
      </c>
      <c r="AD251" t="str">
        <v>JA</v>
      </c>
    </row>
    <row r="252">
      <c r="A252" t="str">
        <v>44420094</v>
      </c>
      <c r="B252" t="str">
        <v>https://www.funda.nl/detail/koop/veenendaal/huis-park-bouwnr-15/44420094/</v>
      </c>
      <c r="C252" t="str">
        <v>Linde</v>
      </c>
      <c r="D252" t="str">
        <v>Park</v>
      </c>
      <c r="E252" t="str">
        <v>15</v>
      </c>
      <c r="F252" t="str">
        <v>3907</v>
      </c>
      <c r="G252" t="str">
        <v>Veenendaal</v>
      </c>
      <c r="H252" t="str">
        <v>Veenendaal</v>
      </c>
      <c r="I252" t="str">
        <v>Utrecht</v>
      </c>
      <c r="J252" t="str">
        <v>West-Nederland</v>
      </c>
      <c r="K252" t="str">
        <v>Te koop</v>
      </c>
      <c r="L252" t="str">
        <v>Onbekend</v>
      </c>
      <c r="M252" t="str">
        <v>Onbekend</v>
      </c>
      <c r="N252">
        <v>755000</v>
      </c>
      <c r="O252" t="str">
        <v>v.o.n.</v>
      </c>
      <c r="P252">
        <v>156</v>
      </c>
      <c r="Q252">
        <v>4840</v>
      </c>
      <c r="R252">
        <v>345</v>
      </c>
      <c r="S252" t="str">
        <v>Niet beschikbaar</v>
      </c>
      <c r="T252">
        <v>5</v>
      </c>
      <c r="U252">
        <v>3</v>
      </c>
      <c r="V252" t="str">
        <v>Grondgebonden</v>
      </c>
      <c r="W252" t="str">
        <v>2-onder-1-kapwoning</v>
      </c>
      <c r="X252" t="str">
        <v>N.v.t.</v>
      </c>
      <c r="Y252" t="str">
        <v>Ja</v>
      </c>
      <c r="Z252" t="str">
        <v>eigen parkeerplaats</v>
      </c>
      <c r="AA252" t="str">
        <v>2026</v>
      </c>
      <c r="AB252" t="str">
        <v>Nee</v>
      </c>
      <c r="AC252" t="str">
        <v>NEE</v>
      </c>
      <c r="AD252" t="str">
        <v>JA</v>
      </c>
    </row>
    <row r="253">
      <c r="A253" t="str">
        <v>44420093</v>
      </c>
      <c r="B253" t="str">
        <v>https://www.funda.nl/detail/koop/veenendaal/huis-park-bouwnr-13/44420093/</v>
      </c>
      <c r="C253" t="str">
        <v>Linde</v>
      </c>
      <c r="D253" t="str">
        <v>Park</v>
      </c>
      <c r="E253" t="str">
        <v>13</v>
      </c>
      <c r="F253" t="str">
        <v>3907</v>
      </c>
      <c r="G253" t="str">
        <v>Veenendaal</v>
      </c>
      <c r="H253" t="str">
        <v>Veenendaal</v>
      </c>
      <c r="I253" t="str">
        <v>Utrecht</v>
      </c>
      <c r="J253" t="str">
        <v>West-Nederland</v>
      </c>
      <c r="K253" t="str">
        <v>Te koop</v>
      </c>
      <c r="L253" t="str">
        <v>Onbekend</v>
      </c>
      <c r="M253" t="str">
        <v>Onbekend</v>
      </c>
      <c r="N253">
        <v>750000</v>
      </c>
      <c r="O253" t="str">
        <v>v.o.n.</v>
      </c>
      <c r="P253">
        <v>156</v>
      </c>
      <c r="Q253">
        <v>4808</v>
      </c>
      <c r="R253">
        <v>320</v>
      </c>
      <c r="S253" t="str">
        <v>Niet beschikbaar</v>
      </c>
      <c r="T253">
        <v>5</v>
      </c>
      <c r="U253">
        <v>3</v>
      </c>
      <c r="V253" t="str">
        <v>Grondgebonden</v>
      </c>
      <c r="W253" t="str">
        <v>2-onder-1-kapwoning</v>
      </c>
      <c r="X253" t="str">
        <v>N.v.t.</v>
      </c>
      <c r="Y253" t="str">
        <v>Ja</v>
      </c>
      <c r="Z253" t="str">
        <v>eigen parkeerplaats</v>
      </c>
      <c r="AA253" t="str">
        <v>2026</v>
      </c>
      <c r="AB253" t="str">
        <v>Nee</v>
      </c>
      <c r="AC253" t="str">
        <v>NEE</v>
      </c>
      <c r="AD253" t="str">
        <v>JA</v>
      </c>
    </row>
    <row r="254">
      <c r="A254" t="str">
        <v>44420082</v>
      </c>
      <c r="B254" t="str">
        <v>https://www.funda.nl/detail/koop/veenendaal/huis-park-bouwnr-14/44420082/</v>
      </c>
      <c r="C254" t="str">
        <v>Linde</v>
      </c>
      <c r="D254" t="str">
        <v>Park</v>
      </c>
      <c r="E254" t="str">
        <v>14</v>
      </c>
      <c r="F254" t="str">
        <v>3907</v>
      </c>
      <c r="G254" t="str">
        <v>Veenendaal</v>
      </c>
      <c r="H254" t="str">
        <v>Veenendaal</v>
      </c>
      <c r="I254" t="str">
        <v>Utrecht</v>
      </c>
      <c r="J254" t="str">
        <v>West-Nederland</v>
      </c>
      <c r="K254" t="str">
        <v>Te koop</v>
      </c>
      <c r="L254" t="str">
        <v>2026-07-07</v>
      </c>
      <c r="M254">
        <v>6</v>
      </c>
      <c r="N254">
        <v>750000</v>
      </c>
      <c r="O254" t="str">
        <v>v.o.n.</v>
      </c>
      <c r="P254">
        <v>156</v>
      </c>
      <c r="Q254">
        <v>4808</v>
      </c>
      <c r="R254">
        <v>318</v>
      </c>
      <c r="S254" t="str">
        <v>Niet beschikbaar</v>
      </c>
      <c r="T254">
        <v>5</v>
      </c>
      <c r="U254">
        <v>3</v>
      </c>
      <c r="V254" t="str">
        <v>Grondgebonden</v>
      </c>
      <c r="W254" t="str">
        <v>2-onder-1-kapwoning</v>
      </c>
      <c r="X254" t="str">
        <v>N.v.t.</v>
      </c>
      <c r="Y254" t="str">
        <v>Ja</v>
      </c>
      <c r="Z254" t="str">
        <v>eigen parkeerplaats</v>
      </c>
      <c r="AA254" t="str">
        <v>2026</v>
      </c>
      <c r="AB254" t="str">
        <v>Nee</v>
      </c>
      <c r="AC254" t="str">
        <v>NEE</v>
      </c>
      <c r="AD254" t="str">
        <v>JA</v>
      </c>
    </row>
    <row r="255">
      <c r="A255" t="str">
        <v>44420081</v>
      </c>
      <c r="B255" t="str">
        <v>https://www.funda.nl/detail/koop/veenendaal/huis-park-bouwnr-16/44420081/</v>
      </c>
      <c r="C255" t="str">
        <v>Linde</v>
      </c>
      <c r="D255" t="str">
        <v>Park</v>
      </c>
      <c r="E255" t="str">
        <v>16</v>
      </c>
      <c r="F255" t="str">
        <v>3907</v>
      </c>
      <c r="G255" t="str">
        <v>Veenendaal</v>
      </c>
      <c r="H255" t="str">
        <v>Veenendaal</v>
      </c>
      <c r="I255" t="str">
        <v>Utrecht</v>
      </c>
      <c r="J255" t="str">
        <v>West-Nederland</v>
      </c>
      <c r="K255" t="str">
        <v>Te koop</v>
      </c>
      <c r="L255" t="str">
        <v>Onbekend</v>
      </c>
      <c r="M255" t="str">
        <v>Onbekend</v>
      </c>
      <c r="N255">
        <v>755000</v>
      </c>
      <c r="O255" t="str">
        <v>v.o.n.</v>
      </c>
      <c r="P255">
        <v>156</v>
      </c>
      <c r="Q255">
        <v>4840</v>
      </c>
      <c r="R255">
        <v>342</v>
      </c>
      <c r="S255" t="str">
        <v>Niet beschikbaar</v>
      </c>
      <c r="T255">
        <v>5</v>
      </c>
      <c r="U255">
        <v>3</v>
      </c>
      <c r="V255" t="str">
        <v>Grondgebonden</v>
      </c>
      <c r="W255" t="str">
        <v>2-onder-1-kapwoning</v>
      </c>
      <c r="X255" t="str">
        <v>N.v.t.</v>
      </c>
      <c r="Y255" t="str">
        <v>Ja</v>
      </c>
      <c r="Z255" t="str">
        <v>eigen parkeerplaats</v>
      </c>
      <c r="AA255" t="str">
        <v>Na 2020</v>
      </c>
      <c r="AB255" t="str">
        <v>Nee</v>
      </c>
      <c r="AC255" t="str">
        <v>NEE</v>
      </c>
      <c r="AD255" t="str">
        <v>JA</v>
      </c>
    </row>
    <row r="256">
      <c r="A256" t="str">
        <v>44420080</v>
      </c>
      <c r="B256" t="str">
        <v>https://www.funda.nl/detail/koop/veenendaal/huis-brink-bouwnr-8/44420080/</v>
      </c>
      <c r="C256" t="str">
        <v>Linde</v>
      </c>
      <c r="D256" t="str">
        <v>Brink</v>
      </c>
      <c r="E256" t="str">
        <v>8</v>
      </c>
      <c r="F256" t="str">
        <v>3907</v>
      </c>
      <c r="G256" t="str">
        <v>Veenendaal</v>
      </c>
      <c r="H256" t="str">
        <v>Veenendaal</v>
      </c>
      <c r="I256" t="str">
        <v>Utrecht</v>
      </c>
      <c r="J256" t="str">
        <v>West-Nederland</v>
      </c>
      <c r="K256" t="str">
        <v>Te koop</v>
      </c>
      <c r="L256" t="str">
        <v>Onbekend</v>
      </c>
      <c r="M256" t="str">
        <v>Onbekend</v>
      </c>
      <c r="N256">
        <v>650000</v>
      </c>
      <c r="O256" t="str">
        <v>v.o.n.</v>
      </c>
      <c r="P256">
        <v>130</v>
      </c>
      <c r="Q256">
        <v>5000</v>
      </c>
      <c r="R256">
        <v>265</v>
      </c>
      <c r="S256" t="str">
        <v>Niet beschikbaar</v>
      </c>
      <c r="T256">
        <v>5</v>
      </c>
      <c r="U256">
        <v>3</v>
      </c>
      <c r="V256" t="str">
        <v>Grondgebonden</v>
      </c>
      <c r="W256" t="str">
        <v>2-onder-1-kapwoning</v>
      </c>
      <c r="X256" t="str">
        <v>N.v.t.</v>
      </c>
      <c r="Y256" t="str">
        <v>Ja</v>
      </c>
      <c r="Z256" t="str">
        <v>eigen parkeerplaats</v>
      </c>
      <c r="AA256" t="str">
        <v>Na 2020</v>
      </c>
      <c r="AB256" t="str">
        <v>Nee</v>
      </c>
      <c r="AC256" t="str">
        <v>NEE</v>
      </c>
      <c r="AD256" t="str">
        <v>JA</v>
      </c>
    </row>
    <row r="257">
      <c r="A257" t="str">
        <v>44420089</v>
      </c>
      <c r="B257" t="str">
        <v>https://www.funda.nl/detail/koop/veenendaal/huis-brink-bouwnr-7/44420089/</v>
      </c>
      <c r="C257" t="str">
        <v>Linde</v>
      </c>
      <c r="D257" t="str">
        <v>Brink</v>
      </c>
      <c r="E257" t="str">
        <v>7</v>
      </c>
      <c r="F257" t="str">
        <v>3907</v>
      </c>
      <c r="G257" t="str">
        <v>Veenendaal</v>
      </c>
      <c r="H257" t="str">
        <v>Veenendaal</v>
      </c>
      <c r="I257" t="str">
        <v>Utrecht</v>
      </c>
      <c r="J257" t="str">
        <v>West-Nederland</v>
      </c>
      <c r="K257" t="str">
        <v>Te koop</v>
      </c>
      <c r="L257" t="str">
        <v>Onbekend</v>
      </c>
      <c r="M257" t="str">
        <v>Onbekend</v>
      </c>
      <c r="N257">
        <v>650000</v>
      </c>
      <c r="O257" t="str">
        <v>v.o.n.</v>
      </c>
      <c r="P257">
        <v>130</v>
      </c>
      <c r="Q257">
        <v>5000</v>
      </c>
      <c r="R257">
        <v>265</v>
      </c>
      <c r="S257" t="str">
        <v>Niet beschikbaar</v>
      </c>
      <c r="T257">
        <v>5</v>
      </c>
      <c r="U257">
        <v>3</v>
      </c>
      <c r="V257" t="str">
        <v>Grondgebonden</v>
      </c>
      <c r="W257" t="str">
        <v>2-onder-1-kapwoning</v>
      </c>
      <c r="X257" t="str">
        <v>N.v.t.</v>
      </c>
      <c r="Y257" t="str">
        <v>Ja</v>
      </c>
      <c r="Z257" t="str">
        <v>eigen parkeerplaats</v>
      </c>
      <c r="AA257" t="str">
        <v>Na 2020</v>
      </c>
      <c r="AB257" t="str">
        <v>Nee</v>
      </c>
      <c r="AC257" t="str">
        <v>NEE</v>
      </c>
      <c r="AD257" t="str">
        <v>JA</v>
      </c>
    </row>
    <row r="258">
      <c r="A258" t="str">
        <v>44420087</v>
      </c>
      <c r="B258" t="str">
        <v>https://www.funda.nl/detail/koop/veenendaal/huis-brink-bouwnr-4/44420087/</v>
      </c>
      <c r="C258" t="str">
        <v>Linde</v>
      </c>
      <c r="D258" t="str">
        <v>Brink</v>
      </c>
      <c r="E258" t="str">
        <v>4</v>
      </c>
      <c r="F258" t="str">
        <v>3907</v>
      </c>
      <c r="G258" t="str">
        <v>Veenendaal</v>
      </c>
      <c r="H258" t="str">
        <v>Veenendaal</v>
      </c>
      <c r="I258" t="str">
        <v>Utrecht</v>
      </c>
      <c r="J258" t="str">
        <v>West-Nederland</v>
      </c>
      <c r="K258" t="str">
        <v>Te koop</v>
      </c>
      <c r="L258" t="str">
        <v>Onbekend</v>
      </c>
      <c r="M258" t="str">
        <v>Onbekend</v>
      </c>
      <c r="N258">
        <v>650000</v>
      </c>
      <c r="O258" t="str">
        <v>v.o.n.</v>
      </c>
      <c r="P258">
        <v>130</v>
      </c>
      <c r="Q258">
        <v>5000</v>
      </c>
      <c r="R258">
        <v>265</v>
      </c>
      <c r="S258" t="str">
        <v>Niet beschikbaar</v>
      </c>
      <c r="T258">
        <v>5</v>
      </c>
      <c r="U258">
        <v>3</v>
      </c>
      <c r="V258" t="str">
        <v>Grondgebonden</v>
      </c>
      <c r="W258" t="str">
        <v>2-onder-1-kapwoning</v>
      </c>
      <c r="X258" t="str">
        <v>N.v.t.</v>
      </c>
      <c r="Y258" t="str">
        <v>Ja</v>
      </c>
      <c r="Z258" t="str">
        <v>eigen parkeerplaats</v>
      </c>
      <c r="AA258" t="str">
        <v>Na 2020</v>
      </c>
      <c r="AB258" t="str">
        <v>Nee</v>
      </c>
      <c r="AC258" t="str">
        <v>NEE</v>
      </c>
      <c r="AD258" t="str">
        <v>JA</v>
      </c>
    </row>
    <row r="259">
      <c r="A259" t="str">
        <v>44420086</v>
      </c>
      <c r="B259" t="str">
        <v>https://www.funda.nl/detail/koop/veenendaal/huis-brink-bouwnr-3/44420086/</v>
      </c>
      <c r="C259" t="str">
        <v>Linde</v>
      </c>
      <c r="D259" t="str">
        <v>Brink</v>
      </c>
      <c r="E259" t="str">
        <v>3</v>
      </c>
      <c r="F259" t="str">
        <v>3907</v>
      </c>
      <c r="G259" t="str">
        <v>Veenendaal</v>
      </c>
      <c r="H259" t="str">
        <v>Veenendaal</v>
      </c>
      <c r="I259" t="str">
        <v>Utrecht</v>
      </c>
      <c r="J259" t="str">
        <v>West-Nederland</v>
      </c>
      <c r="K259" t="str">
        <v>Te koop</v>
      </c>
      <c r="L259" t="str">
        <v>Onbekend</v>
      </c>
      <c r="M259" t="str">
        <v>Onbekend</v>
      </c>
      <c r="N259">
        <v>650000</v>
      </c>
      <c r="O259" t="str">
        <v>v.o.n.</v>
      </c>
      <c r="P259">
        <v>130</v>
      </c>
      <c r="Q259">
        <v>5000</v>
      </c>
      <c r="R259">
        <v>265</v>
      </c>
      <c r="S259" t="str">
        <v>Niet beschikbaar</v>
      </c>
      <c r="T259">
        <v>5</v>
      </c>
      <c r="U259">
        <v>3</v>
      </c>
      <c r="V259" t="str">
        <v>Grondgebonden</v>
      </c>
      <c r="W259" t="str">
        <v>2-onder-1-kapwoning</v>
      </c>
      <c r="X259" t="str">
        <v>N.v.t.</v>
      </c>
      <c r="Y259" t="str">
        <v>Ja</v>
      </c>
      <c r="Z259" t="str">
        <v>eigen parkeerplaats</v>
      </c>
      <c r="AA259" t="str">
        <v>Na 2020</v>
      </c>
      <c r="AB259" t="str">
        <v>Nee</v>
      </c>
      <c r="AC259" t="str">
        <v>NEE</v>
      </c>
      <c r="AD259" t="str">
        <v>JA</v>
      </c>
    </row>
    <row r="260">
      <c r="A260" t="str">
        <v>44420085</v>
      </c>
      <c r="B260" t="str">
        <v>https://www.funda.nl/detail/koop/veenendaal/huis-brink-bouwnr-2/44420085/</v>
      </c>
      <c r="C260" t="str">
        <v>Linde</v>
      </c>
      <c r="D260" t="str">
        <v>Brink</v>
      </c>
      <c r="E260" t="str">
        <v>2</v>
      </c>
      <c r="F260" t="str">
        <v>3907</v>
      </c>
      <c r="G260" t="str">
        <v>Veenendaal</v>
      </c>
      <c r="H260" t="str">
        <v>Veenendaal</v>
      </c>
      <c r="I260" t="str">
        <v>Utrecht</v>
      </c>
      <c r="J260" t="str">
        <v>West-Nederland</v>
      </c>
      <c r="K260" t="str">
        <v>Te koop</v>
      </c>
      <c r="L260" t="str">
        <v>Onbekend</v>
      </c>
      <c r="M260" t="str">
        <v>Onbekend</v>
      </c>
      <c r="N260">
        <v>650000</v>
      </c>
      <c r="O260" t="str">
        <v>v.o.n.</v>
      </c>
      <c r="P260">
        <v>130</v>
      </c>
      <c r="Q260">
        <v>5000</v>
      </c>
      <c r="R260">
        <v>265</v>
      </c>
      <c r="S260" t="str">
        <v>Niet beschikbaar</v>
      </c>
      <c r="T260">
        <v>5</v>
      </c>
      <c r="U260">
        <v>3</v>
      </c>
      <c r="V260" t="str">
        <v>Grondgebonden</v>
      </c>
      <c r="W260" t="str">
        <v>2-onder-1-kapwoning</v>
      </c>
      <c r="X260" t="str">
        <v>N.v.t.</v>
      </c>
      <c r="Y260" t="str">
        <v>Ja</v>
      </c>
      <c r="Z260" t="str">
        <v>eigen parkeerplaats</v>
      </c>
      <c r="AA260" t="str">
        <v>Na 2020</v>
      </c>
      <c r="AB260" t="str">
        <v>Nee</v>
      </c>
      <c r="AC260" t="str">
        <v>NEE</v>
      </c>
      <c r="AD260" t="str">
        <v>JA</v>
      </c>
    </row>
    <row r="261">
      <c r="A261" t="str">
        <v>44420083</v>
      </c>
      <c r="B261" t="str">
        <v>https://www.funda.nl/detail/koop/veenendaal/huis-brink-bouwnr-5/44420083/</v>
      </c>
      <c r="C261" t="str">
        <v>Linde</v>
      </c>
      <c r="D261" t="str">
        <v>Brink</v>
      </c>
      <c r="E261" t="str">
        <v>5</v>
      </c>
      <c r="F261" t="str">
        <v>3907</v>
      </c>
      <c r="G261" t="str">
        <v>Veenendaal</v>
      </c>
      <c r="H261" t="str">
        <v>Veenendaal</v>
      </c>
      <c r="I261" t="str">
        <v>Utrecht</v>
      </c>
      <c r="J261" t="str">
        <v>West-Nederland</v>
      </c>
      <c r="K261" t="str">
        <v>Te koop</v>
      </c>
      <c r="L261" t="str">
        <v>Onbekend</v>
      </c>
      <c r="M261" t="str">
        <v>Onbekend</v>
      </c>
      <c r="N261">
        <v>650000</v>
      </c>
      <c r="O261" t="str">
        <v>v.o.n.</v>
      </c>
      <c r="P261">
        <v>130</v>
      </c>
      <c r="Q261">
        <v>5000</v>
      </c>
      <c r="R261">
        <v>265</v>
      </c>
      <c r="S261" t="str">
        <v>Niet beschikbaar</v>
      </c>
      <c r="T261">
        <v>5</v>
      </c>
      <c r="U261">
        <v>3</v>
      </c>
      <c r="V261" t="str">
        <v>Grondgebonden</v>
      </c>
      <c r="W261" t="str">
        <v>2-onder-1-kapwoning</v>
      </c>
      <c r="X261" t="str">
        <v>N.v.t.</v>
      </c>
      <c r="Y261" t="str">
        <v>Ja</v>
      </c>
      <c r="Z261" t="str">
        <v>eigen parkeerplaats</v>
      </c>
      <c r="AA261" t="str">
        <v>Na 2020</v>
      </c>
      <c r="AB261" t="str">
        <v>Nee</v>
      </c>
      <c r="AC261" t="str">
        <v>NEE</v>
      </c>
      <c r="AD261" t="str">
        <v>JA</v>
      </c>
    </row>
    <row r="262">
      <c r="A262" t="str">
        <v>44420072</v>
      </c>
      <c r="B262" t="str">
        <v>https://www.funda.nl/detail/koop/veenendaal/huis-brink-bouwnr-1/44420072/</v>
      </c>
      <c r="C262" t="str">
        <v>Linde</v>
      </c>
      <c r="D262" t="str">
        <v>Brink</v>
      </c>
      <c r="E262" t="str">
        <v>1</v>
      </c>
      <c r="F262" t="str">
        <v>3907</v>
      </c>
      <c r="G262" t="str">
        <v>Veenendaal</v>
      </c>
      <c r="H262" t="str">
        <v>Veenendaal</v>
      </c>
      <c r="I262" t="str">
        <v>Utrecht</v>
      </c>
      <c r="J262" t="str">
        <v>West-Nederland</v>
      </c>
      <c r="K262" t="str">
        <v>Te koop</v>
      </c>
      <c r="L262" t="str">
        <v>Onbekend</v>
      </c>
      <c r="M262" t="str">
        <v>Onbekend</v>
      </c>
      <c r="N262">
        <v>660000</v>
      </c>
      <c r="O262" t="str">
        <v>v.o.n.</v>
      </c>
      <c r="P262">
        <v>130</v>
      </c>
      <c r="Q262">
        <v>5077</v>
      </c>
      <c r="R262">
        <v>330</v>
      </c>
      <c r="S262" t="str">
        <v>Niet beschikbaar</v>
      </c>
      <c r="T262">
        <v>5</v>
      </c>
      <c r="U262">
        <v>3</v>
      </c>
      <c r="V262" t="str">
        <v>Grondgebonden</v>
      </c>
      <c r="W262" t="str">
        <v>2-onder-1-kapwoning</v>
      </c>
      <c r="X262" t="str">
        <v>N.v.t.</v>
      </c>
      <c r="Y262" t="str">
        <v>Ja</v>
      </c>
      <c r="Z262" t="str">
        <v>eigen parkeerplaats</v>
      </c>
      <c r="AA262" t="str">
        <v>Na 2020</v>
      </c>
      <c r="AB262" t="str">
        <v>Nee</v>
      </c>
      <c r="AC262" t="str">
        <v>NEE</v>
      </c>
      <c r="AD262" t="str">
        <v>JA</v>
      </c>
    </row>
    <row r="263">
      <c r="A263" t="str">
        <v>44420007</v>
      </c>
      <c r="B263" t="str">
        <v>https://www.funda.nl/detail/koop/veenendaal/huis-levensloopgeschikt-bouwnr-12/44420007/</v>
      </c>
      <c r="C263" t="str">
        <v>Linde</v>
      </c>
      <c r="D263" t="str">
        <v>Levensloopgeschikt</v>
      </c>
      <c r="E263" t="str">
        <v>12</v>
      </c>
      <c r="F263" t="str">
        <v>3907</v>
      </c>
      <c r="G263" t="str">
        <v>Veenendaal</v>
      </c>
      <c r="H263" t="str">
        <v>Veenendaal</v>
      </c>
      <c r="I263" t="str">
        <v>Utrecht</v>
      </c>
      <c r="J263" t="str">
        <v>West-Nederland</v>
      </c>
      <c r="K263" t="str">
        <v>Te koop</v>
      </c>
      <c r="L263" t="str">
        <v>Onbekend</v>
      </c>
      <c r="M263" t="str">
        <v>Onbekend</v>
      </c>
      <c r="N263">
        <v>669000</v>
      </c>
      <c r="O263" t="str">
        <v>v.o.n.</v>
      </c>
      <c r="P263">
        <v>123</v>
      </c>
      <c r="Q263">
        <v>5439</v>
      </c>
      <c r="R263">
        <v>366</v>
      </c>
      <c r="S263" t="str">
        <v>Niet beschikbaar</v>
      </c>
      <c r="T263">
        <v>2</v>
      </c>
      <c r="U263">
        <v>1</v>
      </c>
      <c r="V263" t="str">
        <v>Grondgebonden</v>
      </c>
      <c r="W263" t="str">
        <v>2-onder-1-kapwoning</v>
      </c>
      <c r="X263" t="str">
        <v>N.v.t.</v>
      </c>
      <c r="Y263" t="str">
        <v>Ja</v>
      </c>
      <c r="Z263" t="str">
        <v>eigen parkeerplaats</v>
      </c>
      <c r="AA263" t="str">
        <v>Na 2020</v>
      </c>
      <c r="AB263" t="str">
        <v>Nee</v>
      </c>
      <c r="AC263" t="str">
        <v>NEE</v>
      </c>
      <c r="AD263" t="str">
        <v>JA</v>
      </c>
    </row>
    <row r="264">
      <c r="A264" t="str">
        <v>44420006</v>
      </c>
      <c r="B264" t="str">
        <v>https://www.funda.nl/detail/koop/veenendaal/huis-horizon-bouwnr-18/44420006/</v>
      </c>
      <c r="C264" t="str">
        <v>Linde</v>
      </c>
      <c r="D264" t="str">
        <v>Horizon</v>
      </c>
      <c r="E264" t="str">
        <v>18</v>
      </c>
      <c r="F264" t="str">
        <v>3907</v>
      </c>
      <c r="G264" t="str">
        <v>Veenendaal</v>
      </c>
      <c r="H264" t="str">
        <v>Veenendaal</v>
      </c>
      <c r="I264" t="str">
        <v>Utrecht</v>
      </c>
      <c r="J264" t="str">
        <v>West-Nederland</v>
      </c>
      <c r="K264" t="str">
        <v>Te koop</v>
      </c>
      <c r="L264" t="str">
        <v>Onbekend</v>
      </c>
      <c r="M264" t="str">
        <v>Onbekend</v>
      </c>
      <c r="N264">
        <v>975000</v>
      </c>
      <c r="O264" t="str">
        <v>v.o.n.</v>
      </c>
      <c r="P264">
        <v>171</v>
      </c>
      <c r="Q264">
        <v>5702</v>
      </c>
      <c r="R264">
        <v>530</v>
      </c>
      <c r="S264" t="str">
        <v>Niet beschikbaar</v>
      </c>
      <c r="T264">
        <v>6</v>
      </c>
      <c r="U264">
        <v>4</v>
      </c>
      <c r="V264" t="str">
        <v>Grondgebonden</v>
      </c>
      <c r="W264" t="str">
        <v>Vrijstaande woning</v>
      </c>
      <c r="X264" t="str">
        <v>N.v.t.</v>
      </c>
      <c r="Y264" t="str">
        <v>Ja</v>
      </c>
      <c r="Z264" t="str">
        <v>eigen parkeerplaats</v>
      </c>
      <c r="AA264" t="str">
        <v>Na 2020</v>
      </c>
      <c r="AB264" t="str">
        <v>Nee</v>
      </c>
      <c r="AC264" t="str">
        <v>NEE</v>
      </c>
      <c r="AD264" t="str">
        <v>JA</v>
      </c>
    </row>
    <row r="265">
      <c r="A265" t="str">
        <v>44420004</v>
      </c>
      <c r="B265" t="str">
        <v>https://www.funda.nl/detail/koop/veenendaal/huis-louvre-bouwnr-22/44420004/</v>
      </c>
      <c r="C265" t="str">
        <v>Linde</v>
      </c>
      <c r="D265" t="str">
        <v>Louvre</v>
      </c>
      <c r="E265" t="str">
        <v>22</v>
      </c>
      <c r="F265" t="str">
        <v>3907</v>
      </c>
      <c r="G265" t="str">
        <v>Veenendaal</v>
      </c>
      <c r="H265" t="str">
        <v>Veenendaal</v>
      </c>
      <c r="I265" t="str">
        <v>Utrecht</v>
      </c>
      <c r="J265" t="str">
        <v>West-Nederland</v>
      </c>
      <c r="K265" t="str">
        <v>Te koop</v>
      </c>
      <c r="L265" t="str">
        <v>Onbekend</v>
      </c>
      <c r="M265" t="str">
        <v>Onbekend</v>
      </c>
      <c r="N265">
        <v>950000</v>
      </c>
      <c r="O265" t="str">
        <v>v.o.n.</v>
      </c>
      <c r="P265">
        <v>171</v>
      </c>
      <c r="Q265">
        <v>5556</v>
      </c>
      <c r="R265">
        <v>482</v>
      </c>
      <c r="S265" t="str">
        <v>Niet beschikbaar</v>
      </c>
      <c r="T265">
        <v>6</v>
      </c>
      <c r="U265">
        <v>4</v>
      </c>
      <c r="V265" t="str">
        <v>Grondgebonden</v>
      </c>
      <c r="W265" t="str">
        <v>Vrijstaande woning</v>
      </c>
      <c r="X265" t="str">
        <v>N.v.t.</v>
      </c>
      <c r="Y265" t="str">
        <v>Ja</v>
      </c>
      <c r="Z265" t="str">
        <v>eigen parkeerplaats</v>
      </c>
      <c r="AA265" t="str">
        <v>Na 2020</v>
      </c>
      <c r="AB265" t="str">
        <v>Nee</v>
      </c>
      <c r="AC265" t="str">
        <v>NEE</v>
      </c>
      <c r="AD265" t="str">
        <v>JA</v>
      </c>
    </row>
    <row r="266">
      <c r="A266" t="str">
        <v>44420003</v>
      </c>
      <c r="B266" t="str">
        <v>https://www.funda.nl/detail/koop/veenendaal/huis-horizon-bouwnr-21/44420003/</v>
      </c>
      <c r="C266" t="str">
        <v>Linde</v>
      </c>
      <c r="D266" t="str">
        <v>Horizon</v>
      </c>
      <c r="E266" t="str">
        <v>21</v>
      </c>
      <c r="F266" t="str">
        <v>3907</v>
      </c>
      <c r="G266" t="str">
        <v>Veenendaal</v>
      </c>
      <c r="H266" t="str">
        <v>Veenendaal</v>
      </c>
      <c r="I266" t="str">
        <v>Utrecht</v>
      </c>
      <c r="J266" t="str">
        <v>West-Nederland</v>
      </c>
      <c r="K266" t="str">
        <v>Te koop</v>
      </c>
      <c r="L266" t="str">
        <v>Onbekend</v>
      </c>
      <c r="M266" t="str">
        <v>Onbekend</v>
      </c>
      <c r="N266">
        <v>975000</v>
      </c>
      <c r="O266" t="str">
        <v>v.o.n.</v>
      </c>
      <c r="P266">
        <v>171</v>
      </c>
      <c r="Q266">
        <v>5702</v>
      </c>
      <c r="R266">
        <v>530</v>
      </c>
      <c r="S266" t="str">
        <v>Niet beschikbaar</v>
      </c>
      <c r="T266">
        <v>6</v>
      </c>
      <c r="U266">
        <v>4</v>
      </c>
      <c r="V266" t="str">
        <v>Grondgebonden</v>
      </c>
      <c r="W266" t="str">
        <v>Vrijstaande woning</v>
      </c>
      <c r="X266" t="str">
        <v>N.v.t.</v>
      </c>
      <c r="Y266" t="str">
        <v>Ja</v>
      </c>
      <c r="Z266" t="str">
        <v>eigen parkeerplaats</v>
      </c>
      <c r="AA266" t="str">
        <v>Na 2020</v>
      </c>
      <c r="AB266" t="str">
        <v>Nee</v>
      </c>
      <c r="AC266" t="str">
        <v>NEE</v>
      </c>
      <c r="AD266" t="str">
        <v>JA</v>
      </c>
    </row>
    <row r="267">
      <c r="A267" t="str">
        <v>44420092</v>
      </c>
      <c r="B267" t="str">
        <v>https://www.funda.nl/detail/koop/veenendaal/huis-veranda-bouwnr-17/44420092/</v>
      </c>
      <c r="C267" t="str">
        <v>Linde</v>
      </c>
      <c r="D267" t="str">
        <v>Veranda</v>
      </c>
      <c r="E267" t="str">
        <v>17</v>
      </c>
      <c r="F267" t="str">
        <v>3907</v>
      </c>
      <c r="G267" t="str">
        <v>Veenendaal</v>
      </c>
      <c r="H267" t="str">
        <v>Veenendaal</v>
      </c>
      <c r="I267" t="str">
        <v>Utrecht</v>
      </c>
      <c r="J267" t="str">
        <v>West-Nederland</v>
      </c>
      <c r="K267" t="str">
        <v>Te koop</v>
      </c>
      <c r="L267" t="str">
        <v>Onbekend</v>
      </c>
      <c r="M267" t="str">
        <v>Onbekend</v>
      </c>
      <c r="N267">
        <v>950000</v>
      </c>
      <c r="O267" t="str">
        <v>v.o.n.</v>
      </c>
      <c r="P267">
        <v>171</v>
      </c>
      <c r="Q267">
        <v>5556</v>
      </c>
      <c r="R267">
        <v>480</v>
      </c>
      <c r="S267" t="str">
        <v>Niet beschikbaar</v>
      </c>
      <c r="T267">
        <v>5</v>
      </c>
      <c r="U267">
        <v>3</v>
      </c>
      <c r="V267" t="str">
        <v>Grondgebonden</v>
      </c>
      <c r="W267" t="str">
        <v>Vrijstaande woning</v>
      </c>
      <c r="X267" t="str">
        <v>N.v.t.</v>
      </c>
      <c r="Y267" t="str">
        <v>Ja</v>
      </c>
      <c r="Z267" t="str">
        <v>eigen parkeerplaats</v>
      </c>
      <c r="AA267" t="str">
        <v>Na 2020</v>
      </c>
      <c r="AB267" t="str">
        <v>Nee</v>
      </c>
      <c r="AC267" t="str">
        <v>NEE</v>
      </c>
      <c r="AD267" t="str">
        <v>JA</v>
      </c>
    </row>
    <row r="268">
      <c r="A268" t="str">
        <v>44420091</v>
      </c>
      <c r="B268" t="str">
        <v>https://www.funda.nl/detail/koop/veenendaal/huis-horizon-bouwnr-23/44420091/</v>
      </c>
      <c r="C268" t="str">
        <v>Linde</v>
      </c>
      <c r="D268" t="str">
        <v>Horizon</v>
      </c>
      <c r="E268" t="str">
        <v>23</v>
      </c>
      <c r="F268" t="str">
        <v>3907</v>
      </c>
      <c r="G268" t="str">
        <v>Veenendaal</v>
      </c>
      <c r="H268" t="str">
        <v>Veenendaal</v>
      </c>
      <c r="I268" t="str">
        <v>Utrecht</v>
      </c>
      <c r="J268" t="str">
        <v>West-Nederland</v>
      </c>
      <c r="K268" t="str">
        <v>Te koop</v>
      </c>
      <c r="L268" t="str">
        <v>Onbekend</v>
      </c>
      <c r="M268" t="str">
        <v>Onbekend</v>
      </c>
      <c r="N268">
        <v>975000</v>
      </c>
      <c r="O268" t="str">
        <v>v.o.n.</v>
      </c>
      <c r="P268">
        <v>171</v>
      </c>
      <c r="Q268">
        <v>5702</v>
      </c>
      <c r="R268">
        <v>528</v>
      </c>
      <c r="S268" t="str">
        <v>Niet beschikbaar</v>
      </c>
      <c r="T268">
        <v>6</v>
      </c>
      <c r="U268">
        <v>4</v>
      </c>
      <c r="V268" t="str">
        <v>Grondgebonden</v>
      </c>
      <c r="W268" t="str">
        <v>Vrijstaande woning</v>
      </c>
      <c r="X268" t="str">
        <v>N.v.t.</v>
      </c>
      <c r="Y268" t="str">
        <v>Ja</v>
      </c>
      <c r="Z268" t="str">
        <v>eigen parkeerplaats</v>
      </c>
      <c r="AA268" t="str">
        <v>Na 2020</v>
      </c>
      <c r="AB268" t="str">
        <v>Nee</v>
      </c>
      <c r="AC268" t="str">
        <v>NEE</v>
      </c>
      <c r="AD268" t="str">
        <v>JA</v>
      </c>
    </row>
    <row r="269">
      <c r="A269" t="str">
        <v>44420099</v>
      </c>
      <c r="B269" t="str">
        <v>https://www.funda.nl/detail/koop/veenendaal/huis-louvre-bouwnr-19/44420099/</v>
      </c>
      <c r="C269" t="str">
        <v>Linde</v>
      </c>
      <c r="D269" t="str">
        <v>Louvre</v>
      </c>
      <c r="E269" t="str">
        <v>19</v>
      </c>
      <c r="F269" t="str">
        <v>3907</v>
      </c>
      <c r="G269" t="str">
        <v>Veenendaal</v>
      </c>
      <c r="H269" t="str">
        <v>Veenendaal</v>
      </c>
      <c r="I269" t="str">
        <v>Utrecht</v>
      </c>
      <c r="J269" t="str">
        <v>West-Nederland</v>
      </c>
      <c r="K269" t="str">
        <v>Te koop</v>
      </c>
      <c r="L269" t="str">
        <v>2026-07-07</v>
      </c>
      <c r="M269">
        <v>6</v>
      </c>
      <c r="N269">
        <v>950000</v>
      </c>
      <c r="O269" t="str">
        <v>v.o.n.</v>
      </c>
      <c r="P269">
        <v>171</v>
      </c>
      <c r="Q269">
        <v>5556</v>
      </c>
      <c r="R269">
        <v>482</v>
      </c>
      <c r="S269" t="str">
        <v>Niet beschikbaar</v>
      </c>
      <c r="T269">
        <v>6</v>
      </c>
      <c r="U269">
        <v>4</v>
      </c>
      <c r="V269" t="str">
        <v>Grondgebonden</v>
      </c>
      <c r="W269" t="str">
        <v>Vrijstaande woning</v>
      </c>
      <c r="X269" t="str">
        <v>N.v.t.</v>
      </c>
      <c r="Y269" t="str">
        <v>Ja</v>
      </c>
      <c r="Z269" t="str">
        <v>eigen parkeerplaats</v>
      </c>
      <c r="AA269" t="str">
        <v>Na 2020</v>
      </c>
      <c r="AB269" t="str">
        <v>Nee</v>
      </c>
      <c r="AC269" t="str">
        <v>NEE</v>
      </c>
      <c r="AD269" t="str">
        <v>JA</v>
      </c>
    </row>
    <row r="270">
      <c r="A270" t="str">
        <v>44420097</v>
      </c>
      <c r="B270" t="str">
        <v>https://www.funda.nl/detail/koop/veenendaal/huis-levensloopgeschikt-bouwnr-9/44420097/</v>
      </c>
      <c r="C270" t="str">
        <v>Linde</v>
      </c>
      <c r="D270" t="str">
        <v>Levensloopgeschikt</v>
      </c>
      <c r="E270" t="str">
        <v>9</v>
      </c>
      <c r="F270" t="str">
        <v>3907</v>
      </c>
      <c r="G270" t="str">
        <v>Veenendaal</v>
      </c>
      <c r="H270" t="str">
        <v>Veenendaal</v>
      </c>
      <c r="I270" t="str">
        <v>Utrecht</v>
      </c>
      <c r="J270" t="str">
        <v>West-Nederland</v>
      </c>
      <c r="K270" t="str">
        <v>Te koop</v>
      </c>
      <c r="L270" t="str">
        <v>Onbekend</v>
      </c>
      <c r="M270" t="str">
        <v>Onbekend</v>
      </c>
      <c r="N270">
        <v>669000</v>
      </c>
      <c r="O270" t="str">
        <v>v.o.n.</v>
      </c>
      <c r="P270">
        <v>123</v>
      </c>
      <c r="Q270">
        <v>5439</v>
      </c>
      <c r="R270">
        <v>365</v>
      </c>
      <c r="S270" t="str">
        <v>Niet beschikbaar</v>
      </c>
      <c r="T270">
        <v>2</v>
      </c>
      <c r="U270">
        <v>1</v>
      </c>
      <c r="V270" t="str">
        <v>Grondgebonden</v>
      </c>
      <c r="W270" t="str">
        <v>2-onder-1-kapwoning</v>
      </c>
      <c r="X270" t="str">
        <v>N.v.t.</v>
      </c>
      <c r="Y270" t="str">
        <v>Ja</v>
      </c>
      <c r="Z270" t="str">
        <v>eigen parkeerplaats</v>
      </c>
      <c r="AA270" t="str">
        <v>Na 2020</v>
      </c>
      <c r="AB270" t="str">
        <v>Nee</v>
      </c>
      <c r="AC270" t="str">
        <v>NEE</v>
      </c>
      <c r="AD270" t="str">
        <v>JA</v>
      </c>
    </row>
    <row r="271">
      <c r="A271" t="str">
        <v>44420096</v>
      </c>
      <c r="B271" t="str">
        <v>https://www.funda.nl/detail/koop/veenendaal/huis-levensloopgeschikt-bouwnr-10/44420096/</v>
      </c>
      <c r="C271" t="str">
        <v>Linde</v>
      </c>
      <c r="D271" t="str">
        <v>Levensloopgeschikt</v>
      </c>
      <c r="E271" t="str">
        <v>10</v>
      </c>
      <c r="F271" t="str">
        <v>3907</v>
      </c>
      <c r="G271" t="str">
        <v>Veenendaal</v>
      </c>
      <c r="H271" t="str">
        <v>Veenendaal</v>
      </c>
      <c r="I271" t="str">
        <v>Utrecht</v>
      </c>
      <c r="J271" t="str">
        <v>West-Nederland</v>
      </c>
      <c r="K271" t="str">
        <v>Te koop</v>
      </c>
      <c r="L271" t="str">
        <v>Onbekend</v>
      </c>
      <c r="M271" t="str">
        <v>Onbekend</v>
      </c>
      <c r="N271">
        <v>669000</v>
      </c>
      <c r="O271" t="str">
        <v>v.o.n.</v>
      </c>
      <c r="P271">
        <v>123</v>
      </c>
      <c r="Q271">
        <v>5439</v>
      </c>
      <c r="R271">
        <v>365</v>
      </c>
      <c r="S271" t="str">
        <v>Niet beschikbaar</v>
      </c>
      <c r="T271">
        <v>2</v>
      </c>
      <c r="U271">
        <v>1</v>
      </c>
      <c r="V271" t="str">
        <v>Grondgebonden</v>
      </c>
      <c r="W271" t="str">
        <v>2-onder-1-kapwoning</v>
      </c>
      <c r="X271" t="str">
        <v>N.v.t.</v>
      </c>
      <c r="Y271" t="str">
        <v>Ja</v>
      </c>
      <c r="Z271" t="str">
        <v>eigen parkeerplaats</v>
      </c>
      <c r="AA271" t="str">
        <v>Na 2020</v>
      </c>
      <c r="AB271" t="str">
        <v>Nee</v>
      </c>
      <c r="AC271" t="str">
        <v>NEE</v>
      </c>
      <c r="AD271" t="str">
        <v>JA</v>
      </c>
    </row>
    <row r="272">
      <c r="A272" t="str">
        <v>44420095</v>
      </c>
      <c r="B272" t="str">
        <v>https://www.funda.nl/detail/koop/veenendaal/huis-levensloopgeschikt-bouwnr-11/44420095/</v>
      </c>
      <c r="C272" t="str">
        <v>Linde</v>
      </c>
      <c r="D272" t="str">
        <v>Levensloopgeschikt</v>
      </c>
      <c r="E272" t="str">
        <v>11</v>
      </c>
      <c r="F272" t="str">
        <v>3907</v>
      </c>
      <c r="G272" t="str">
        <v>Veenendaal</v>
      </c>
      <c r="H272" t="str">
        <v>Veenendaal</v>
      </c>
      <c r="I272" t="str">
        <v>Utrecht</v>
      </c>
      <c r="J272" t="str">
        <v>West-Nederland</v>
      </c>
      <c r="K272" t="str">
        <v>Te koop</v>
      </c>
      <c r="L272" t="str">
        <v>Onbekend</v>
      </c>
      <c r="M272" t="str">
        <v>Onbekend</v>
      </c>
      <c r="N272">
        <v>669000</v>
      </c>
      <c r="O272" t="str">
        <v>v.o.n.</v>
      </c>
      <c r="P272">
        <v>123</v>
      </c>
      <c r="Q272">
        <v>5439</v>
      </c>
      <c r="R272">
        <v>365</v>
      </c>
      <c r="S272" t="str">
        <v>Niet beschikbaar</v>
      </c>
      <c r="T272">
        <v>2</v>
      </c>
      <c r="U272">
        <v>1</v>
      </c>
      <c r="V272" t="str">
        <v>Grondgebonden</v>
      </c>
      <c r="W272" t="str">
        <v>2-onder-1-kapwoning</v>
      </c>
      <c r="X272" t="str">
        <v>N.v.t.</v>
      </c>
      <c r="Y272" t="str">
        <v>Ja</v>
      </c>
      <c r="Z272" t="str">
        <v>eigen parkeerplaats</v>
      </c>
      <c r="AA272" t="str">
        <v>Na 2020</v>
      </c>
      <c r="AB272" t="str">
        <v>Nee</v>
      </c>
      <c r="AC272" t="str">
        <v>NEE</v>
      </c>
      <c r="AD272" t="str">
        <v>JA</v>
      </c>
    </row>
    <row r="273">
      <c r="A273" t="str">
        <v>44420180</v>
      </c>
      <c r="B273" t="str">
        <v>https://www.funda.nl/detail/koop/hengelo-ov/huis-stadswoningen-bouwnr-c5/44420180/</v>
      </c>
      <c r="C273" t="str">
        <v>Noaberhof de Rijkskweek</v>
      </c>
      <c r="D273" t="str">
        <v>Stadswoningen</v>
      </c>
      <c r="E273" t="str">
        <v>C5</v>
      </c>
      <c r="F273" t="str">
        <v>7551</v>
      </c>
      <c r="G273" t="str">
        <v>Hengelo (OV)</v>
      </c>
      <c r="H273" t="str">
        <v>Hengelo (O)</v>
      </c>
      <c r="I273" t="str">
        <v>Overijssel</v>
      </c>
      <c r="J273" t="str">
        <v>Oost-Nederland</v>
      </c>
      <c r="K273" t="str">
        <v>Te koop</v>
      </c>
      <c r="L273" t="str">
        <v>Onbekend</v>
      </c>
      <c r="M273" t="str">
        <v>Onbekend</v>
      </c>
      <c r="N273">
        <v>385000</v>
      </c>
      <c r="O273" t="str">
        <v>v.o.n.</v>
      </c>
      <c r="P273">
        <v>104</v>
      </c>
      <c r="Q273">
        <v>3702</v>
      </c>
      <c r="R273">
        <v>96</v>
      </c>
      <c r="S273" t="str">
        <v>A+++</v>
      </c>
      <c r="T273">
        <v>4</v>
      </c>
      <c r="U273">
        <v>3</v>
      </c>
      <c r="V273" t="str">
        <v>Grondgebonden</v>
      </c>
      <c r="W273" t="str">
        <v>Tussenwoning</v>
      </c>
      <c r="X273" t="str">
        <v>N.v.t.</v>
      </c>
      <c r="Y273" t="str">
        <v>Ja</v>
      </c>
      <c r="Z273" t="str">
        <v>parkeerterrein</v>
      </c>
      <c r="AA273" t="str">
        <v>Na 2020</v>
      </c>
      <c r="AB273" t="str">
        <v>Nee</v>
      </c>
      <c r="AC273" t="str">
        <v>NEE</v>
      </c>
      <c r="AD273" t="str">
        <v>JA</v>
      </c>
    </row>
    <row r="274">
      <c r="A274" t="str">
        <v>44420103</v>
      </c>
      <c r="B274" t="str">
        <v>https://www.funda.nl/detail/koop/hengelo-ov/huis-stadswoningen-bouwnr-c6/44420103/</v>
      </c>
      <c r="C274" t="str">
        <v>Noaberhof de Rijkskweek</v>
      </c>
      <c r="D274" t="str">
        <v>Stadswoningen</v>
      </c>
      <c r="E274" t="str">
        <v>C6</v>
      </c>
      <c r="F274" t="str">
        <v>7551</v>
      </c>
      <c r="G274" t="str">
        <v>Hengelo (OV)</v>
      </c>
      <c r="H274" t="str">
        <v>Hengelo (O)</v>
      </c>
      <c r="I274" t="str">
        <v>Overijssel</v>
      </c>
      <c r="J274" t="str">
        <v>Oost-Nederland</v>
      </c>
      <c r="K274" t="str">
        <v>Te koop</v>
      </c>
      <c r="L274" t="str">
        <v>Onbekend</v>
      </c>
      <c r="M274" t="str">
        <v>Onbekend</v>
      </c>
      <c r="N274">
        <v>385000</v>
      </c>
      <c r="O274" t="str">
        <v>v.o.n.</v>
      </c>
      <c r="P274">
        <v>104</v>
      </c>
      <c r="Q274">
        <v>3702</v>
      </c>
      <c r="R274">
        <v>96</v>
      </c>
      <c r="S274" t="str">
        <v>A+++</v>
      </c>
      <c r="T274">
        <v>4</v>
      </c>
      <c r="U274">
        <v>3</v>
      </c>
      <c r="V274" t="str">
        <v>Grondgebonden</v>
      </c>
      <c r="W274" t="str">
        <v>Hoekwoning</v>
      </c>
      <c r="X274" t="str">
        <v>N.v.t.</v>
      </c>
      <c r="Y274" t="str">
        <v>Ja</v>
      </c>
      <c r="Z274" t="str">
        <v>parkeerterrein</v>
      </c>
      <c r="AA274" t="str">
        <v>Na 2020</v>
      </c>
      <c r="AB274" t="str">
        <v>Nee</v>
      </c>
      <c r="AC274" t="str">
        <v>NEE</v>
      </c>
      <c r="AD274" t="str">
        <v>JA</v>
      </c>
    </row>
    <row r="275">
      <c r="A275" t="str">
        <v>44420189</v>
      </c>
      <c r="B275" t="str">
        <v>https://www.funda.nl/detail/koop/hengelo-ov/appartement-studio-s-bouwnr-a9/44420189/</v>
      </c>
      <c r="C275" t="str">
        <v>Noaberhof de Rijkskweek</v>
      </c>
      <c r="D275" t="str">
        <v>Studio's</v>
      </c>
      <c r="E275" t="str">
        <v>A9</v>
      </c>
      <c r="F275" t="str">
        <v>7551</v>
      </c>
      <c r="G275" t="str">
        <v>Hengelo (OV)</v>
      </c>
      <c r="H275" t="str">
        <v>Hengelo (O)</v>
      </c>
      <c r="I275" t="str">
        <v>Overijssel</v>
      </c>
      <c r="J275" t="str">
        <v>Oost-Nederland</v>
      </c>
      <c r="K275" t="str">
        <v>Te koop</v>
      </c>
      <c r="L275" t="str">
        <v>Onbekend</v>
      </c>
      <c r="M275" t="str">
        <v>Onbekend</v>
      </c>
      <c r="N275">
        <v>275000</v>
      </c>
      <c r="O275" t="str">
        <v>v.o.n.</v>
      </c>
      <c r="P275">
        <v>50</v>
      </c>
      <c r="Q275">
        <v>5500</v>
      </c>
      <c r="R275" t="str">
        <v>Onbekend</v>
      </c>
      <c r="S275" t="str">
        <v>A++</v>
      </c>
      <c r="T275">
        <v>1</v>
      </c>
      <c r="U275">
        <v>1</v>
      </c>
      <c r="V275" t="str">
        <v>Appartement</v>
      </c>
      <c r="W275" t="str">
        <v>Appartement</v>
      </c>
      <c r="X275" t="str">
        <v>Appartement 50-75 m²</v>
      </c>
      <c r="Y275" t="str">
        <v>Ja</v>
      </c>
      <c r="Z275" t="str">
        <v>parkeerterrein</v>
      </c>
      <c r="AA275" t="str">
        <v>Na 2020</v>
      </c>
      <c r="AB275" t="str">
        <v>Nee</v>
      </c>
      <c r="AC275" t="str">
        <v>NEE</v>
      </c>
      <c r="AD275" t="str">
        <v>JA</v>
      </c>
    </row>
    <row r="276">
      <c r="A276" t="str">
        <v>44420181</v>
      </c>
      <c r="B276" t="str">
        <v>https://www.funda.nl/detail/koop/hengelo-ov/appartement-studio-s-bouwnr-a8/44420181/</v>
      </c>
      <c r="C276" t="str">
        <v>Noaberhof de Rijkskweek</v>
      </c>
      <c r="D276" t="str">
        <v>Studio's</v>
      </c>
      <c r="E276" t="str">
        <v>A8</v>
      </c>
      <c r="F276" t="str">
        <v>7551</v>
      </c>
      <c r="G276" t="str">
        <v>Hengelo (OV)</v>
      </c>
      <c r="H276" t="str">
        <v>Hengelo (O)</v>
      </c>
      <c r="I276" t="str">
        <v>Overijssel</v>
      </c>
      <c r="J276" t="str">
        <v>Oost-Nederland</v>
      </c>
      <c r="K276" t="str">
        <v>Te koop</v>
      </c>
      <c r="L276" t="str">
        <v>Onbekend</v>
      </c>
      <c r="M276" t="str">
        <v>Onbekend</v>
      </c>
      <c r="N276">
        <v>275000</v>
      </c>
      <c r="O276" t="str">
        <v>v.o.n.</v>
      </c>
      <c r="P276">
        <v>42</v>
      </c>
      <c r="Q276">
        <v>6548</v>
      </c>
      <c r="R276" t="str">
        <v>Onbekend</v>
      </c>
      <c r="S276" t="str">
        <v>A+</v>
      </c>
      <c r="T276">
        <v>1</v>
      </c>
      <c r="U276">
        <v>1</v>
      </c>
      <c r="V276" t="str">
        <v>Appartement</v>
      </c>
      <c r="W276" t="str">
        <v>Appartement</v>
      </c>
      <c r="X276" t="str">
        <v>Appartement &lt;50 m²</v>
      </c>
      <c r="Y276" t="str">
        <v>Ja</v>
      </c>
      <c r="Z276" t="str">
        <v>parkeerterrein</v>
      </c>
      <c r="AA276" t="str">
        <v>Na 2020</v>
      </c>
      <c r="AB276" t="str">
        <v>Nee</v>
      </c>
      <c r="AC276" t="str">
        <v>NEE</v>
      </c>
      <c r="AD276" t="str">
        <v>JA</v>
      </c>
    </row>
    <row r="277">
      <c r="A277" t="str">
        <v>44420196</v>
      </c>
      <c r="B277" t="str">
        <v>https://www.funda.nl/detail/koop/hengelo-ov/appartement-studio-s-bouwnr-a7/44420196/</v>
      </c>
      <c r="C277" t="str">
        <v>Noaberhof de Rijkskweek</v>
      </c>
      <c r="D277" t="str">
        <v>Studio's</v>
      </c>
      <c r="E277" t="str">
        <v>A7</v>
      </c>
      <c r="F277" t="str">
        <v>7551</v>
      </c>
      <c r="G277" t="str">
        <v>Hengelo (OV)</v>
      </c>
      <c r="H277" t="str">
        <v>Hengelo (O)</v>
      </c>
      <c r="I277" t="str">
        <v>Overijssel</v>
      </c>
      <c r="J277" t="str">
        <v>Oost-Nederland</v>
      </c>
      <c r="K277" t="str">
        <v>Te koop</v>
      </c>
      <c r="L277" t="str">
        <v>Onbekend</v>
      </c>
      <c r="M277" t="str">
        <v>Onbekend</v>
      </c>
      <c r="N277">
        <v>290000</v>
      </c>
      <c r="O277" t="str">
        <v>v.o.n.</v>
      </c>
      <c r="P277">
        <v>56</v>
      </c>
      <c r="Q277">
        <v>5179</v>
      </c>
      <c r="R277" t="str">
        <v>Onbekend</v>
      </c>
      <c r="S277" t="str">
        <v>A+</v>
      </c>
      <c r="T277">
        <v>1</v>
      </c>
      <c r="U277">
        <v>1</v>
      </c>
      <c r="V277" t="str">
        <v>Appartement</v>
      </c>
      <c r="W277" t="str">
        <v>Appartement</v>
      </c>
      <c r="X277" t="str">
        <v>Appartement 50-75 m²</v>
      </c>
      <c r="Y277" t="str">
        <v>Ja</v>
      </c>
      <c r="Z277" t="str">
        <v>parkeerterrein</v>
      </c>
      <c r="AA277" t="str">
        <v>Na 2020</v>
      </c>
      <c r="AB277" t="str">
        <v>Nee</v>
      </c>
      <c r="AC277" t="str">
        <v>NEE</v>
      </c>
      <c r="AD277" t="str">
        <v>JA</v>
      </c>
    </row>
    <row r="278">
      <c r="A278" t="str">
        <v>44420191</v>
      </c>
      <c r="B278" t="str">
        <v>https://www.funda.nl/detail/koop/hengelo-ov/appartement-studio-s-bouwnr-a5/44420191/</v>
      </c>
      <c r="C278" t="str">
        <v>Noaberhof de Rijkskweek</v>
      </c>
      <c r="D278" t="str">
        <v>Studio's</v>
      </c>
      <c r="E278" t="str">
        <v>A5</v>
      </c>
      <c r="F278" t="str">
        <v>7551</v>
      </c>
      <c r="G278" t="str">
        <v>Hengelo (OV)</v>
      </c>
      <c r="H278" t="str">
        <v>Hengelo (O)</v>
      </c>
      <c r="I278" t="str">
        <v>Overijssel</v>
      </c>
      <c r="J278" t="str">
        <v>Oost-Nederland</v>
      </c>
      <c r="K278" t="str">
        <v>Te koop</v>
      </c>
      <c r="L278" t="str">
        <v>Onbekend</v>
      </c>
      <c r="M278" t="str">
        <v>Onbekend</v>
      </c>
      <c r="N278">
        <v>255000</v>
      </c>
      <c r="O278" t="str">
        <v>v.o.n.</v>
      </c>
      <c r="P278">
        <v>50</v>
      </c>
      <c r="Q278">
        <v>5100</v>
      </c>
      <c r="R278" t="str">
        <v>Onbekend</v>
      </c>
      <c r="S278" t="str">
        <v>A++</v>
      </c>
      <c r="T278">
        <v>1</v>
      </c>
      <c r="U278">
        <v>1</v>
      </c>
      <c r="V278" t="str">
        <v>Appartement</v>
      </c>
      <c r="W278" t="str">
        <v>Appartement</v>
      </c>
      <c r="X278" t="str">
        <v>Appartement 50-75 m²</v>
      </c>
      <c r="Y278" t="str">
        <v>Ja</v>
      </c>
      <c r="Z278" t="str">
        <v>parkeerterrein</v>
      </c>
      <c r="AA278" t="str">
        <v>Na 2020</v>
      </c>
      <c r="AB278" t="str">
        <v>Nee</v>
      </c>
      <c r="AC278" t="str">
        <v>NEE</v>
      </c>
      <c r="AD278" t="str">
        <v>JA</v>
      </c>
    </row>
    <row r="279">
      <c r="A279" t="str">
        <v>44420194</v>
      </c>
      <c r="B279" t="str">
        <v>https://www.funda.nl/detail/koop/hengelo-ov/appartement-studio-s-bouwnr-a3/44420194/</v>
      </c>
      <c r="C279" t="str">
        <v>Noaberhof de Rijkskweek</v>
      </c>
      <c r="D279" t="str">
        <v>Studio's</v>
      </c>
      <c r="E279" t="str">
        <v>A3</v>
      </c>
      <c r="F279" t="str">
        <v>7551</v>
      </c>
      <c r="G279" t="str">
        <v>Hengelo (OV)</v>
      </c>
      <c r="H279" t="str">
        <v>Hengelo (O)</v>
      </c>
      <c r="I279" t="str">
        <v>Overijssel</v>
      </c>
      <c r="J279" t="str">
        <v>Oost-Nederland</v>
      </c>
      <c r="K279" t="str">
        <v>Te koop</v>
      </c>
      <c r="L279" t="str">
        <v>Onbekend</v>
      </c>
      <c r="M279" t="str">
        <v>Onbekend</v>
      </c>
      <c r="N279">
        <v>240000</v>
      </c>
      <c r="O279" t="str">
        <v>v.o.n.</v>
      </c>
      <c r="P279">
        <v>41</v>
      </c>
      <c r="Q279">
        <v>5854</v>
      </c>
      <c r="R279" t="str">
        <v>Onbekend</v>
      </c>
      <c r="S279" t="str">
        <v>A+</v>
      </c>
      <c r="T279">
        <v>2</v>
      </c>
      <c r="U279">
        <v>1</v>
      </c>
      <c r="V279" t="str">
        <v>Appartement</v>
      </c>
      <c r="W279" t="str">
        <v>Appartement</v>
      </c>
      <c r="X279" t="str">
        <v>Appartement &lt;50 m²</v>
      </c>
      <c r="Y279" t="str">
        <v>Ja</v>
      </c>
      <c r="Z279" t="str">
        <v>parkeerterrein</v>
      </c>
      <c r="AA279" t="str">
        <v>Na 2020</v>
      </c>
      <c r="AB279" t="str">
        <v>Nee</v>
      </c>
      <c r="AC279" t="str">
        <v>NEE</v>
      </c>
      <c r="AD279" t="str">
        <v>JA</v>
      </c>
    </row>
    <row r="280">
      <c r="A280" t="str">
        <v>44420195</v>
      </c>
      <c r="B280" t="str">
        <v>https://www.funda.nl/detail/koop/hengelo-ov/appartement-studio-s-bouwnr-a4/44420195/</v>
      </c>
      <c r="C280" t="str">
        <v>Noaberhof de Rijkskweek</v>
      </c>
      <c r="D280" t="str">
        <v>Studio's</v>
      </c>
      <c r="E280" t="str">
        <v>A4</v>
      </c>
      <c r="F280" t="str">
        <v>7551</v>
      </c>
      <c r="G280" t="str">
        <v>Hengelo (OV)</v>
      </c>
      <c r="H280" t="str">
        <v>Hengelo (O)</v>
      </c>
      <c r="I280" t="str">
        <v>Overijssel</v>
      </c>
      <c r="J280" t="str">
        <v>Oost-Nederland</v>
      </c>
      <c r="K280" t="str">
        <v>Te koop</v>
      </c>
      <c r="L280" t="str">
        <v>Onbekend</v>
      </c>
      <c r="M280" t="str">
        <v>Onbekend</v>
      </c>
      <c r="N280">
        <v>300000</v>
      </c>
      <c r="O280" t="str">
        <v>v.o.n.</v>
      </c>
      <c r="P280">
        <v>71</v>
      </c>
      <c r="Q280">
        <v>4225</v>
      </c>
      <c r="R280" t="str">
        <v>Onbekend</v>
      </c>
      <c r="S280" t="str">
        <v>A++</v>
      </c>
      <c r="T280">
        <v>3</v>
      </c>
      <c r="U280">
        <v>2</v>
      </c>
      <c r="V280" t="str">
        <v>Appartement</v>
      </c>
      <c r="W280" t="str">
        <v>Appartement</v>
      </c>
      <c r="X280" t="str">
        <v>Appartement 50-75 m²</v>
      </c>
      <c r="Y280" t="str">
        <v>Ja</v>
      </c>
      <c r="Z280" t="str">
        <v>parkeerterrein</v>
      </c>
      <c r="AA280" t="str">
        <v>Na 2020</v>
      </c>
      <c r="AB280" t="str">
        <v>Nee</v>
      </c>
      <c r="AC280" t="str">
        <v>NEE</v>
      </c>
      <c r="AD280" t="str">
        <v>JA</v>
      </c>
    </row>
    <row r="281">
      <c r="A281" t="str">
        <v>44420199</v>
      </c>
      <c r="B281" t="str">
        <v>https://www.funda.nl/detail/koop/hengelo-ov/appartement-studio-s-bouwnr-a2/44420199/</v>
      </c>
      <c r="C281" t="str">
        <v>Noaberhof de Rijkskweek</v>
      </c>
      <c r="D281" t="str">
        <v>Studio's</v>
      </c>
      <c r="E281" t="str">
        <v>A2</v>
      </c>
      <c r="F281" t="str">
        <v>7551</v>
      </c>
      <c r="G281" t="str">
        <v>Hengelo (OV)</v>
      </c>
      <c r="H281" t="str">
        <v>Hengelo (O)</v>
      </c>
      <c r="I281" t="str">
        <v>Overijssel</v>
      </c>
      <c r="J281" t="str">
        <v>Oost-Nederland</v>
      </c>
      <c r="K281" t="str">
        <v>Te koop</v>
      </c>
      <c r="L281" t="str">
        <v>Onbekend</v>
      </c>
      <c r="M281" t="str">
        <v>Onbekend</v>
      </c>
      <c r="N281">
        <v>345000</v>
      </c>
      <c r="O281" t="str">
        <v>v.o.n.</v>
      </c>
      <c r="P281">
        <v>71</v>
      </c>
      <c r="Q281">
        <v>4859</v>
      </c>
      <c r="R281" t="str">
        <v>Onbekend</v>
      </c>
      <c r="S281" t="str">
        <v>A+++</v>
      </c>
      <c r="T281">
        <v>2</v>
      </c>
      <c r="U281">
        <v>1</v>
      </c>
      <c r="V281" t="str">
        <v>Appartement</v>
      </c>
      <c r="W281" t="str">
        <v>Appartement</v>
      </c>
      <c r="X281" t="str">
        <v>Appartement 50-75 m²</v>
      </c>
      <c r="Y281" t="str">
        <v>Ja</v>
      </c>
      <c r="Z281" t="str">
        <v>parkeerterrein</v>
      </c>
      <c r="AA281" t="str">
        <v>Na 2020</v>
      </c>
      <c r="AB281" t="str">
        <v>Nee</v>
      </c>
      <c r="AC281" t="str">
        <v>NEE</v>
      </c>
      <c r="AD281" t="str">
        <v>JA</v>
      </c>
    </row>
    <row r="282">
      <c r="A282" t="str">
        <v>44420105</v>
      </c>
      <c r="B282" t="str">
        <v>https://www.funda.nl/detail/koop/hengelo-ov/appartement-studio-s-bouwnr-a10/44420105/</v>
      </c>
      <c r="C282" t="str">
        <v>Noaberhof de Rijkskweek</v>
      </c>
      <c r="D282" t="str">
        <v>Studio's</v>
      </c>
      <c r="E282" t="str">
        <v>A10</v>
      </c>
      <c r="F282" t="str">
        <v>7551</v>
      </c>
      <c r="G282" t="str">
        <v>Hengelo (OV)</v>
      </c>
      <c r="H282" t="str">
        <v>Hengelo (O)</v>
      </c>
      <c r="I282" t="str">
        <v>Overijssel</v>
      </c>
      <c r="J282" t="str">
        <v>Oost-Nederland</v>
      </c>
      <c r="K282" t="str">
        <v>Te koop</v>
      </c>
      <c r="L282" t="str">
        <v>Onbekend</v>
      </c>
      <c r="M282" t="str">
        <v>Onbekend</v>
      </c>
      <c r="N282">
        <v>275000</v>
      </c>
      <c r="O282" t="str">
        <v>v.o.n.</v>
      </c>
      <c r="P282">
        <v>53</v>
      </c>
      <c r="Q282">
        <v>5189</v>
      </c>
      <c r="R282" t="str">
        <v>Onbekend</v>
      </c>
      <c r="S282" t="str">
        <v>A++</v>
      </c>
      <c r="T282">
        <v>1</v>
      </c>
      <c r="U282">
        <v>1</v>
      </c>
      <c r="V282" t="str">
        <v>Appartement</v>
      </c>
      <c r="W282" t="str">
        <v>Appartement</v>
      </c>
      <c r="X282" t="str">
        <v>Appartement 50-75 m²</v>
      </c>
      <c r="Y282" t="str">
        <v>Ja</v>
      </c>
      <c r="Z282" t="str">
        <v>parkeerterrein</v>
      </c>
      <c r="AA282" t="str">
        <v>Na 2020</v>
      </c>
      <c r="AB282" t="str">
        <v>Nee</v>
      </c>
      <c r="AC282" t="str">
        <v>NEE</v>
      </c>
      <c r="AD282" t="str">
        <v>JA</v>
      </c>
    </row>
    <row r="283">
      <c r="A283" t="str">
        <v>44420198</v>
      </c>
      <c r="B283" t="str">
        <v>https://www.funda.nl/detail/koop/hengelo-ov/appartement-studio-s-bouwnr-a1/44420198/</v>
      </c>
      <c r="C283" t="str">
        <v>Noaberhof de Rijkskweek</v>
      </c>
      <c r="D283" t="str">
        <v>Studio's</v>
      </c>
      <c r="E283" t="str">
        <v>A1</v>
      </c>
      <c r="F283" t="str">
        <v>7551</v>
      </c>
      <c r="G283" t="str">
        <v>Hengelo (OV)</v>
      </c>
      <c r="H283" t="str">
        <v>Hengelo (O)</v>
      </c>
      <c r="I283" t="str">
        <v>Overijssel</v>
      </c>
      <c r="J283" t="str">
        <v>Oost-Nederland</v>
      </c>
      <c r="K283" t="str">
        <v>Te koop</v>
      </c>
      <c r="L283" t="str">
        <v>Onbekend</v>
      </c>
      <c r="M283" t="str">
        <v>Onbekend</v>
      </c>
      <c r="N283">
        <v>429000</v>
      </c>
      <c r="O283" t="str">
        <v>v.o.n.</v>
      </c>
      <c r="P283">
        <v>76</v>
      </c>
      <c r="Q283">
        <v>5645</v>
      </c>
      <c r="R283" t="str">
        <v>Onbekend</v>
      </c>
      <c r="S283" t="str">
        <v>A++</v>
      </c>
      <c r="T283">
        <v>3</v>
      </c>
      <c r="U283">
        <v>2</v>
      </c>
      <c r="V283" t="str">
        <v>Appartement</v>
      </c>
      <c r="W283" t="str">
        <v>Appartement</v>
      </c>
      <c r="X283" t="str">
        <v>Appartement 75-100 m²</v>
      </c>
      <c r="Y283" t="str">
        <v>Ja</v>
      </c>
      <c r="Z283" t="str">
        <v>parkeerterrein</v>
      </c>
      <c r="AA283" t="str">
        <v>Na 2020</v>
      </c>
      <c r="AB283" t="str">
        <v>Nee</v>
      </c>
      <c r="AC283" t="str">
        <v>NEE</v>
      </c>
      <c r="AD283" t="str">
        <v>JA</v>
      </c>
    </row>
    <row r="284">
      <c r="A284" t="str">
        <v>44420182</v>
      </c>
      <c r="B284" t="str">
        <v>https://www.funda.nl/detail/koop/hengelo-ov/huis-stadswoningen-bouwnr-c4/44420182/</v>
      </c>
      <c r="C284" t="str">
        <v>Noaberhof de Rijkskweek</v>
      </c>
      <c r="D284" t="str">
        <v>Stadswoningen</v>
      </c>
      <c r="E284" t="str">
        <v>C4</v>
      </c>
      <c r="F284" t="str">
        <v>7551</v>
      </c>
      <c r="G284" t="str">
        <v>Hengelo (OV)</v>
      </c>
      <c r="H284" t="str">
        <v>Hengelo (O)</v>
      </c>
      <c r="I284" t="str">
        <v>Overijssel</v>
      </c>
      <c r="J284" t="str">
        <v>Oost-Nederland</v>
      </c>
      <c r="K284" t="str">
        <v>Te koop</v>
      </c>
      <c r="L284" t="str">
        <v>2026-07-07</v>
      </c>
      <c r="M284">
        <v>6</v>
      </c>
      <c r="N284">
        <v>385000</v>
      </c>
      <c r="O284" t="str">
        <v>v.o.n.</v>
      </c>
      <c r="P284">
        <v>104</v>
      </c>
      <c r="Q284">
        <v>3702</v>
      </c>
      <c r="R284">
        <v>96</v>
      </c>
      <c r="S284" t="str">
        <v>A+++</v>
      </c>
      <c r="T284">
        <v>4</v>
      </c>
      <c r="U284">
        <v>3</v>
      </c>
      <c r="V284" t="str">
        <v>Grondgebonden</v>
      </c>
      <c r="W284" t="str">
        <v>Tussenwoning</v>
      </c>
      <c r="X284" t="str">
        <v>N.v.t.</v>
      </c>
      <c r="Y284" t="str">
        <v>Ja</v>
      </c>
      <c r="Z284" t="str">
        <v>parkeerterrein</v>
      </c>
      <c r="AA284" t="str">
        <v>Na 2020</v>
      </c>
      <c r="AB284" t="str">
        <v>Nee</v>
      </c>
      <c r="AC284" t="str">
        <v>NEE</v>
      </c>
      <c r="AD284" t="str">
        <v>JA</v>
      </c>
    </row>
    <row r="285">
      <c r="A285" t="str">
        <v>44420193</v>
      </c>
      <c r="B285" t="str">
        <v>https://www.funda.nl/detail/koop/hengelo-ov/huis-stadswoningen-bouwnr-c3/44420193/</v>
      </c>
      <c r="C285" t="str">
        <v>Noaberhof de Rijkskweek</v>
      </c>
      <c r="D285" t="str">
        <v>Stadswoningen</v>
      </c>
      <c r="E285" t="str">
        <v>C3</v>
      </c>
      <c r="F285" t="str">
        <v>7551</v>
      </c>
      <c r="G285" t="str">
        <v>Hengelo (OV)</v>
      </c>
      <c r="H285" t="str">
        <v>Hengelo (O)</v>
      </c>
      <c r="I285" t="str">
        <v>Overijssel</v>
      </c>
      <c r="J285" t="str">
        <v>Oost-Nederland</v>
      </c>
      <c r="K285" t="str">
        <v>Te koop</v>
      </c>
      <c r="L285" t="str">
        <v>Onbekend</v>
      </c>
      <c r="M285" t="str">
        <v>Onbekend</v>
      </c>
      <c r="N285">
        <v>385000</v>
      </c>
      <c r="O285" t="str">
        <v>v.o.n.</v>
      </c>
      <c r="P285">
        <v>104</v>
      </c>
      <c r="Q285">
        <v>3702</v>
      </c>
      <c r="R285">
        <v>96</v>
      </c>
      <c r="S285" t="str">
        <v>A+++</v>
      </c>
      <c r="T285">
        <v>4</v>
      </c>
      <c r="U285">
        <v>3</v>
      </c>
      <c r="V285" t="str">
        <v>Grondgebonden</v>
      </c>
      <c r="W285" t="str">
        <v>Tussenwoning</v>
      </c>
      <c r="X285" t="str">
        <v>N.v.t.</v>
      </c>
      <c r="Y285" t="str">
        <v>Ja</v>
      </c>
      <c r="Z285" t="str">
        <v>parkeerterrein</v>
      </c>
      <c r="AA285" t="str">
        <v>Na 2020</v>
      </c>
      <c r="AB285" t="str">
        <v>Nee</v>
      </c>
      <c r="AC285" t="str">
        <v>NEE</v>
      </c>
      <c r="AD285" t="str">
        <v>JA</v>
      </c>
    </row>
    <row r="286">
      <c r="A286" t="str">
        <v>44420192</v>
      </c>
      <c r="B286" t="str">
        <v>https://www.funda.nl/detail/koop/hengelo-ov/huis-stadswoningen-bouwnr-c2/44420192/</v>
      </c>
      <c r="C286" t="str">
        <v>Noaberhof de Rijkskweek</v>
      </c>
      <c r="D286" t="str">
        <v>Stadswoningen</v>
      </c>
      <c r="E286" t="str">
        <v>C2</v>
      </c>
      <c r="F286" t="str">
        <v>7551</v>
      </c>
      <c r="G286" t="str">
        <v>Hengelo (OV)</v>
      </c>
      <c r="H286" t="str">
        <v>Hengelo (O)</v>
      </c>
      <c r="I286" t="str">
        <v>Overijssel</v>
      </c>
      <c r="J286" t="str">
        <v>Oost-Nederland</v>
      </c>
      <c r="K286" t="str">
        <v>Te koop</v>
      </c>
      <c r="L286" t="str">
        <v>Onbekend</v>
      </c>
      <c r="M286" t="str">
        <v>Onbekend</v>
      </c>
      <c r="N286">
        <v>385000</v>
      </c>
      <c r="O286" t="str">
        <v>v.o.n.</v>
      </c>
      <c r="P286">
        <v>104</v>
      </c>
      <c r="Q286">
        <v>3702</v>
      </c>
      <c r="R286">
        <v>96</v>
      </c>
      <c r="S286" t="str">
        <v>A+++</v>
      </c>
      <c r="T286">
        <v>4</v>
      </c>
      <c r="U286">
        <v>3</v>
      </c>
      <c r="V286" t="str">
        <v>Grondgebonden</v>
      </c>
      <c r="W286" t="str">
        <v>Tussenwoning</v>
      </c>
      <c r="X286" t="str">
        <v>N.v.t.</v>
      </c>
      <c r="Y286" t="str">
        <v>Ja</v>
      </c>
      <c r="Z286" t="str">
        <v>parkeerterrein</v>
      </c>
      <c r="AA286" t="str">
        <v>Na 2020</v>
      </c>
      <c r="AB286" t="str">
        <v>Nee</v>
      </c>
      <c r="AC286" t="str">
        <v>NEE</v>
      </c>
      <c r="AD286" t="str">
        <v>JA</v>
      </c>
    </row>
    <row r="287">
      <c r="A287" t="str">
        <v>44420104</v>
      </c>
      <c r="B287" t="str">
        <v>https://www.funda.nl/detail/koop/hengelo-ov/huis-stadswoningen-bouwnr-c1/44420104/</v>
      </c>
      <c r="C287" t="str">
        <v>Noaberhof de Rijkskweek</v>
      </c>
      <c r="D287" t="str">
        <v>Stadswoningen</v>
      </c>
      <c r="E287" t="str">
        <v>C1</v>
      </c>
      <c r="F287" t="str">
        <v>7551</v>
      </c>
      <c r="G287" t="str">
        <v>Hengelo (OV)</v>
      </c>
      <c r="H287" t="str">
        <v>Hengelo (O)</v>
      </c>
      <c r="I287" t="str">
        <v>Overijssel</v>
      </c>
      <c r="J287" t="str">
        <v>Oost-Nederland</v>
      </c>
      <c r="K287" t="str">
        <v>Te koop</v>
      </c>
      <c r="L287" t="str">
        <v>Onbekend</v>
      </c>
      <c r="M287" t="str">
        <v>Onbekend</v>
      </c>
      <c r="N287">
        <v>385000</v>
      </c>
      <c r="O287" t="str">
        <v>v.o.n.</v>
      </c>
      <c r="P287">
        <v>104</v>
      </c>
      <c r="Q287">
        <v>3702</v>
      </c>
      <c r="R287">
        <v>96</v>
      </c>
      <c r="S287" t="str">
        <v>A+++</v>
      </c>
      <c r="T287">
        <v>4</v>
      </c>
      <c r="U287">
        <v>3</v>
      </c>
      <c r="V287" t="str">
        <v>Grondgebonden</v>
      </c>
      <c r="W287" t="str">
        <v>Hoekwoning</v>
      </c>
      <c r="X287" t="str">
        <v>N.v.t.</v>
      </c>
      <c r="Y287" t="str">
        <v>Ja</v>
      </c>
      <c r="Z287" t="str">
        <v>parkeerterrein</v>
      </c>
      <c r="AA287" t="str">
        <v>Na 2020</v>
      </c>
      <c r="AB287" t="str">
        <v>Nee</v>
      </c>
      <c r="AC287" t="str">
        <v>NEE</v>
      </c>
      <c r="AD287" t="str">
        <v>JA</v>
      </c>
    </row>
    <row r="288">
      <c r="A288" t="str">
        <v>44420171</v>
      </c>
      <c r="B288" t="str">
        <v>https://www.funda.nl/detail/koop/hengelo-ov/huis-stadswoningen-bouwnr-b6/44420171/</v>
      </c>
      <c r="C288" t="str">
        <v>Noaberhof de Rijkskweek</v>
      </c>
      <c r="D288" t="str">
        <v>Stadswoningen</v>
      </c>
      <c r="E288" t="str">
        <v>B6</v>
      </c>
      <c r="F288" t="str">
        <v>7551</v>
      </c>
      <c r="G288" t="str">
        <v>Hengelo (OV)</v>
      </c>
      <c r="H288" t="str">
        <v>Hengelo (O)</v>
      </c>
      <c r="I288" t="str">
        <v>Overijssel</v>
      </c>
      <c r="J288" t="str">
        <v>Oost-Nederland</v>
      </c>
      <c r="K288" t="str">
        <v>Te koop</v>
      </c>
      <c r="L288" t="str">
        <v>Onbekend</v>
      </c>
      <c r="M288" t="str">
        <v>Onbekend</v>
      </c>
      <c r="N288">
        <v>345000</v>
      </c>
      <c r="O288" t="str">
        <v>v.o.n.</v>
      </c>
      <c r="P288">
        <v>67</v>
      </c>
      <c r="Q288">
        <v>5149</v>
      </c>
      <c r="R288">
        <v>61</v>
      </c>
      <c r="S288" t="str">
        <v>A+++</v>
      </c>
      <c r="T288">
        <v>4</v>
      </c>
      <c r="U288">
        <v>3</v>
      </c>
      <c r="V288" t="str">
        <v>Grondgebonden</v>
      </c>
      <c r="W288" t="str">
        <v>Hoekwoning</v>
      </c>
      <c r="X288" t="str">
        <v>N.v.t.</v>
      </c>
      <c r="Y288" t="str">
        <v>Ja</v>
      </c>
      <c r="Z288" t="str">
        <v>parkeerterrein</v>
      </c>
      <c r="AA288" t="str">
        <v>Na 2020</v>
      </c>
      <c r="AB288" t="str">
        <v>Nee</v>
      </c>
      <c r="AC288" t="str">
        <v>NEE</v>
      </c>
      <c r="AD288" t="str">
        <v>JA</v>
      </c>
    </row>
    <row r="289">
      <c r="A289" t="str">
        <v>44420187</v>
      </c>
      <c r="B289" t="str">
        <v>https://www.funda.nl/detail/koop/hengelo-ov/huis-stadswoningen-bouwnr-b5/44420187/</v>
      </c>
      <c r="C289" t="str">
        <v>Noaberhof de Rijkskweek</v>
      </c>
      <c r="D289" t="str">
        <v>Stadswoningen</v>
      </c>
      <c r="E289" t="str">
        <v>B5</v>
      </c>
      <c r="F289" t="str">
        <v>7551</v>
      </c>
      <c r="G289" t="str">
        <v>Hengelo (OV)</v>
      </c>
      <c r="H289" t="str">
        <v>Hengelo (O)</v>
      </c>
      <c r="I289" t="str">
        <v>Overijssel</v>
      </c>
      <c r="J289" t="str">
        <v>Oost-Nederland</v>
      </c>
      <c r="K289" t="str">
        <v>Te koop</v>
      </c>
      <c r="L289" t="str">
        <v>Onbekend</v>
      </c>
      <c r="M289" t="str">
        <v>Onbekend</v>
      </c>
      <c r="N289">
        <v>469000</v>
      </c>
      <c r="O289" t="str">
        <v>v.o.n.</v>
      </c>
      <c r="P289">
        <v>104</v>
      </c>
      <c r="Q289">
        <v>4510</v>
      </c>
      <c r="R289">
        <v>69</v>
      </c>
      <c r="S289" t="str">
        <v>A+++</v>
      </c>
      <c r="T289">
        <v>4</v>
      </c>
      <c r="U289">
        <v>3</v>
      </c>
      <c r="V289" t="str">
        <v>Grondgebonden</v>
      </c>
      <c r="W289" t="str">
        <v>Tussenwoning</v>
      </c>
      <c r="X289" t="str">
        <v>N.v.t.</v>
      </c>
      <c r="Y289" t="str">
        <v>Ja</v>
      </c>
      <c r="Z289" t="str">
        <v>parkeerterrein</v>
      </c>
      <c r="AA289" t="str">
        <v>Na 2020</v>
      </c>
      <c r="AB289" t="str">
        <v>Nee</v>
      </c>
      <c r="AC289" t="str">
        <v>NEE</v>
      </c>
      <c r="AD289" t="str">
        <v>JA</v>
      </c>
    </row>
    <row r="290">
      <c r="A290" t="str">
        <v>44420184</v>
      </c>
      <c r="B290" t="str">
        <v>https://www.funda.nl/detail/koop/hengelo-ov/huis-stadswoningen-bouwnr-b4/44420184/</v>
      </c>
      <c r="C290" t="str">
        <v>Noaberhof de Rijkskweek</v>
      </c>
      <c r="D290" t="str">
        <v>Stadswoningen</v>
      </c>
      <c r="E290" t="str">
        <v>B4</v>
      </c>
      <c r="F290" t="str">
        <v>7551</v>
      </c>
      <c r="G290" t="str">
        <v>Hengelo (OV)</v>
      </c>
      <c r="H290" t="str">
        <v>Hengelo (O)</v>
      </c>
      <c r="I290" t="str">
        <v>Overijssel</v>
      </c>
      <c r="J290" t="str">
        <v>Oost-Nederland</v>
      </c>
      <c r="K290" t="str">
        <v>Te koop</v>
      </c>
      <c r="L290" t="str">
        <v>Onbekend</v>
      </c>
      <c r="M290" t="str">
        <v>Onbekend</v>
      </c>
      <c r="N290">
        <v>345000</v>
      </c>
      <c r="O290" t="str">
        <v>v.o.n.</v>
      </c>
      <c r="P290">
        <v>67</v>
      </c>
      <c r="Q290">
        <v>5149</v>
      </c>
      <c r="R290">
        <v>61</v>
      </c>
      <c r="S290" t="str">
        <v>A+++</v>
      </c>
      <c r="T290">
        <v>4</v>
      </c>
      <c r="U290">
        <v>3</v>
      </c>
      <c r="V290" t="str">
        <v>Grondgebonden</v>
      </c>
      <c r="W290" t="str">
        <v>Tussenwoning</v>
      </c>
      <c r="X290" t="str">
        <v>N.v.t.</v>
      </c>
      <c r="Y290" t="str">
        <v>Ja</v>
      </c>
      <c r="Z290" t="str">
        <v>parkeerterrein</v>
      </c>
      <c r="AA290" t="str">
        <v>Na 2020</v>
      </c>
      <c r="AB290" t="str">
        <v>Nee</v>
      </c>
      <c r="AC290" t="str">
        <v>NEE</v>
      </c>
      <c r="AD290" t="str">
        <v>JA</v>
      </c>
    </row>
    <row r="291">
      <c r="A291" t="str">
        <v>44420185</v>
      </c>
      <c r="B291" t="str">
        <v>https://www.funda.nl/detail/koop/hengelo-ov/huis-stadswoningen-bouwnr-b3/44420185/</v>
      </c>
      <c r="C291" t="str">
        <v>Noaberhof de Rijkskweek</v>
      </c>
      <c r="D291" t="str">
        <v>Stadswoningen</v>
      </c>
      <c r="E291" t="str">
        <v>B3</v>
      </c>
      <c r="F291" t="str">
        <v>7551</v>
      </c>
      <c r="G291" t="str">
        <v>Hengelo (OV)</v>
      </c>
      <c r="H291" t="str">
        <v>Hengelo (O)</v>
      </c>
      <c r="I291" t="str">
        <v>Overijssel</v>
      </c>
      <c r="J291" t="str">
        <v>Oost-Nederland</v>
      </c>
      <c r="K291" t="str">
        <v>Te koop</v>
      </c>
      <c r="L291" t="str">
        <v>Onbekend</v>
      </c>
      <c r="M291" t="str">
        <v>Onbekend</v>
      </c>
      <c r="N291">
        <v>469000</v>
      </c>
      <c r="O291" t="str">
        <v>v.o.n.</v>
      </c>
      <c r="P291">
        <v>104</v>
      </c>
      <c r="Q291">
        <v>4510</v>
      </c>
      <c r="R291">
        <v>69</v>
      </c>
      <c r="S291" t="str">
        <v>A+++</v>
      </c>
      <c r="T291">
        <v>4</v>
      </c>
      <c r="U291">
        <v>3</v>
      </c>
      <c r="V291" t="str">
        <v>Grondgebonden</v>
      </c>
      <c r="W291" t="str">
        <v>Tussenwoning</v>
      </c>
      <c r="X291" t="str">
        <v>N.v.t.</v>
      </c>
      <c r="Y291" t="str">
        <v>Ja</v>
      </c>
      <c r="Z291" t="str">
        <v>parkeerterrein</v>
      </c>
      <c r="AA291" t="str">
        <v>Na 2020</v>
      </c>
      <c r="AB291" t="str">
        <v>Nee</v>
      </c>
      <c r="AC291" t="str">
        <v>NEE</v>
      </c>
      <c r="AD291" t="str">
        <v>JA</v>
      </c>
    </row>
    <row r="292">
      <c r="A292" t="str">
        <v>44420174</v>
      </c>
      <c r="B292" t="str">
        <v>https://www.funda.nl/detail/koop/hengelo-ov/huis-stadswoningen-bouwnr-b2/44420174/</v>
      </c>
      <c r="C292" t="str">
        <v>Noaberhof de Rijkskweek</v>
      </c>
      <c r="D292" t="str">
        <v>Stadswoningen</v>
      </c>
      <c r="E292" t="str">
        <v>B2</v>
      </c>
      <c r="F292" t="str">
        <v>7551</v>
      </c>
      <c r="G292" t="str">
        <v>Hengelo (OV)</v>
      </c>
      <c r="H292" t="str">
        <v>Hengelo (O)</v>
      </c>
      <c r="I292" t="str">
        <v>Overijssel</v>
      </c>
      <c r="J292" t="str">
        <v>Oost-Nederland</v>
      </c>
      <c r="K292" t="str">
        <v>Te koop</v>
      </c>
      <c r="L292" t="str">
        <v>Onbekend</v>
      </c>
      <c r="M292" t="str">
        <v>Onbekend</v>
      </c>
      <c r="N292">
        <v>345000</v>
      </c>
      <c r="O292" t="str">
        <v>v.o.n.</v>
      </c>
      <c r="P292">
        <v>67</v>
      </c>
      <c r="Q292">
        <v>5149</v>
      </c>
      <c r="R292">
        <v>61</v>
      </c>
      <c r="S292" t="str">
        <v>A+++</v>
      </c>
      <c r="T292">
        <v>4</v>
      </c>
      <c r="U292">
        <v>3</v>
      </c>
      <c r="V292" t="str">
        <v>Grondgebonden</v>
      </c>
      <c r="W292" t="str">
        <v>Tussenwoning</v>
      </c>
      <c r="X292" t="str">
        <v>N.v.t.</v>
      </c>
      <c r="Y292" t="str">
        <v>Ja</v>
      </c>
      <c r="Z292" t="str">
        <v>parkeerterrein</v>
      </c>
      <c r="AA292" t="str">
        <v>Na 2020</v>
      </c>
      <c r="AB292" t="str">
        <v>Nee</v>
      </c>
      <c r="AC292" t="str">
        <v>NEE</v>
      </c>
      <c r="AD292" t="str">
        <v>JA</v>
      </c>
    </row>
    <row r="293">
      <c r="A293" t="str">
        <v>44420177</v>
      </c>
      <c r="B293" t="str">
        <v>https://www.funda.nl/detail/koop/hengelo-ov/huis-stadswoningen-bouwnr-b1/44420177/</v>
      </c>
      <c r="C293" t="str">
        <v>Noaberhof de Rijkskweek</v>
      </c>
      <c r="D293" t="str">
        <v>Stadswoningen</v>
      </c>
      <c r="E293" t="str">
        <v>B1</v>
      </c>
      <c r="F293" t="str">
        <v>7551</v>
      </c>
      <c r="G293" t="str">
        <v>Hengelo (OV)</v>
      </c>
      <c r="H293" t="str">
        <v>Hengelo (O)</v>
      </c>
      <c r="I293" t="str">
        <v>Overijssel</v>
      </c>
      <c r="J293" t="str">
        <v>Oost-Nederland</v>
      </c>
      <c r="K293" t="str">
        <v>Te koop</v>
      </c>
      <c r="L293" t="str">
        <v>Onbekend</v>
      </c>
      <c r="M293" t="str">
        <v>Onbekend</v>
      </c>
      <c r="N293">
        <v>485000</v>
      </c>
      <c r="O293" t="str">
        <v>v.o.n.</v>
      </c>
      <c r="P293">
        <v>104</v>
      </c>
      <c r="Q293">
        <v>4663</v>
      </c>
      <c r="R293">
        <v>69</v>
      </c>
      <c r="S293" t="str">
        <v>A+++</v>
      </c>
      <c r="T293">
        <v>4</v>
      </c>
      <c r="U293">
        <v>3</v>
      </c>
      <c r="V293" t="str">
        <v>Grondgebonden</v>
      </c>
      <c r="W293" t="str">
        <v>Hoekwoning</v>
      </c>
      <c r="X293" t="str">
        <v>N.v.t.</v>
      </c>
      <c r="Y293" t="str">
        <v>Ja</v>
      </c>
      <c r="Z293" t="str">
        <v>parkeerterrein</v>
      </c>
      <c r="AA293" t="str">
        <v>Na 2020</v>
      </c>
      <c r="AB293" t="str">
        <v>Nee</v>
      </c>
      <c r="AC293" t="str">
        <v>NEE</v>
      </c>
      <c r="AD293" t="str">
        <v>JA</v>
      </c>
    </row>
    <row r="294">
      <c r="A294" t="str">
        <v>44420052</v>
      </c>
      <c r="B294" t="str">
        <v>https://www.funda.nl/detail/koop/hengelo-ov/appartement-appartementen-bouwnr-2/44420052/</v>
      </c>
      <c r="C294" t="str">
        <v>Noaberhof de Rijkskweek</v>
      </c>
      <c r="D294" t="str">
        <v>Appartementen</v>
      </c>
      <c r="E294" t="str">
        <v>2</v>
      </c>
      <c r="F294" t="str">
        <v>7551</v>
      </c>
      <c r="G294" t="str">
        <v>Hengelo (OV)</v>
      </c>
      <c r="H294" t="str">
        <v>Hengelo (O)</v>
      </c>
      <c r="I294" t="str">
        <v>Overijssel</v>
      </c>
      <c r="J294" t="str">
        <v>Oost-Nederland</v>
      </c>
      <c r="K294" t="str">
        <v>Te koop</v>
      </c>
      <c r="L294" t="str">
        <v>Onbekend</v>
      </c>
      <c r="M294" t="str">
        <v>Onbekend</v>
      </c>
      <c r="N294">
        <v>439000</v>
      </c>
      <c r="O294" t="str">
        <v>v.o.n.</v>
      </c>
      <c r="P294">
        <v>85</v>
      </c>
      <c r="Q294">
        <v>5165</v>
      </c>
      <c r="R294" t="str">
        <v>Onbekend</v>
      </c>
      <c r="S294" t="str">
        <v>A+++</v>
      </c>
      <c r="T294">
        <v>3</v>
      </c>
      <c r="U294">
        <v>2</v>
      </c>
      <c r="V294" t="str">
        <v>Appartement</v>
      </c>
      <c r="W294" t="str">
        <v>Appartement</v>
      </c>
      <c r="X294" t="str">
        <v>Appartement 75-100 m²</v>
      </c>
      <c r="Y294" t="str">
        <v>Ja</v>
      </c>
      <c r="Z294" t="str">
        <v>garage</v>
      </c>
      <c r="AA294" t="str">
        <v>Na 2020</v>
      </c>
      <c r="AB294" t="str">
        <v>Nee</v>
      </c>
      <c r="AC294" t="str">
        <v>NEE</v>
      </c>
      <c r="AD294" t="str">
        <v>JA</v>
      </c>
    </row>
    <row r="295">
      <c r="A295" t="str">
        <v>44420163</v>
      </c>
      <c r="B295" t="str">
        <v>https://www.funda.nl/detail/koop/hengelo-ov/appartement-appartementen-bouwnr-6/44420163/</v>
      </c>
      <c r="C295" t="str">
        <v>Noaberhof de Rijkskweek</v>
      </c>
      <c r="D295" t="str">
        <v>Appartementen</v>
      </c>
      <c r="E295" t="str">
        <v>6</v>
      </c>
      <c r="F295" t="str">
        <v>7551</v>
      </c>
      <c r="G295" t="str">
        <v>Hengelo (OV)</v>
      </c>
      <c r="H295" t="str">
        <v>Hengelo (O)</v>
      </c>
      <c r="I295" t="str">
        <v>Overijssel</v>
      </c>
      <c r="J295" t="str">
        <v>Oost-Nederland</v>
      </c>
      <c r="K295" t="str">
        <v>Te koop</v>
      </c>
      <c r="L295" t="str">
        <v>Onbekend</v>
      </c>
      <c r="M295" t="str">
        <v>Onbekend</v>
      </c>
      <c r="N295">
        <v>715000</v>
      </c>
      <c r="O295" t="str">
        <v>v.o.n.</v>
      </c>
      <c r="P295">
        <v>138</v>
      </c>
      <c r="Q295">
        <v>5181</v>
      </c>
      <c r="R295" t="str">
        <v>Onbekend</v>
      </c>
      <c r="S295" t="str">
        <v>A+++</v>
      </c>
      <c r="T295">
        <v>4</v>
      </c>
      <c r="U295">
        <v>3</v>
      </c>
      <c r="V295" t="str">
        <v>Appartement</v>
      </c>
      <c r="W295" t="str">
        <v>Appartement</v>
      </c>
      <c r="X295" t="str">
        <v>Appartement &gt;100 m²</v>
      </c>
      <c r="Y295" t="str">
        <v>Ja</v>
      </c>
      <c r="Z295" t="str">
        <v>garage</v>
      </c>
      <c r="AA295" t="str">
        <v>Na 2020</v>
      </c>
      <c r="AB295" t="str">
        <v>Nee</v>
      </c>
      <c r="AC295" t="str">
        <v>NEE</v>
      </c>
      <c r="AD295" t="str">
        <v>JA</v>
      </c>
    </row>
    <row r="296">
      <c r="A296" t="str">
        <v>44420164</v>
      </c>
      <c r="B296" t="str">
        <v>https://www.funda.nl/detail/koop/hengelo-ov/appartement-appartementen-bouwnr-12/44420164/</v>
      </c>
      <c r="C296" t="str">
        <v>Noaberhof de Rijkskweek</v>
      </c>
      <c r="D296" t="str">
        <v>Appartementen</v>
      </c>
      <c r="E296" t="str">
        <v>12</v>
      </c>
      <c r="F296" t="str">
        <v>7551</v>
      </c>
      <c r="G296" t="str">
        <v>Hengelo (OV)</v>
      </c>
      <c r="H296" t="str">
        <v>Hengelo (O)</v>
      </c>
      <c r="I296" t="str">
        <v>Overijssel</v>
      </c>
      <c r="J296" t="str">
        <v>Oost-Nederland</v>
      </c>
      <c r="K296" t="str">
        <v>Te koop</v>
      </c>
      <c r="L296" t="str">
        <v>Onbekend</v>
      </c>
      <c r="M296" t="str">
        <v>Onbekend</v>
      </c>
      <c r="N296">
        <v>765000</v>
      </c>
      <c r="O296" t="str">
        <v>v.o.n.</v>
      </c>
      <c r="P296">
        <v>138</v>
      </c>
      <c r="Q296">
        <v>5543</v>
      </c>
      <c r="R296" t="str">
        <v>Onbekend</v>
      </c>
      <c r="S296" t="str">
        <v>A+++</v>
      </c>
      <c r="T296">
        <v>4</v>
      </c>
      <c r="U296">
        <v>3</v>
      </c>
      <c r="V296" t="str">
        <v>Appartement</v>
      </c>
      <c r="W296" t="str">
        <v>Appartement</v>
      </c>
      <c r="X296" t="str">
        <v>Appartement &gt;100 m²</v>
      </c>
      <c r="Y296" t="str">
        <v>Ja</v>
      </c>
      <c r="Z296" t="str">
        <v>garage</v>
      </c>
      <c r="AA296" t="str">
        <v>Na 2020</v>
      </c>
      <c r="AB296" t="str">
        <v>Nee</v>
      </c>
      <c r="AC296" t="str">
        <v>NEE</v>
      </c>
      <c r="AD296" t="str">
        <v>JA</v>
      </c>
    </row>
    <row r="297">
      <c r="A297" t="str">
        <v>44420165</v>
      </c>
      <c r="B297" t="str">
        <v>https://www.funda.nl/detail/koop/hengelo-ov/appartement-appartementen-bouwnr-3/44420165/</v>
      </c>
      <c r="C297" t="str">
        <v>Noaberhof de Rijkskweek</v>
      </c>
      <c r="D297" t="str">
        <v>Appartementen</v>
      </c>
      <c r="E297" t="str">
        <v>3</v>
      </c>
      <c r="F297" t="str">
        <v>7551</v>
      </c>
      <c r="G297" t="str">
        <v>Hengelo (OV)</v>
      </c>
      <c r="H297" t="str">
        <v>Hengelo (O)</v>
      </c>
      <c r="I297" t="str">
        <v>Overijssel</v>
      </c>
      <c r="J297" t="str">
        <v>Oost-Nederland</v>
      </c>
      <c r="K297" t="str">
        <v>Te koop</v>
      </c>
      <c r="L297" t="str">
        <v>Onbekend</v>
      </c>
      <c r="M297" t="str">
        <v>Onbekend</v>
      </c>
      <c r="N297">
        <v>715000</v>
      </c>
      <c r="O297" t="str">
        <v>v.o.n.</v>
      </c>
      <c r="P297">
        <v>138</v>
      </c>
      <c r="Q297">
        <v>5181</v>
      </c>
      <c r="R297" t="str">
        <v>Onbekend</v>
      </c>
      <c r="S297" t="str">
        <v>A+++</v>
      </c>
      <c r="T297">
        <v>4</v>
      </c>
      <c r="U297">
        <v>3</v>
      </c>
      <c r="V297" t="str">
        <v>Appartement</v>
      </c>
      <c r="W297" t="str">
        <v>Appartement</v>
      </c>
      <c r="X297" t="str">
        <v>Appartement &gt;100 m²</v>
      </c>
      <c r="Y297" t="str">
        <v>Ja</v>
      </c>
      <c r="Z297" t="str">
        <v>garage</v>
      </c>
      <c r="AA297" t="str">
        <v>Na 2020</v>
      </c>
      <c r="AB297" t="str">
        <v>Nee</v>
      </c>
      <c r="AC297" t="str">
        <v>NEE</v>
      </c>
      <c r="AD297" t="str">
        <v>JA</v>
      </c>
    </row>
    <row r="298">
      <c r="A298" t="str">
        <v>44420167</v>
      </c>
      <c r="B298" t="str">
        <v>https://www.funda.nl/detail/koop/hengelo-ov/appartement-appartementen-bouwnr-4/44420167/</v>
      </c>
      <c r="C298" t="str">
        <v>Noaberhof de Rijkskweek</v>
      </c>
      <c r="D298" t="str">
        <v>Appartementen</v>
      </c>
      <c r="E298" t="str">
        <v>4</v>
      </c>
      <c r="F298" t="str">
        <v>7551</v>
      </c>
      <c r="G298" t="str">
        <v>Hengelo (OV)</v>
      </c>
      <c r="H298" t="str">
        <v>Hengelo (O)</v>
      </c>
      <c r="I298" t="str">
        <v>Overijssel</v>
      </c>
      <c r="J298" t="str">
        <v>Oost-Nederland</v>
      </c>
      <c r="K298" t="str">
        <v>Te koop</v>
      </c>
      <c r="L298" t="str">
        <v>Onbekend</v>
      </c>
      <c r="M298" t="str">
        <v>Onbekend</v>
      </c>
      <c r="N298">
        <v>459000</v>
      </c>
      <c r="O298" t="str">
        <v>v.o.n.</v>
      </c>
      <c r="P298">
        <v>89</v>
      </c>
      <c r="Q298">
        <v>5157</v>
      </c>
      <c r="R298" t="str">
        <v>Onbekend</v>
      </c>
      <c r="S298" t="str">
        <v>A+++</v>
      </c>
      <c r="T298">
        <v>3</v>
      </c>
      <c r="U298">
        <v>2</v>
      </c>
      <c r="V298" t="str">
        <v>Appartement</v>
      </c>
      <c r="W298" t="str">
        <v>Appartement</v>
      </c>
      <c r="X298" t="str">
        <v>Appartement 75-100 m²</v>
      </c>
      <c r="Y298" t="str">
        <v>Ja</v>
      </c>
      <c r="Z298" t="str">
        <v>garage</v>
      </c>
      <c r="AA298" t="str">
        <v>Na 2020</v>
      </c>
      <c r="AB298" t="str">
        <v>Nee</v>
      </c>
      <c r="AC298" t="str">
        <v>NEE</v>
      </c>
      <c r="AD298" t="str">
        <v>JA</v>
      </c>
    </row>
    <row r="299">
      <c r="A299" t="str">
        <v>44420168</v>
      </c>
      <c r="B299" t="str">
        <v>https://www.funda.nl/detail/koop/hengelo-ov/appartement-appartementen-bouwnr-15/44420168/</v>
      </c>
      <c r="C299" t="str">
        <v>Noaberhof de Rijkskweek</v>
      </c>
      <c r="D299" t="str">
        <v>Appartementen</v>
      </c>
      <c r="E299" t="str">
        <v>15</v>
      </c>
      <c r="F299" t="str">
        <v>7551</v>
      </c>
      <c r="G299" t="str">
        <v>Hengelo (OV)</v>
      </c>
      <c r="H299" t="str">
        <v>Hengelo (O)</v>
      </c>
      <c r="I299" t="str">
        <v>Overijssel</v>
      </c>
      <c r="J299" t="str">
        <v>Oost-Nederland</v>
      </c>
      <c r="K299" t="str">
        <v>Te koop</v>
      </c>
      <c r="L299" t="str">
        <v>2026-07-07</v>
      </c>
      <c r="M299">
        <v>6</v>
      </c>
      <c r="N299">
        <v>795000</v>
      </c>
      <c r="O299" t="str">
        <v>v.o.n.</v>
      </c>
      <c r="P299">
        <v>138</v>
      </c>
      <c r="Q299">
        <v>5761</v>
      </c>
      <c r="R299" t="str">
        <v>Onbekend</v>
      </c>
      <c r="S299" t="str">
        <v>A+++</v>
      </c>
      <c r="T299">
        <v>4</v>
      </c>
      <c r="U299">
        <v>3</v>
      </c>
      <c r="V299" t="str">
        <v>Appartement</v>
      </c>
      <c r="W299" t="str">
        <v>Appartement</v>
      </c>
      <c r="X299" t="str">
        <v>Appartement &gt;100 m²</v>
      </c>
      <c r="Y299" t="str">
        <v>Ja</v>
      </c>
      <c r="Z299" t="str">
        <v>garage</v>
      </c>
      <c r="AA299" t="str">
        <v>Na 2020</v>
      </c>
      <c r="AB299" t="str">
        <v>Nee</v>
      </c>
      <c r="AC299" t="str">
        <v>NEE</v>
      </c>
      <c r="AD299" t="str">
        <v>JA</v>
      </c>
    </row>
    <row r="300">
      <c r="A300" t="str">
        <v>44420169</v>
      </c>
      <c r="B300" t="str">
        <v>https://www.funda.nl/detail/koop/hengelo-ov/appartement-appartementen-bouwnr-9/44420169/</v>
      </c>
      <c r="C300" t="str">
        <v>Noaberhof de Rijkskweek</v>
      </c>
      <c r="D300" t="str">
        <v>Appartementen</v>
      </c>
      <c r="E300" t="str">
        <v>9</v>
      </c>
      <c r="F300" t="str">
        <v>7551</v>
      </c>
      <c r="G300" t="str">
        <v>Hengelo (OV)</v>
      </c>
      <c r="H300" t="str">
        <v>Hengelo (O)</v>
      </c>
      <c r="I300" t="str">
        <v>Overijssel</v>
      </c>
      <c r="J300" t="str">
        <v>Oost-Nederland</v>
      </c>
      <c r="K300" t="str">
        <v>Te koop</v>
      </c>
      <c r="L300" t="str">
        <v>Onbekend</v>
      </c>
      <c r="M300" t="str">
        <v>Onbekend</v>
      </c>
      <c r="N300">
        <v>735000</v>
      </c>
      <c r="O300" t="str">
        <v>v.o.n.</v>
      </c>
      <c r="P300">
        <v>138</v>
      </c>
      <c r="Q300">
        <v>5326</v>
      </c>
      <c r="R300" t="str">
        <v>Onbekend</v>
      </c>
      <c r="S300" t="str">
        <v>A+++</v>
      </c>
      <c r="T300">
        <v>4</v>
      </c>
      <c r="U300">
        <v>3</v>
      </c>
      <c r="V300" t="str">
        <v>Appartement</v>
      </c>
      <c r="W300" t="str">
        <v>Appartement</v>
      </c>
      <c r="X300" t="str">
        <v>Appartement &gt;100 m²</v>
      </c>
      <c r="Y300" t="str">
        <v>Ja</v>
      </c>
      <c r="Z300" t="str">
        <v>garage</v>
      </c>
      <c r="AA300" t="str">
        <v>Na 2020</v>
      </c>
      <c r="AB300" t="str">
        <v>Nee</v>
      </c>
      <c r="AC300" t="str">
        <v>NEE</v>
      </c>
      <c r="AD300" t="str">
        <v>JA</v>
      </c>
    </row>
    <row r="301">
      <c r="A301" t="str">
        <v>44420051</v>
      </c>
      <c r="B301" t="str">
        <v>https://www.funda.nl/detail/koop/hengelo-ov/appartement-appartementen-bouwnr-11/44420051/</v>
      </c>
      <c r="C301" t="str">
        <v>Noaberhof de Rijkskweek</v>
      </c>
      <c r="D301" t="str">
        <v>Appartementen</v>
      </c>
      <c r="E301" t="str">
        <v>11</v>
      </c>
      <c r="F301" t="str">
        <v>7551</v>
      </c>
      <c r="G301" t="str">
        <v>Hengelo (OV)</v>
      </c>
      <c r="H301" t="str">
        <v>Hengelo (O)</v>
      </c>
      <c r="I301" t="str">
        <v>Overijssel</v>
      </c>
      <c r="J301" t="str">
        <v>Oost-Nederland</v>
      </c>
      <c r="K301" t="str">
        <v>Te koop</v>
      </c>
      <c r="L301" t="str">
        <v>Onbekend</v>
      </c>
      <c r="M301" t="str">
        <v>Onbekend</v>
      </c>
      <c r="N301">
        <v>635000</v>
      </c>
      <c r="O301" t="str">
        <v>v.o.n.</v>
      </c>
      <c r="P301">
        <v>134</v>
      </c>
      <c r="Q301">
        <v>4739</v>
      </c>
      <c r="R301" t="str">
        <v>Onbekend</v>
      </c>
      <c r="S301" t="str">
        <v>A+++</v>
      </c>
      <c r="T301">
        <v>4</v>
      </c>
      <c r="U301">
        <v>3</v>
      </c>
      <c r="V301" t="str">
        <v>Appartement</v>
      </c>
      <c r="W301" t="str">
        <v>Appartement</v>
      </c>
      <c r="X301" t="str">
        <v>Appartement &gt;100 m²</v>
      </c>
      <c r="Y301" t="str">
        <v>Ja</v>
      </c>
      <c r="Z301" t="str">
        <v>garage</v>
      </c>
      <c r="AA301" t="str">
        <v>Na 2020</v>
      </c>
      <c r="AB301" t="str">
        <v>Nee</v>
      </c>
      <c r="AC301" t="str">
        <v>NEE</v>
      </c>
      <c r="AD301" t="str">
        <v>JA</v>
      </c>
    </row>
    <row r="302">
      <c r="A302" t="str">
        <v>44420162</v>
      </c>
      <c r="B302" t="str">
        <v>https://www.funda.nl/detail/koop/hengelo-ov/appartement-appartementen-bouwnr-16/44420162/</v>
      </c>
      <c r="C302" t="str">
        <v>Noaberhof de Rijkskweek</v>
      </c>
      <c r="D302" t="str">
        <v>Appartementen</v>
      </c>
      <c r="E302" t="str">
        <v>16</v>
      </c>
      <c r="F302" t="str">
        <v>7551</v>
      </c>
      <c r="G302" t="str">
        <v>Hengelo (OV)</v>
      </c>
      <c r="H302" t="str">
        <v>Hengelo (O)</v>
      </c>
      <c r="I302" t="str">
        <v>Overijssel</v>
      </c>
      <c r="J302" t="str">
        <v>Oost-Nederland</v>
      </c>
      <c r="K302" t="str">
        <v>Te koop</v>
      </c>
      <c r="L302" t="str">
        <v>Onbekend</v>
      </c>
      <c r="M302" t="str">
        <v>Onbekend</v>
      </c>
      <c r="N302">
        <v>495000</v>
      </c>
      <c r="O302" t="str">
        <v>v.o.n.</v>
      </c>
      <c r="P302">
        <v>89</v>
      </c>
      <c r="Q302">
        <v>5562</v>
      </c>
      <c r="R302" t="str">
        <v>Onbekend</v>
      </c>
      <c r="S302" t="str">
        <v>A+++</v>
      </c>
      <c r="T302">
        <v>3</v>
      </c>
      <c r="U302">
        <v>2</v>
      </c>
      <c r="V302" t="str">
        <v>Appartement</v>
      </c>
      <c r="W302" t="str">
        <v>Appartement</v>
      </c>
      <c r="X302" t="str">
        <v>Appartement 75-100 m²</v>
      </c>
      <c r="Y302" t="str">
        <v>Ja</v>
      </c>
      <c r="Z302" t="str">
        <v>garage</v>
      </c>
      <c r="AA302" t="str">
        <v>Na 2020</v>
      </c>
      <c r="AB302" t="str">
        <v>Nee</v>
      </c>
      <c r="AC302" t="str">
        <v>NEE</v>
      </c>
      <c r="AD302" t="str">
        <v>JA</v>
      </c>
    </row>
    <row r="303">
      <c r="A303" t="str">
        <v>44420173</v>
      </c>
      <c r="B303" t="str">
        <v>https://www.funda.nl/detail/koop/hengelo-ov/appartement-appartementen-bouwnr-19/44420173/</v>
      </c>
      <c r="C303" t="str">
        <v>Noaberhof de Rijkskweek</v>
      </c>
      <c r="D303" t="str">
        <v>Appartementen</v>
      </c>
      <c r="E303" t="str">
        <v>19</v>
      </c>
      <c r="F303" t="str">
        <v>7551</v>
      </c>
      <c r="G303" t="str">
        <v>Hengelo (OV)</v>
      </c>
      <c r="H303" t="str">
        <v>Hengelo (O)</v>
      </c>
      <c r="I303" t="str">
        <v>Overijssel</v>
      </c>
      <c r="J303" t="str">
        <v>Oost-Nederland</v>
      </c>
      <c r="K303" t="str">
        <v>Te koop</v>
      </c>
      <c r="L303" t="str">
        <v>Onbekend</v>
      </c>
      <c r="M303" t="str">
        <v>Onbekend</v>
      </c>
      <c r="N303">
        <v>930000</v>
      </c>
      <c r="O303" t="str">
        <v>v.o.n.</v>
      </c>
      <c r="P303">
        <v>164</v>
      </c>
      <c r="Q303">
        <v>5671</v>
      </c>
      <c r="R303" t="str">
        <v>Onbekend</v>
      </c>
      <c r="S303" t="str">
        <v>A+++</v>
      </c>
      <c r="T303">
        <v>3</v>
      </c>
      <c r="U303">
        <v>2</v>
      </c>
      <c r="V303" t="str">
        <v>Appartement</v>
      </c>
      <c r="W303" t="str">
        <v>Appartement</v>
      </c>
      <c r="X303" t="str">
        <v>Appartement &gt;100 m²</v>
      </c>
      <c r="Y303" t="str">
        <v>Ja</v>
      </c>
      <c r="Z303" t="str">
        <v>garage</v>
      </c>
      <c r="AA303" t="str">
        <v>Na 2020</v>
      </c>
      <c r="AB303" t="str">
        <v>Nee</v>
      </c>
      <c r="AC303" t="str">
        <v>NEE</v>
      </c>
      <c r="AD303" t="str">
        <v>JA</v>
      </c>
    </row>
    <row r="304">
      <c r="A304" t="str">
        <v>44420166</v>
      </c>
      <c r="B304" t="str">
        <v>https://www.funda.nl/detail/koop/hengelo-ov/appartement-appartementen-bouwnr-8/44420166/</v>
      </c>
      <c r="C304" t="str">
        <v>Noaberhof de Rijkskweek</v>
      </c>
      <c r="D304" t="str">
        <v>Appartementen</v>
      </c>
      <c r="E304" t="str">
        <v>8</v>
      </c>
      <c r="F304" t="str">
        <v>7551</v>
      </c>
      <c r="G304" t="str">
        <v>Hengelo (OV)</v>
      </c>
      <c r="H304" t="str">
        <v>Hengelo (O)</v>
      </c>
      <c r="I304" t="str">
        <v>Overijssel</v>
      </c>
      <c r="J304" t="str">
        <v>Oost-Nederland</v>
      </c>
      <c r="K304" t="str">
        <v>Te koop</v>
      </c>
      <c r="L304" t="str">
        <v>Onbekend</v>
      </c>
      <c r="M304" t="str">
        <v>Onbekend</v>
      </c>
      <c r="N304">
        <v>625000</v>
      </c>
      <c r="O304" t="str">
        <v>v.o.n.</v>
      </c>
      <c r="P304">
        <v>134</v>
      </c>
      <c r="Q304">
        <v>4664</v>
      </c>
      <c r="R304" t="str">
        <v>Onbekend</v>
      </c>
      <c r="S304" t="str">
        <v>A+++</v>
      </c>
      <c r="T304">
        <v>4</v>
      </c>
      <c r="U304">
        <v>3</v>
      </c>
      <c r="V304" t="str">
        <v>Appartement</v>
      </c>
      <c r="W304" t="str">
        <v>Appartement</v>
      </c>
      <c r="X304" t="str">
        <v>Appartement &gt;100 m²</v>
      </c>
      <c r="Y304" t="str">
        <v>Ja</v>
      </c>
      <c r="Z304" t="str">
        <v>garage</v>
      </c>
      <c r="AA304" t="str">
        <v>Na 2020</v>
      </c>
      <c r="AB304" t="str">
        <v>Nee</v>
      </c>
      <c r="AC304" t="str">
        <v>NEE</v>
      </c>
      <c r="AD304" t="str">
        <v>JA</v>
      </c>
    </row>
    <row r="305">
      <c r="A305" t="str">
        <v>44420178</v>
      </c>
      <c r="B305" t="str">
        <v>https://www.funda.nl/detail/koop/hengelo-ov/appartement-appartementen-bouwnr-7/44420178/</v>
      </c>
      <c r="C305" t="str">
        <v>Noaberhof de Rijkskweek</v>
      </c>
      <c r="D305" t="str">
        <v>Appartementen</v>
      </c>
      <c r="E305" t="str">
        <v>7</v>
      </c>
      <c r="F305" t="str">
        <v>7551</v>
      </c>
      <c r="G305" t="str">
        <v>Hengelo (OV)</v>
      </c>
      <c r="H305" t="str">
        <v>Hengelo (O)</v>
      </c>
      <c r="I305" t="str">
        <v>Overijssel</v>
      </c>
      <c r="J305" t="str">
        <v>Oost-Nederland</v>
      </c>
      <c r="K305" t="str">
        <v>Te koop</v>
      </c>
      <c r="L305" t="str">
        <v>Onbekend</v>
      </c>
      <c r="M305" t="str">
        <v>Onbekend</v>
      </c>
      <c r="N305">
        <v>459000</v>
      </c>
      <c r="O305" t="str">
        <v>v.o.n.</v>
      </c>
      <c r="P305">
        <v>89</v>
      </c>
      <c r="Q305">
        <v>5157</v>
      </c>
      <c r="R305" t="str">
        <v>Onbekend</v>
      </c>
      <c r="S305" t="str">
        <v>A+++</v>
      </c>
      <c r="T305">
        <v>3</v>
      </c>
      <c r="U305">
        <v>2</v>
      </c>
      <c r="V305" t="str">
        <v>Appartement</v>
      </c>
      <c r="W305" t="str">
        <v>Appartement</v>
      </c>
      <c r="X305" t="str">
        <v>Appartement 75-100 m²</v>
      </c>
      <c r="Y305" t="str">
        <v>Ja</v>
      </c>
      <c r="Z305" t="str">
        <v>garage</v>
      </c>
      <c r="AA305" t="str">
        <v>Na 2020</v>
      </c>
      <c r="AB305" t="str">
        <v>Nee</v>
      </c>
      <c r="AC305" t="str">
        <v>NEE</v>
      </c>
      <c r="AD305" t="str">
        <v>JA</v>
      </c>
    </row>
    <row r="306">
      <c r="A306" t="str">
        <v>44420179</v>
      </c>
      <c r="B306" t="str">
        <v>https://www.funda.nl/detail/koop/hengelo-ov/appartement-appartementen-bouwnr-13/44420179/</v>
      </c>
      <c r="C306" t="str">
        <v>Noaberhof de Rijkskweek</v>
      </c>
      <c r="D306" t="str">
        <v>Appartementen</v>
      </c>
      <c r="E306" t="str">
        <v>13</v>
      </c>
      <c r="F306" t="str">
        <v>7551</v>
      </c>
      <c r="G306" t="str">
        <v>Hengelo (OV)</v>
      </c>
      <c r="H306" t="str">
        <v>Hengelo (O)</v>
      </c>
      <c r="I306" t="str">
        <v>Overijssel</v>
      </c>
      <c r="J306" t="str">
        <v>Oost-Nederland</v>
      </c>
      <c r="K306" t="str">
        <v>Te koop</v>
      </c>
      <c r="L306" t="str">
        <v>Onbekend</v>
      </c>
      <c r="M306" t="str">
        <v>Onbekend</v>
      </c>
      <c r="N306">
        <v>479000</v>
      </c>
      <c r="O306" t="str">
        <v>v.o.n.</v>
      </c>
      <c r="P306">
        <v>89</v>
      </c>
      <c r="Q306">
        <v>5382</v>
      </c>
      <c r="R306" t="str">
        <v>Onbekend</v>
      </c>
      <c r="S306" t="str">
        <v>A+++</v>
      </c>
      <c r="T306">
        <v>3</v>
      </c>
      <c r="U306">
        <v>2</v>
      </c>
      <c r="V306" t="str">
        <v>Appartement</v>
      </c>
      <c r="W306" t="str">
        <v>Appartement</v>
      </c>
      <c r="X306" t="str">
        <v>Appartement 75-100 m²</v>
      </c>
      <c r="Y306" t="str">
        <v>Ja</v>
      </c>
      <c r="Z306" t="str">
        <v>garage</v>
      </c>
      <c r="AA306" t="str">
        <v>Na 2020</v>
      </c>
      <c r="AB306" t="str">
        <v>Nee</v>
      </c>
      <c r="AC306" t="str">
        <v>NEE</v>
      </c>
      <c r="AD306" t="str">
        <v>JA</v>
      </c>
    </row>
    <row r="307">
      <c r="A307" t="str">
        <v>44420170</v>
      </c>
      <c r="B307" t="str">
        <v>https://www.funda.nl/detail/koop/hengelo-ov/appartement-appartementen-bouwnr-17/44420170/</v>
      </c>
      <c r="C307" t="str">
        <v>Noaberhof de Rijkskweek</v>
      </c>
      <c r="D307" t="str">
        <v>Appartementen</v>
      </c>
      <c r="E307" t="str">
        <v>17</v>
      </c>
      <c r="F307" t="str">
        <v>7551</v>
      </c>
      <c r="G307" t="str">
        <v>Hengelo (OV)</v>
      </c>
      <c r="H307" t="str">
        <v>Hengelo (O)</v>
      </c>
      <c r="I307" t="str">
        <v>Overijssel</v>
      </c>
      <c r="J307" t="str">
        <v>Oost-Nederland</v>
      </c>
      <c r="K307" t="str">
        <v>Te koop</v>
      </c>
      <c r="L307" t="str">
        <v>Onbekend</v>
      </c>
      <c r="M307" t="str">
        <v>Onbekend</v>
      </c>
      <c r="N307">
        <v>685000</v>
      </c>
      <c r="O307" t="str">
        <v>v.o.n.</v>
      </c>
      <c r="P307">
        <v>134</v>
      </c>
      <c r="Q307">
        <v>5112</v>
      </c>
      <c r="R307" t="str">
        <v>Onbekend</v>
      </c>
      <c r="S307" t="str">
        <v>A+++</v>
      </c>
      <c r="T307">
        <v>4</v>
      </c>
      <c r="U307">
        <v>3</v>
      </c>
      <c r="V307" t="str">
        <v>Appartement</v>
      </c>
      <c r="W307" t="str">
        <v>Appartement</v>
      </c>
      <c r="X307" t="str">
        <v>Appartement &gt;100 m²</v>
      </c>
      <c r="Y307" t="str">
        <v>Ja</v>
      </c>
      <c r="Z307" t="str">
        <v>garage</v>
      </c>
      <c r="AA307" t="str">
        <v>Na 2020</v>
      </c>
      <c r="AB307" t="str">
        <v>Nee</v>
      </c>
      <c r="AC307" t="str">
        <v>NEE</v>
      </c>
      <c r="AD307" t="str">
        <v>JA</v>
      </c>
    </row>
    <row r="308">
      <c r="A308" t="str">
        <v>44420183</v>
      </c>
      <c r="B308" t="str">
        <v>https://www.funda.nl/detail/koop/hengelo-ov/appartement-appartementen-bouwnr-14/44420183/</v>
      </c>
      <c r="C308" t="str">
        <v>Noaberhof de Rijkskweek</v>
      </c>
      <c r="D308" t="str">
        <v>Appartementen</v>
      </c>
      <c r="E308" t="str">
        <v>14</v>
      </c>
      <c r="F308" t="str">
        <v>7551</v>
      </c>
      <c r="G308" t="str">
        <v>Hengelo (OV)</v>
      </c>
      <c r="H308" t="str">
        <v>Hengelo (O)</v>
      </c>
      <c r="I308" t="str">
        <v>Overijssel</v>
      </c>
      <c r="J308" t="str">
        <v>Oost-Nederland</v>
      </c>
      <c r="K308" t="str">
        <v>Te koop</v>
      </c>
      <c r="L308" t="str">
        <v>Onbekend</v>
      </c>
      <c r="M308" t="str">
        <v>Onbekend</v>
      </c>
      <c r="N308">
        <v>655000</v>
      </c>
      <c r="O308" t="str">
        <v>v.o.n.</v>
      </c>
      <c r="P308">
        <v>134</v>
      </c>
      <c r="Q308">
        <v>4888</v>
      </c>
      <c r="R308" t="str">
        <v>Onbekend</v>
      </c>
      <c r="S308" t="str">
        <v>A+++</v>
      </c>
      <c r="T308">
        <v>4</v>
      </c>
      <c r="U308">
        <v>3</v>
      </c>
      <c r="V308" t="str">
        <v>Appartement</v>
      </c>
      <c r="W308" t="str">
        <v>Appartement</v>
      </c>
      <c r="X308" t="str">
        <v>Appartement &gt;100 m²</v>
      </c>
      <c r="Y308" t="str">
        <v>Ja</v>
      </c>
      <c r="Z308" t="str">
        <v>garage</v>
      </c>
      <c r="AA308" t="str">
        <v>Na 2020</v>
      </c>
      <c r="AB308" t="str">
        <v>Nee</v>
      </c>
      <c r="AC308" t="str">
        <v>NEE</v>
      </c>
      <c r="AD308" t="str">
        <v>JA</v>
      </c>
    </row>
    <row r="309">
      <c r="A309" t="str">
        <v>44420160</v>
      </c>
      <c r="B309" t="str">
        <v>https://www.funda.nl/detail/koop/hengelo-ov/appartement-appartementen-bouwnr-5/44420160/</v>
      </c>
      <c r="C309" t="str">
        <v>Noaberhof de Rijkskweek</v>
      </c>
      <c r="D309" t="str">
        <v>Appartementen</v>
      </c>
      <c r="E309" t="str">
        <v>5</v>
      </c>
      <c r="F309" t="str">
        <v>7551</v>
      </c>
      <c r="G309" t="str">
        <v>Hengelo (OV)</v>
      </c>
      <c r="H309" t="str">
        <v>Hengelo (O)</v>
      </c>
      <c r="I309" t="str">
        <v>Overijssel</v>
      </c>
      <c r="J309" t="str">
        <v>Oost-Nederland</v>
      </c>
      <c r="K309" t="str">
        <v>Te koop</v>
      </c>
      <c r="L309" t="str">
        <v>Onbekend</v>
      </c>
      <c r="M309" t="str">
        <v>Onbekend</v>
      </c>
      <c r="N309">
        <v>615000</v>
      </c>
      <c r="O309" t="str">
        <v>v.o.n.</v>
      </c>
      <c r="P309">
        <v>134</v>
      </c>
      <c r="Q309">
        <v>4590</v>
      </c>
      <c r="R309" t="str">
        <v>Onbekend</v>
      </c>
      <c r="S309" t="str">
        <v>A+++</v>
      </c>
      <c r="T309">
        <v>4</v>
      </c>
      <c r="U309">
        <v>3</v>
      </c>
      <c r="V309" t="str">
        <v>Appartement</v>
      </c>
      <c r="W309" t="str">
        <v>Appartement</v>
      </c>
      <c r="X309" t="str">
        <v>Appartement &gt;100 m²</v>
      </c>
      <c r="Y309" t="str">
        <v>Ja</v>
      </c>
      <c r="Z309" t="str">
        <v>garage</v>
      </c>
      <c r="AA309" t="str">
        <v>Na 2020</v>
      </c>
      <c r="AB309" t="str">
        <v>Nee</v>
      </c>
      <c r="AC309" t="str">
        <v>NEE</v>
      </c>
      <c r="AD309" t="str">
        <v>JA</v>
      </c>
    </row>
    <row r="310">
      <c r="A310" t="str">
        <v>44420186</v>
      </c>
      <c r="B310" t="str">
        <v>https://www.funda.nl/detail/koop/hengelo-ov/appartement-appartementen-bouwnr-18/44420186/</v>
      </c>
      <c r="C310" t="str">
        <v>Noaberhof de Rijkskweek</v>
      </c>
      <c r="D310" t="str">
        <v>Appartementen</v>
      </c>
      <c r="E310" t="str">
        <v>18</v>
      </c>
      <c r="F310" t="str">
        <v>7551</v>
      </c>
      <c r="G310" t="str">
        <v>Hengelo (OV)</v>
      </c>
      <c r="H310" t="str">
        <v>Hengelo (O)</v>
      </c>
      <c r="I310" t="str">
        <v>Overijssel</v>
      </c>
      <c r="J310" t="str">
        <v>Oost-Nederland</v>
      </c>
      <c r="K310" t="str">
        <v>Te koop</v>
      </c>
      <c r="L310" t="str">
        <v>Onbekend</v>
      </c>
      <c r="M310" t="str">
        <v>Onbekend</v>
      </c>
      <c r="N310">
        <v>980000</v>
      </c>
      <c r="O310" t="str">
        <v>v.o.n.</v>
      </c>
      <c r="P310">
        <v>177</v>
      </c>
      <c r="Q310">
        <v>5537</v>
      </c>
      <c r="R310" t="str">
        <v>Onbekend</v>
      </c>
      <c r="S310" t="str">
        <v>A+++</v>
      </c>
      <c r="T310">
        <v>3</v>
      </c>
      <c r="U310">
        <v>2</v>
      </c>
      <c r="V310" t="str">
        <v>Appartement</v>
      </c>
      <c r="W310" t="str">
        <v>Appartement</v>
      </c>
      <c r="X310" t="str">
        <v>Appartement &gt;100 m²</v>
      </c>
      <c r="Y310" t="str">
        <v>Ja</v>
      </c>
      <c r="Z310" t="str">
        <v>garage</v>
      </c>
      <c r="AA310" t="str">
        <v>Na 2020</v>
      </c>
      <c r="AB310" t="str">
        <v>Nee</v>
      </c>
      <c r="AC310" t="str">
        <v>NEE</v>
      </c>
      <c r="AD310" t="str">
        <v>JA</v>
      </c>
    </row>
    <row r="311">
      <c r="A311" t="str">
        <v>44420161</v>
      </c>
      <c r="B311" t="str">
        <v>https://www.funda.nl/detail/koop/hengelo-ov/appartement-appartementen-bouwnr-1/44420161/</v>
      </c>
      <c r="C311" t="str">
        <v>Noaberhof de Rijkskweek</v>
      </c>
      <c r="D311" t="str">
        <v>Appartementen</v>
      </c>
      <c r="E311" t="str">
        <v>1</v>
      </c>
      <c r="F311" t="str">
        <v>7551</v>
      </c>
      <c r="G311" t="str">
        <v>Hengelo (OV)</v>
      </c>
      <c r="H311" t="str">
        <v>Hengelo (O)</v>
      </c>
      <c r="I311" t="str">
        <v>Overijssel</v>
      </c>
      <c r="J311" t="str">
        <v>Oost-Nederland</v>
      </c>
      <c r="K311" t="str">
        <v>Te koop</v>
      </c>
      <c r="L311" t="str">
        <v>Onbekend</v>
      </c>
      <c r="M311" t="str">
        <v>Onbekend</v>
      </c>
      <c r="N311">
        <v>445000</v>
      </c>
      <c r="O311" t="str">
        <v>v.o.n.</v>
      </c>
      <c r="P311">
        <v>89</v>
      </c>
      <c r="Q311">
        <v>5000</v>
      </c>
      <c r="R311" t="str">
        <v>Onbekend</v>
      </c>
      <c r="S311" t="str">
        <v>A+++</v>
      </c>
      <c r="T311">
        <v>3</v>
      </c>
      <c r="U311">
        <v>2</v>
      </c>
      <c r="V311" t="str">
        <v>Appartement</v>
      </c>
      <c r="W311" t="str">
        <v>Appartement</v>
      </c>
      <c r="X311" t="str">
        <v>Appartement 75-100 m²</v>
      </c>
      <c r="Y311" t="str">
        <v>Ja</v>
      </c>
      <c r="Z311" t="str">
        <v>eigen parkeerplaats</v>
      </c>
      <c r="AA311" t="str">
        <v>Na 2020</v>
      </c>
      <c r="AB311" t="str">
        <v>Nee</v>
      </c>
      <c r="AC311" t="str">
        <v>NEE</v>
      </c>
      <c r="AD311" t="str">
        <v>JA</v>
      </c>
    </row>
    <row r="312">
      <c r="A312" t="str">
        <v>44420188</v>
      </c>
      <c r="B312" t="str">
        <v>https://www.funda.nl/detail/koop/hengelo-ov/appartement-appartementen-bouwnr-10/44420188/</v>
      </c>
      <c r="C312" t="str">
        <v>Noaberhof de Rijkskweek</v>
      </c>
      <c r="D312" t="str">
        <v>Appartementen</v>
      </c>
      <c r="E312" t="str">
        <v>10</v>
      </c>
      <c r="F312" t="str">
        <v>7551</v>
      </c>
      <c r="G312" t="str">
        <v>Hengelo (OV)</v>
      </c>
      <c r="H312" t="str">
        <v>Hengelo (O)</v>
      </c>
      <c r="I312" t="str">
        <v>Overijssel</v>
      </c>
      <c r="J312" t="str">
        <v>Oost-Nederland</v>
      </c>
      <c r="K312" t="str">
        <v>Te koop</v>
      </c>
      <c r="L312" t="str">
        <v>Onbekend</v>
      </c>
      <c r="M312" t="str">
        <v>Onbekend</v>
      </c>
      <c r="N312">
        <v>459000</v>
      </c>
      <c r="O312" t="str">
        <v>v.o.n.</v>
      </c>
      <c r="P312">
        <v>89</v>
      </c>
      <c r="Q312">
        <v>5157</v>
      </c>
      <c r="R312" t="str">
        <v>Onbekend</v>
      </c>
      <c r="S312" t="str">
        <v>A+++</v>
      </c>
      <c r="T312">
        <v>3</v>
      </c>
      <c r="U312">
        <v>2</v>
      </c>
      <c r="V312" t="str">
        <v>Appartement</v>
      </c>
      <c r="W312" t="str">
        <v>Appartement</v>
      </c>
      <c r="X312" t="str">
        <v>Appartement 75-100 m²</v>
      </c>
      <c r="Y312" t="str">
        <v>Ja</v>
      </c>
      <c r="Z312" t="str">
        <v>garage</v>
      </c>
      <c r="AA312" t="str">
        <v>Na 2020</v>
      </c>
      <c r="AB312" t="str">
        <v>Nee</v>
      </c>
      <c r="AC312" t="str">
        <v>NEE</v>
      </c>
      <c r="AD312" t="str">
        <v>JA</v>
      </c>
    </row>
    <row r="313">
      <c r="A313" t="str">
        <v>44420122</v>
      </c>
      <c r="B313" t="str">
        <v>https://www.funda.nl/detail/koop/veenendaal/appartement-frans-halslaan-13-09/44420122/</v>
      </c>
      <c r="C313" t="str">
        <v>Onbekend</v>
      </c>
      <c r="D313" t="str">
        <v>Frans Halslaan 13-09</v>
      </c>
      <c r="E313" t="str">
        <v>Onbekend</v>
      </c>
      <c r="F313" t="str">
        <v>3904 XH</v>
      </c>
      <c r="G313" t="str">
        <v>Veenendaal</v>
      </c>
      <c r="H313" t="str">
        <v>Veenendaal</v>
      </c>
      <c r="I313" t="str">
        <v>Utrecht</v>
      </c>
      <c r="J313" t="str">
        <v>West-Nederland</v>
      </c>
      <c r="K313" t="str">
        <v>Te koop</v>
      </c>
      <c r="L313" t="str">
        <v>Onbekend</v>
      </c>
      <c r="M313" t="str">
        <v>Onbekend</v>
      </c>
      <c r="N313">
        <v>414500</v>
      </c>
      <c r="O313" t="str">
        <v>v.o.n.</v>
      </c>
      <c r="P313">
        <v>70</v>
      </c>
      <c r="Q313">
        <v>5921</v>
      </c>
      <c r="R313" t="str">
        <v>Onbekend</v>
      </c>
      <c r="S313" t="str">
        <v>A+++</v>
      </c>
      <c r="T313">
        <v>3</v>
      </c>
      <c r="U313">
        <v>2</v>
      </c>
      <c r="V313" t="str">
        <v>Appartement</v>
      </c>
      <c r="W313" t="str">
        <v>Appartement</v>
      </c>
      <c r="X313" t="str">
        <v>Appartement 50-75 m²</v>
      </c>
      <c r="Y313" t="str">
        <v>Ja</v>
      </c>
      <c r="Z313" t="str">
        <v>openbare parkeerplaats</v>
      </c>
      <c r="AA313" t="str">
        <v>Na 2020</v>
      </c>
      <c r="AB313" t="str">
        <v>Nee</v>
      </c>
      <c r="AC313" t="str">
        <v>NEE</v>
      </c>
      <c r="AD313" t="str">
        <v>JA</v>
      </c>
    </row>
    <row r="314">
      <c r="A314" t="str">
        <v>44420176</v>
      </c>
      <c r="B314" t="str">
        <v>https://www.funda.nl/detail/koop/veenendaal/appartement-frans-halslaan-13-03/44420176/</v>
      </c>
      <c r="C314" t="str">
        <v>Onbekend</v>
      </c>
      <c r="D314" t="str">
        <v>Frans Halslaan 13-03</v>
      </c>
      <c r="E314" t="str">
        <v>Onbekend</v>
      </c>
      <c r="F314" t="str">
        <v>3904 XH</v>
      </c>
      <c r="G314" t="str">
        <v>Veenendaal</v>
      </c>
      <c r="H314" t="str">
        <v>Veenendaal</v>
      </c>
      <c r="I314" t="str">
        <v>Utrecht</v>
      </c>
      <c r="J314" t="str">
        <v>West-Nederland</v>
      </c>
      <c r="K314" t="str">
        <v>Te koop</v>
      </c>
      <c r="L314" t="str">
        <v>2026-07-07</v>
      </c>
      <c r="M314">
        <v>6</v>
      </c>
      <c r="N314">
        <v>414500</v>
      </c>
      <c r="O314" t="str">
        <v>v.o.n.</v>
      </c>
      <c r="P314">
        <v>70</v>
      </c>
      <c r="Q314">
        <v>5921</v>
      </c>
      <c r="R314" t="str">
        <v>Onbekend</v>
      </c>
      <c r="S314" t="str">
        <v>A+++</v>
      </c>
      <c r="T314">
        <v>3</v>
      </c>
      <c r="U314">
        <v>2</v>
      </c>
      <c r="V314" t="str">
        <v>Appartement</v>
      </c>
      <c r="W314" t="str">
        <v>Appartement</v>
      </c>
      <c r="X314" t="str">
        <v>Appartement 50-75 m²</v>
      </c>
      <c r="Y314" t="str">
        <v>Ja</v>
      </c>
      <c r="Z314" t="str">
        <v>openbare parkeerplaats</v>
      </c>
      <c r="AA314" t="str">
        <v>Na 2020</v>
      </c>
      <c r="AB314" t="str">
        <v>Nee</v>
      </c>
      <c r="AC314" t="str">
        <v>NEE</v>
      </c>
      <c r="AD314" t="str">
        <v>JA</v>
      </c>
    </row>
    <row r="315">
      <c r="A315" t="str">
        <v>44420996</v>
      </c>
      <c r="B315" t="str">
        <v>https://www.funda.nl/detail/koop/zetten/huis-veldzicht-bouwnummer-4/44420996/</v>
      </c>
      <c r="C315" t="str">
        <v>Onbekend</v>
      </c>
      <c r="D315" t="str">
        <v>Veldzicht - Bouwnummer 4</v>
      </c>
      <c r="E315" t="str">
        <v>Onbekend</v>
      </c>
      <c r="F315" t="str">
        <v>6671 BX</v>
      </c>
      <c r="G315" t="str">
        <v>Zetten</v>
      </c>
      <c r="H315" t="str">
        <v>Overbetuwe</v>
      </c>
      <c r="I315" t="str">
        <v>Gelderland</v>
      </c>
      <c r="J315" t="str">
        <v>Oost-Nederland</v>
      </c>
      <c r="K315" t="str">
        <v>Te koop</v>
      </c>
      <c r="L315" t="str">
        <v>Onbekend</v>
      </c>
      <c r="M315" t="str">
        <v>Onbekend</v>
      </c>
      <c r="N315">
        <v>427000</v>
      </c>
      <c r="O315" t="str">
        <v>v.o.n.</v>
      </c>
      <c r="P315">
        <v>90</v>
      </c>
      <c r="Q315">
        <v>4744</v>
      </c>
      <c r="R315">
        <v>170</v>
      </c>
      <c r="S315" t="str">
        <v>A+++</v>
      </c>
      <c r="T315">
        <v>3</v>
      </c>
      <c r="U315">
        <v>2</v>
      </c>
      <c r="V315" t="str">
        <v>Grondgebonden</v>
      </c>
      <c r="W315" t="str">
        <v>Eindwoning</v>
      </c>
      <c r="X315" t="str">
        <v>N.v.t.</v>
      </c>
      <c r="Y315" t="str">
        <v>Ja</v>
      </c>
      <c r="Z315" t="str">
        <v>openbare parkeerplaats</v>
      </c>
      <c r="AA315" t="str">
        <v>2027</v>
      </c>
      <c r="AB315" t="str">
        <v>Nee</v>
      </c>
      <c r="AC315" t="str">
        <v>NEE</v>
      </c>
      <c r="AD315" t="str">
        <v>JA</v>
      </c>
    </row>
    <row r="316">
      <c r="A316" t="str">
        <v>44420994</v>
      </c>
      <c r="B316" t="str">
        <v>https://www.funda.nl/detail/koop/zetten/huis-veldzicht-bouwnummer-3/44420994/</v>
      </c>
      <c r="C316" t="str">
        <v>Onbekend</v>
      </c>
      <c r="D316" t="str">
        <v>Veldzicht - Bouwnummer 3</v>
      </c>
      <c r="E316" t="str">
        <v>Onbekend</v>
      </c>
      <c r="F316" t="str">
        <v>6671 BX</v>
      </c>
      <c r="G316" t="str">
        <v>Zetten</v>
      </c>
      <c r="H316" t="str">
        <v>Overbetuwe</v>
      </c>
      <c r="I316" t="str">
        <v>Gelderland</v>
      </c>
      <c r="J316" t="str">
        <v>Oost-Nederland</v>
      </c>
      <c r="K316" t="str">
        <v>Te koop</v>
      </c>
      <c r="L316" t="str">
        <v>Onbekend</v>
      </c>
      <c r="M316" t="str">
        <v>Onbekend</v>
      </c>
      <c r="N316">
        <v>427000</v>
      </c>
      <c r="O316" t="str">
        <v>v.o.n.</v>
      </c>
      <c r="P316">
        <v>90</v>
      </c>
      <c r="Q316">
        <v>4744</v>
      </c>
      <c r="R316">
        <v>170</v>
      </c>
      <c r="S316" t="str">
        <v>A+++</v>
      </c>
      <c r="T316">
        <v>3</v>
      </c>
      <c r="U316">
        <v>2</v>
      </c>
      <c r="V316" t="str">
        <v>Grondgebonden</v>
      </c>
      <c r="W316" t="str">
        <v>Eindwoning</v>
      </c>
      <c r="X316" t="str">
        <v>N.v.t.</v>
      </c>
      <c r="Y316" t="str">
        <v>Ja</v>
      </c>
      <c r="Z316" t="str">
        <v>openbare parkeerplaats</v>
      </c>
      <c r="AA316" t="str">
        <v>2027</v>
      </c>
      <c r="AB316" t="str">
        <v>Nee</v>
      </c>
      <c r="AC316" t="str">
        <v>NEE</v>
      </c>
      <c r="AD316" t="str">
        <v>JA</v>
      </c>
    </row>
    <row r="317">
      <c r="A317" t="str">
        <v>44420556</v>
      </c>
      <c r="B317" t="str">
        <v>https://www.funda.nl/detail/koop/amsterdam/appartement-don-boscostraat-393/44420556/</v>
      </c>
      <c r="C317" t="str">
        <v>Onbekend</v>
      </c>
      <c r="D317" t="str">
        <v>Don Boscostraat 393</v>
      </c>
      <c r="E317" t="str">
        <v>Onbekend</v>
      </c>
      <c r="F317" t="str">
        <v>1068 TH</v>
      </c>
      <c r="G317" t="str">
        <v>Amsterdam</v>
      </c>
      <c r="H317" t="str">
        <v>Amsterdam</v>
      </c>
      <c r="I317" t="str">
        <v>Noord-Holland</v>
      </c>
      <c r="J317" t="str">
        <v>West-Nederland</v>
      </c>
      <c r="K317" t="str">
        <v>Te koop</v>
      </c>
      <c r="L317" t="str">
        <v>Onbekend</v>
      </c>
      <c r="M317" t="str">
        <v>Onbekend</v>
      </c>
      <c r="N317">
        <v>578000</v>
      </c>
      <c r="O317" t="str">
        <v>v.o.n.</v>
      </c>
      <c r="P317">
        <v>68</v>
      </c>
      <c r="Q317">
        <v>8500</v>
      </c>
      <c r="R317" t="str">
        <v>Onbekend</v>
      </c>
      <c r="S317" t="str">
        <v>A+++</v>
      </c>
      <c r="T317">
        <v>3</v>
      </c>
      <c r="U317">
        <v>2</v>
      </c>
      <c r="V317" t="str">
        <v>Appartement</v>
      </c>
      <c r="W317" t="str">
        <v>Appartement</v>
      </c>
      <c r="X317" t="str">
        <v>Appartement 50-75 m²</v>
      </c>
      <c r="Y317" t="str">
        <v>Ja</v>
      </c>
      <c r="Z317" t="str">
        <v>garage</v>
      </c>
      <c r="AA317" t="str">
        <v>2026</v>
      </c>
      <c r="AB317" t="str">
        <v>Nee</v>
      </c>
      <c r="AC317" t="str">
        <v>NEE</v>
      </c>
      <c r="AD317" t="str">
        <v>JA</v>
      </c>
    </row>
    <row r="318">
      <c r="A318" t="str">
        <v>44420981</v>
      </c>
      <c r="B318" t="str">
        <v>https://www.funda.nl/detail/koop/amsterdam/appartement-don-boscostraat-391/44420981/</v>
      </c>
      <c r="C318" t="str">
        <v>Onbekend</v>
      </c>
      <c r="D318" t="str">
        <v>Don Boscostraat 391</v>
      </c>
      <c r="E318" t="str">
        <v>Onbekend</v>
      </c>
      <c r="F318" t="str">
        <v>1068 TH</v>
      </c>
      <c r="G318" t="str">
        <v>Amsterdam</v>
      </c>
      <c r="H318" t="str">
        <v>Amsterdam</v>
      </c>
      <c r="I318" t="str">
        <v>Noord-Holland</v>
      </c>
      <c r="J318" t="str">
        <v>West-Nederland</v>
      </c>
      <c r="K318" t="str">
        <v>Te koop</v>
      </c>
      <c r="L318" t="str">
        <v>Onbekend</v>
      </c>
      <c r="M318" t="str">
        <v>Onbekend</v>
      </c>
      <c r="N318">
        <v>619000</v>
      </c>
      <c r="O318" t="str">
        <v>v.o.n.</v>
      </c>
      <c r="P318">
        <v>77</v>
      </c>
      <c r="Q318">
        <v>8039</v>
      </c>
      <c r="R318" t="str">
        <v>Onbekend</v>
      </c>
      <c r="S318" t="str">
        <v>A+++</v>
      </c>
      <c r="T318">
        <v>3</v>
      </c>
      <c r="U318">
        <v>2</v>
      </c>
      <c r="V318" t="str">
        <v>Appartement</v>
      </c>
      <c r="W318" t="str">
        <v>Appartement</v>
      </c>
      <c r="X318" t="str">
        <v>Appartement 75-100 m²</v>
      </c>
      <c r="Y318" t="str">
        <v>Ja</v>
      </c>
      <c r="Z318" t="str">
        <v>garage</v>
      </c>
      <c r="AA318" t="str">
        <v>2026</v>
      </c>
      <c r="AB318" t="str">
        <v>Nee</v>
      </c>
      <c r="AC318" t="str">
        <v>NEE</v>
      </c>
      <c r="AD318" t="str">
        <v>JA</v>
      </c>
    </row>
    <row r="319">
      <c r="A319" t="str">
        <v>44420608</v>
      </c>
      <c r="B319" t="str">
        <v>https://www.funda.nl/detail/koop/amsterdam/appartement-type-h-hakone-bouwnr-8/44420608/</v>
      </c>
      <c r="C319" t="str">
        <v>Nobu Residences Park Meadows</v>
      </c>
      <c r="D319" t="str">
        <v>Type H - HAKONE</v>
      </c>
      <c r="E319" t="str">
        <v>8</v>
      </c>
      <c r="F319" t="str">
        <v>1077 WW</v>
      </c>
      <c r="G319" t="str">
        <v>Amsterdam</v>
      </c>
      <c r="H319" t="str">
        <v>Amsterdam</v>
      </c>
      <c r="I319" t="str">
        <v>Noord-Holland</v>
      </c>
      <c r="J319" t="str">
        <v>West-Nederland</v>
      </c>
      <c r="K319" t="str">
        <v>Te koop</v>
      </c>
      <c r="L319" t="str">
        <v>Onbekend</v>
      </c>
      <c r="M319" t="str">
        <v>Onbekend</v>
      </c>
      <c r="N319">
        <v>2576000</v>
      </c>
      <c r="O319" t="str">
        <v>v.o.n.</v>
      </c>
      <c r="P319">
        <v>136</v>
      </c>
      <c r="Q319">
        <v>18941</v>
      </c>
      <c r="R319" t="str">
        <v>Onbekend</v>
      </c>
      <c r="S319" t="str">
        <v>Niet beschikbaar</v>
      </c>
      <c r="T319">
        <v>3</v>
      </c>
      <c r="U319">
        <v>2</v>
      </c>
      <c r="V319" t="str">
        <v>Appartement</v>
      </c>
      <c r="W319" t="str">
        <v>Appartement</v>
      </c>
      <c r="X319" t="str">
        <v>Appartement &gt;100 m²</v>
      </c>
      <c r="Y319" t="str">
        <v>Ja</v>
      </c>
      <c r="Z319" t="str">
        <v>garage</v>
      </c>
      <c r="AA319" t="str">
        <v>2023</v>
      </c>
      <c r="AB319" t="str">
        <v>Nee</v>
      </c>
      <c r="AC319" t="str">
        <v>JA</v>
      </c>
      <c r="AD319" t="str">
        <v>JA</v>
      </c>
    </row>
    <row r="320">
      <c r="A320" t="str">
        <v>44420603</v>
      </c>
      <c r="B320" t="str">
        <v>https://www.funda.nl/detail/koop/amsterdam/appartement-type-a-hikari-bouwnr-12/44420603/</v>
      </c>
      <c r="C320" t="str">
        <v>Nobu Residences Park Meadows</v>
      </c>
      <c r="D320" t="str">
        <v>Type A - HIKARI</v>
      </c>
      <c r="E320" t="str">
        <v>12</v>
      </c>
      <c r="F320" t="str">
        <v>1077 WW</v>
      </c>
      <c r="G320" t="str">
        <v>Amsterdam</v>
      </c>
      <c r="H320" t="str">
        <v>Amsterdam</v>
      </c>
      <c r="I320" t="str">
        <v>Noord-Holland</v>
      </c>
      <c r="J320" t="str">
        <v>West-Nederland</v>
      </c>
      <c r="K320" t="str">
        <v>Te koop</v>
      </c>
      <c r="L320" t="str">
        <v>Onbekend</v>
      </c>
      <c r="M320" t="str">
        <v>Onbekend</v>
      </c>
      <c r="N320">
        <v>1323000</v>
      </c>
      <c r="O320" t="str">
        <v>v.o.n.</v>
      </c>
      <c r="P320">
        <v>80</v>
      </c>
      <c r="Q320">
        <v>16538</v>
      </c>
      <c r="R320" t="str">
        <v>Onbekend</v>
      </c>
      <c r="S320" t="str">
        <v>Niet beschikbaar</v>
      </c>
      <c r="T320">
        <v>3</v>
      </c>
      <c r="U320">
        <v>2</v>
      </c>
      <c r="V320" t="str">
        <v>Appartement</v>
      </c>
      <c r="W320" t="str">
        <v>Appartement</v>
      </c>
      <c r="X320" t="str">
        <v>Appartement 75-100 m²</v>
      </c>
      <c r="Y320" t="str">
        <v>Ja</v>
      </c>
      <c r="Z320" t="str">
        <v>garage</v>
      </c>
      <c r="AA320" t="str">
        <v>2023</v>
      </c>
      <c r="AB320" t="str">
        <v>Nee</v>
      </c>
      <c r="AC320" t="str">
        <v>JA</v>
      </c>
      <c r="AD320" t="str">
        <v>JA</v>
      </c>
    </row>
    <row r="321">
      <c r="A321" t="str">
        <v>44420609</v>
      </c>
      <c r="B321" t="str">
        <v>https://www.funda.nl/detail/koop/amsterdam/appartement-type-f-kawe-bouwnr-6/44420609/</v>
      </c>
      <c r="C321" t="str">
        <v>Nobu Residences Park Meadows</v>
      </c>
      <c r="D321" t="str">
        <v>Type F - KAWE</v>
      </c>
      <c r="E321" t="str">
        <v>6</v>
      </c>
      <c r="F321" t="str">
        <v>1077 WW</v>
      </c>
      <c r="G321" t="str">
        <v>Amsterdam</v>
      </c>
      <c r="H321" t="str">
        <v>Amsterdam</v>
      </c>
      <c r="I321" t="str">
        <v>Noord-Holland</v>
      </c>
      <c r="J321" t="str">
        <v>West-Nederland</v>
      </c>
      <c r="K321" t="str">
        <v>Te koop</v>
      </c>
      <c r="L321" t="str">
        <v>Onbekend</v>
      </c>
      <c r="M321" t="str">
        <v>Onbekend</v>
      </c>
      <c r="N321">
        <v>1139000</v>
      </c>
      <c r="O321" t="str">
        <v>v.o.n.</v>
      </c>
      <c r="P321">
        <v>71</v>
      </c>
      <c r="Q321">
        <v>16042</v>
      </c>
      <c r="R321" t="str">
        <v>Onbekend</v>
      </c>
      <c r="S321" t="str">
        <v>Niet beschikbaar</v>
      </c>
      <c r="T321">
        <v>2</v>
      </c>
      <c r="U321">
        <v>1</v>
      </c>
      <c r="V321" t="str">
        <v>Appartement</v>
      </c>
      <c r="W321" t="str">
        <v>Appartement</v>
      </c>
      <c r="X321" t="str">
        <v>Appartement 50-75 m²</v>
      </c>
      <c r="Y321" t="str">
        <v>Ja</v>
      </c>
      <c r="Z321" t="str">
        <v>garage</v>
      </c>
      <c r="AA321" t="str">
        <v>2023</v>
      </c>
      <c r="AB321" t="str">
        <v>Nee</v>
      </c>
      <c r="AC321" t="str">
        <v>JA</v>
      </c>
      <c r="AD321" t="str">
        <v>JA</v>
      </c>
    </row>
    <row r="322">
      <c r="A322" t="str">
        <v>44420606</v>
      </c>
      <c r="B322" t="str">
        <v>https://www.funda.nl/detail/koop/amsterdam/appartement-type-e-sakura-bouwnr-5/44420606/</v>
      </c>
      <c r="C322" t="str">
        <v>Nobu Residences Park Meadows</v>
      </c>
      <c r="D322" t="str">
        <v>Type E - SAKURA</v>
      </c>
      <c r="E322" t="str">
        <v>5</v>
      </c>
      <c r="F322" t="str">
        <v>1077 WW</v>
      </c>
      <c r="G322" t="str">
        <v>Amsterdam</v>
      </c>
      <c r="H322" t="str">
        <v>Amsterdam</v>
      </c>
      <c r="I322" t="str">
        <v>Noord-Holland</v>
      </c>
      <c r="J322" t="str">
        <v>West-Nederland</v>
      </c>
      <c r="K322" t="str">
        <v>Te koop</v>
      </c>
      <c r="L322" t="str">
        <v>Onbekend</v>
      </c>
      <c r="M322" t="str">
        <v>Onbekend</v>
      </c>
      <c r="N322">
        <v>2323000</v>
      </c>
      <c r="O322" t="str">
        <v>v.o.n.</v>
      </c>
      <c r="P322">
        <v>140</v>
      </c>
      <c r="Q322">
        <v>16593</v>
      </c>
      <c r="R322" t="str">
        <v>Onbekend</v>
      </c>
      <c r="S322" t="str">
        <v>Niet beschikbaar</v>
      </c>
      <c r="T322">
        <v>3</v>
      </c>
      <c r="U322">
        <v>2</v>
      </c>
      <c r="V322" t="str">
        <v>Appartement</v>
      </c>
      <c r="W322" t="str">
        <v>Appartement</v>
      </c>
      <c r="X322" t="str">
        <v>Appartement &gt;100 m²</v>
      </c>
      <c r="Y322" t="str">
        <v>Ja</v>
      </c>
      <c r="Z322" t="str">
        <v>garage</v>
      </c>
      <c r="AA322" t="str">
        <v>2023</v>
      </c>
      <c r="AB322" t="str">
        <v>Nee</v>
      </c>
      <c r="AC322" t="str">
        <v>JA</v>
      </c>
      <c r="AD322" t="str">
        <v>JA</v>
      </c>
    </row>
    <row r="323">
      <c r="A323" t="str">
        <v>44420605</v>
      </c>
      <c r="B323" t="str">
        <v>https://www.funda.nl/detail/koop/amsterdam/appartement-type-d-tsuki-bouwnr-9/44420605/</v>
      </c>
      <c r="C323" t="str">
        <v>Nobu Residences Park Meadows</v>
      </c>
      <c r="D323" t="str">
        <v>Type D - TSUKI</v>
      </c>
      <c r="E323" t="str">
        <v>9</v>
      </c>
      <c r="F323" t="str">
        <v>1077 WW</v>
      </c>
      <c r="G323" t="str">
        <v>Amsterdam</v>
      </c>
      <c r="H323" t="str">
        <v>Amsterdam</v>
      </c>
      <c r="I323" t="str">
        <v>Noord-Holland</v>
      </c>
      <c r="J323" t="str">
        <v>West-Nederland</v>
      </c>
      <c r="K323" t="str">
        <v>Te koop</v>
      </c>
      <c r="L323" t="str">
        <v>Onbekend</v>
      </c>
      <c r="M323" t="str">
        <v>Onbekend</v>
      </c>
      <c r="N323">
        <v>2806000</v>
      </c>
      <c r="O323" t="str">
        <v>v.o.n.</v>
      </c>
      <c r="P323">
        <v>160</v>
      </c>
      <c r="Q323">
        <v>17538</v>
      </c>
      <c r="R323" t="str">
        <v>Onbekend</v>
      </c>
      <c r="S323" t="str">
        <v>Niet beschikbaar</v>
      </c>
      <c r="T323">
        <v>3</v>
      </c>
      <c r="U323">
        <v>2</v>
      </c>
      <c r="V323" t="str">
        <v>Appartement</v>
      </c>
      <c r="W323" t="str">
        <v>Appartement</v>
      </c>
      <c r="X323" t="str">
        <v>Appartement &gt;100 m²</v>
      </c>
      <c r="Y323" t="str">
        <v>Ja</v>
      </c>
      <c r="Z323" t="str">
        <v>garage</v>
      </c>
      <c r="AA323" t="str">
        <v>2023</v>
      </c>
      <c r="AB323" t="str">
        <v>Nee</v>
      </c>
      <c r="AC323" t="str">
        <v>JA</v>
      </c>
      <c r="AD323" t="str">
        <v>JA</v>
      </c>
    </row>
    <row r="324">
      <c r="A324" t="str">
        <v>44420604</v>
      </c>
      <c r="B324" t="str">
        <v>https://www.funda.nl/detail/koop/amsterdam/appartement-type-c-taiyo-bouwnr-3/44420604/</v>
      </c>
      <c r="C324" t="str">
        <v>Nobu Residences Park Meadows</v>
      </c>
      <c r="D324" t="str">
        <v>Type C - TAIYO</v>
      </c>
      <c r="E324" t="str">
        <v>3</v>
      </c>
      <c r="F324" t="str">
        <v>1077 WW</v>
      </c>
      <c r="G324" t="str">
        <v>Amsterdam</v>
      </c>
      <c r="H324" t="str">
        <v>Amsterdam</v>
      </c>
      <c r="I324" t="str">
        <v>Noord-Holland</v>
      </c>
      <c r="J324" t="str">
        <v>West-Nederland</v>
      </c>
      <c r="K324" t="str">
        <v>Te koop</v>
      </c>
      <c r="L324" t="str">
        <v>Onbekend</v>
      </c>
      <c r="M324" t="str">
        <v>Onbekend</v>
      </c>
      <c r="N324">
        <v>1208000</v>
      </c>
      <c r="O324" t="str">
        <v>v.o.n.</v>
      </c>
      <c r="P324">
        <v>72</v>
      </c>
      <c r="Q324">
        <v>16778</v>
      </c>
      <c r="R324" t="str">
        <v>Onbekend</v>
      </c>
      <c r="S324" t="str">
        <v>Niet beschikbaar</v>
      </c>
      <c r="T324">
        <v>2</v>
      </c>
      <c r="U324">
        <v>1</v>
      </c>
      <c r="V324" t="str">
        <v>Appartement</v>
      </c>
      <c r="W324" t="str">
        <v>Appartement</v>
      </c>
      <c r="X324" t="str">
        <v>Appartement 50-75 m²</v>
      </c>
      <c r="Y324" t="str">
        <v>Ja</v>
      </c>
      <c r="Z324" t="str">
        <v>garage</v>
      </c>
      <c r="AA324" t="str">
        <v>2023</v>
      </c>
      <c r="AB324" t="str">
        <v>Nee</v>
      </c>
      <c r="AC324" t="str">
        <v>JA</v>
      </c>
      <c r="AD324" t="str">
        <v>JA</v>
      </c>
    </row>
    <row r="325">
      <c r="A325" t="str">
        <v>44420691</v>
      </c>
      <c r="B325" t="str">
        <v>https://www.funda.nl/detail/koop/amsterdam/appartement-type-b-miyabi-bouwnr-13/44420691/</v>
      </c>
      <c r="C325" t="str">
        <v>Nobu Residences Park Meadows</v>
      </c>
      <c r="D325" t="str">
        <v>Type B - MIYABI</v>
      </c>
      <c r="E325" t="str">
        <v>13</v>
      </c>
      <c r="F325" t="str">
        <v>1077 WW</v>
      </c>
      <c r="G325" t="str">
        <v>Amsterdam</v>
      </c>
      <c r="H325" t="str">
        <v>Amsterdam</v>
      </c>
      <c r="I325" t="str">
        <v>Noord-Holland</v>
      </c>
      <c r="J325" t="str">
        <v>West-Nederland</v>
      </c>
      <c r="K325" t="str">
        <v>Te koop</v>
      </c>
      <c r="L325" t="str">
        <v>Onbekend</v>
      </c>
      <c r="M325" t="str">
        <v>Onbekend</v>
      </c>
      <c r="N325">
        <v>1070000</v>
      </c>
      <c r="O325" t="str">
        <v>v.o.n.</v>
      </c>
      <c r="P325">
        <v>66</v>
      </c>
      <c r="Q325">
        <v>16212</v>
      </c>
      <c r="R325" t="str">
        <v>Onbekend</v>
      </c>
      <c r="S325" t="str">
        <v>Niet beschikbaar</v>
      </c>
      <c r="T325">
        <v>2</v>
      </c>
      <c r="U325">
        <v>1</v>
      </c>
      <c r="V325" t="str">
        <v>Appartement</v>
      </c>
      <c r="W325" t="str">
        <v>Appartement</v>
      </c>
      <c r="X325" t="str">
        <v>Appartement 50-75 m²</v>
      </c>
      <c r="Y325" t="str">
        <v>Ja</v>
      </c>
      <c r="Z325" t="str">
        <v>garage</v>
      </c>
      <c r="AA325" t="str">
        <v>2023</v>
      </c>
      <c r="AB325" t="str">
        <v>Nee</v>
      </c>
      <c r="AC325" t="str">
        <v>JA</v>
      </c>
      <c r="AD325" t="str">
        <v>JA</v>
      </c>
    </row>
    <row r="326">
      <c r="A326" t="str">
        <v>44420600</v>
      </c>
      <c r="B326" t="str">
        <v>https://www.funda.nl/detail/koop/amsterdam/appartement-type-g-momiji-bouwnr-7/44420600/</v>
      </c>
      <c r="C326" t="str">
        <v>Nobu Residences Park Meadows</v>
      </c>
      <c r="D326" t="str">
        <v>Type G - Momiji</v>
      </c>
      <c r="E326" t="str">
        <v>7</v>
      </c>
      <c r="F326" t="str">
        <v>1077 WW</v>
      </c>
      <c r="G326" t="str">
        <v>Amsterdam</v>
      </c>
      <c r="H326" t="str">
        <v>Amsterdam</v>
      </c>
      <c r="I326" t="str">
        <v>Noord-Holland</v>
      </c>
      <c r="J326" t="str">
        <v>West-Nederland</v>
      </c>
      <c r="K326" t="str">
        <v>Te koop</v>
      </c>
      <c r="L326" t="str">
        <v>Onbekend</v>
      </c>
      <c r="M326" t="str">
        <v>Onbekend</v>
      </c>
      <c r="N326">
        <v>1323000</v>
      </c>
      <c r="O326" t="str">
        <v>v.o.n.</v>
      </c>
      <c r="P326">
        <v>83</v>
      </c>
      <c r="Q326">
        <v>15940</v>
      </c>
      <c r="R326" t="str">
        <v>Onbekend</v>
      </c>
      <c r="S326" t="str">
        <v>Niet beschikbaar</v>
      </c>
      <c r="T326">
        <v>3</v>
      </c>
      <c r="U326">
        <v>2</v>
      </c>
      <c r="V326" t="str">
        <v>Appartement</v>
      </c>
      <c r="W326" t="str">
        <v>Appartement</v>
      </c>
      <c r="X326" t="str">
        <v>Appartement 75-100 m²</v>
      </c>
      <c r="Y326" t="str">
        <v>Ja</v>
      </c>
      <c r="Z326" t="str">
        <v>garage</v>
      </c>
      <c r="AA326" t="str">
        <v>2023</v>
      </c>
      <c r="AB326" t="str">
        <v>Nee</v>
      </c>
      <c r="AC326" t="str">
        <v>JA</v>
      </c>
      <c r="AD326" t="str">
        <v>JA</v>
      </c>
    </row>
    <row r="327">
      <c r="A327" t="str">
        <v>80883704</v>
      </c>
      <c r="B327" t="str">
        <v>https://www.funda.nl/detail/koop/echt/huis-dijkveldstraat-38/80883704/</v>
      </c>
      <c r="C327" t="str">
        <v>Onbekend</v>
      </c>
      <c r="D327" t="str">
        <v>Dijkveldstraat 38</v>
      </c>
      <c r="E327" t="str">
        <v>Onbekend</v>
      </c>
      <c r="F327" t="str">
        <v>6102 VR</v>
      </c>
      <c r="G327" t="str">
        <v>Echt</v>
      </c>
      <c r="H327" t="str">
        <v>Echt-Susteren</v>
      </c>
      <c r="I327" t="str">
        <v>Limburg</v>
      </c>
      <c r="J327" t="str">
        <v>Zuid-Nederland</v>
      </c>
      <c r="K327" t="str">
        <v>Te koop</v>
      </c>
      <c r="L327" t="str">
        <v>2026-07-07</v>
      </c>
      <c r="M327">
        <v>6</v>
      </c>
      <c r="N327">
        <v>420000</v>
      </c>
      <c r="O327" t="str">
        <v>v.o.n.</v>
      </c>
      <c r="P327">
        <v>105</v>
      </c>
      <c r="Q327">
        <v>4000</v>
      </c>
      <c r="R327">
        <v>195</v>
      </c>
      <c r="S327" t="str">
        <v>A+++</v>
      </c>
      <c r="T327">
        <v>4</v>
      </c>
      <c r="U327">
        <v>3</v>
      </c>
      <c r="V327" t="str">
        <v>Grondgebonden</v>
      </c>
      <c r="W327" t="str">
        <v>2-onder-1-kapwoning</v>
      </c>
      <c r="X327" t="str">
        <v>N.v.t.</v>
      </c>
      <c r="Y327" t="str">
        <v>Ja</v>
      </c>
      <c r="Z327" t="str">
        <v>openbare parkeerplaats</v>
      </c>
      <c r="AA327" t="str">
        <v>2026</v>
      </c>
      <c r="AB327" t="str">
        <v>Nee</v>
      </c>
      <c r="AC327" t="str">
        <v>NEE</v>
      </c>
      <c r="AD327" t="str">
        <v>JA</v>
      </c>
    </row>
    <row r="328">
      <c r="A328" t="str">
        <v>44429388</v>
      </c>
      <c r="B328" t="str">
        <v>https://www.funda.nl/detail/koop/rekken/huis-zuid-rekkenseweg/44429388/</v>
      </c>
      <c r="C328" t="str">
        <v>Onbekend</v>
      </c>
      <c r="D328" t="str">
        <v>Zuid Rekkenseweg</v>
      </c>
      <c r="E328" t="str">
        <v>Onbekend</v>
      </c>
      <c r="F328" t="str">
        <v>7157 BB</v>
      </c>
      <c r="G328" t="str">
        <v>Rekken</v>
      </c>
      <c r="H328" t="str">
        <v>Berkelland</v>
      </c>
      <c r="I328" t="str">
        <v>Gelderland</v>
      </c>
      <c r="J328" t="str">
        <v>Oost-Nederland</v>
      </c>
      <c r="K328" t="str">
        <v>Te koop</v>
      </c>
      <c r="L328" t="str">
        <v>Onbekend</v>
      </c>
      <c r="M328" t="str">
        <v>Onbekend</v>
      </c>
      <c r="N328">
        <v>350000</v>
      </c>
      <c r="O328" t="str">
        <v>k.k.</v>
      </c>
      <c r="P328">
        <v>197</v>
      </c>
      <c r="Q328">
        <v>1777</v>
      </c>
      <c r="R328">
        <v>1195</v>
      </c>
      <c r="S328" t="str">
        <v>G</v>
      </c>
      <c r="T328">
        <v>2</v>
      </c>
      <c r="U328" t="str">
        <v>Onbekend</v>
      </c>
      <c r="V328" t="str">
        <v>Grondgebonden</v>
      </c>
      <c r="W328" t="str">
        <v>Vrijstaande woning</v>
      </c>
      <c r="X328" t="str">
        <v>N.v.t.</v>
      </c>
      <c r="Y328" t="str">
        <v>Ja</v>
      </c>
      <c r="Z328" t="str">
        <v>eigen parkeerplaats</v>
      </c>
      <c r="AA328" t="str">
        <v>1920</v>
      </c>
      <c r="AB328" t="str">
        <v>Nee</v>
      </c>
      <c r="AC328" t="str">
        <v>NEE</v>
      </c>
      <c r="AD328" t="str">
        <v>JA</v>
      </c>
    </row>
    <row r="329">
      <c r="A329" t="str">
        <v>80883614</v>
      </c>
      <c r="B329" t="str">
        <v>https://www.funda.nl/detail/koop/lochem/appartement-nieuwstad-33-d/80883614/</v>
      </c>
      <c r="C329" t="str">
        <v>Onbekend</v>
      </c>
      <c r="D329" t="str">
        <v>Nieuwstad 33-d</v>
      </c>
      <c r="E329" t="str">
        <v>Onbekend</v>
      </c>
      <c r="F329" t="str">
        <v>7241 DM</v>
      </c>
      <c r="G329" t="str">
        <v>Lochem</v>
      </c>
      <c r="H329" t="str">
        <v>Lochem</v>
      </c>
      <c r="I329" t="str">
        <v>Gelderland</v>
      </c>
      <c r="J329" t="str">
        <v>Oost-Nederland</v>
      </c>
      <c r="K329" t="str">
        <v>Te koop</v>
      </c>
      <c r="L329" t="str">
        <v>2026-07-06</v>
      </c>
      <c r="M329">
        <v>7</v>
      </c>
      <c r="N329">
        <v>289500</v>
      </c>
      <c r="O329" t="str">
        <v>v.o.n.</v>
      </c>
      <c r="P329">
        <v>47</v>
      </c>
      <c r="Q329">
        <v>6160</v>
      </c>
      <c r="R329" t="str">
        <v>Onbekend</v>
      </c>
      <c r="S329" t="str">
        <v>A+++</v>
      </c>
      <c r="T329">
        <v>2</v>
      </c>
      <c r="U329">
        <v>1</v>
      </c>
      <c r="V329" t="str">
        <v>Appartement</v>
      </c>
      <c r="W329" t="str">
        <v>Appartement</v>
      </c>
      <c r="X329" t="str">
        <v>Appartement &lt;50 m²</v>
      </c>
      <c r="Y329" t="str">
        <v>Onbekend</v>
      </c>
      <c r="Z329" t="str">
        <v>onbekend</v>
      </c>
      <c r="AA329" t="str">
        <v>2026</v>
      </c>
      <c r="AB329" t="str">
        <v>Nee</v>
      </c>
      <c r="AC329" t="str">
        <v>NEE</v>
      </c>
      <c r="AD329" t="str">
        <v>JA</v>
      </c>
    </row>
    <row r="330">
      <c r="A330" t="str">
        <v>80883615</v>
      </c>
      <c r="B330" t="str">
        <v>https://www.funda.nl/detail/koop/lochem/appartement-nieuwstad-29-h/80883615/</v>
      </c>
      <c r="C330" t="str">
        <v>Onbekend</v>
      </c>
      <c r="D330" t="str">
        <v>Nieuwstad 29-h</v>
      </c>
      <c r="E330" t="str">
        <v>Onbekend</v>
      </c>
      <c r="F330" t="str">
        <v>7241 DM</v>
      </c>
      <c r="G330" t="str">
        <v>Lochem</v>
      </c>
      <c r="H330" t="str">
        <v>Lochem</v>
      </c>
      <c r="I330" t="str">
        <v>Gelderland</v>
      </c>
      <c r="J330" t="str">
        <v>Oost-Nederland</v>
      </c>
      <c r="K330" t="str">
        <v>Te koop</v>
      </c>
      <c r="L330" t="str">
        <v>Onbekend</v>
      </c>
      <c r="M330" t="str">
        <v>Onbekend</v>
      </c>
      <c r="N330">
        <v>294000</v>
      </c>
      <c r="O330" t="str">
        <v>v.o.n.</v>
      </c>
      <c r="P330">
        <v>49</v>
      </c>
      <c r="Q330">
        <v>6000</v>
      </c>
      <c r="R330" t="str">
        <v>Onbekend</v>
      </c>
      <c r="S330" t="str">
        <v>A+++</v>
      </c>
      <c r="T330">
        <v>2</v>
      </c>
      <c r="U330">
        <v>1</v>
      </c>
      <c r="V330" t="str">
        <v>Appartement</v>
      </c>
      <c r="W330" t="str">
        <v>Appartement</v>
      </c>
      <c r="X330" t="str">
        <v>Appartement &lt;50 m²</v>
      </c>
      <c r="Y330" t="str">
        <v>Ja</v>
      </c>
      <c r="Z330" t="str">
        <v>openbare parkeerplaats</v>
      </c>
      <c r="AA330" t="str">
        <v>2026</v>
      </c>
      <c r="AB330" t="str">
        <v>Nee</v>
      </c>
      <c r="AC330" t="str">
        <v>NEE</v>
      </c>
      <c r="AD330" t="str">
        <v>JA</v>
      </c>
    </row>
    <row r="331">
      <c r="A331" t="str">
        <v>44420624</v>
      </c>
      <c r="B331" t="str">
        <v>https://www.funda.nl/detail/koop/eindhoven/appartement-138-2-kmr-app-iii-the-weaver-bouwnr-138/44420624/</v>
      </c>
      <c r="C331" t="str">
        <v>Het Gildekwartier - The Weaver te Eindhoven</v>
      </c>
      <c r="D331" t="str">
        <v>138 | 2-kmr app III | The Weaver</v>
      </c>
      <c r="E331" t="str">
        <v>138</v>
      </c>
      <c r="F331" t="str">
        <v>5612 BS</v>
      </c>
      <c r="G331" t="str">
        <v>Eindhoven</v>
      </c>
      <c r="H331" t="str">
        <v>Eindhoven</v>
      </c>
      <c r="I331" t="str">
        <v>Noord-Brabant</v>
      </c>
      <c r="J331" t="str">
        <v>Zuid-Nederland</v>
      </c>
      <c r="K331" t="str">
        <v>Te koop</v>
      </c>
      <c r="L331" t="str">
        <v>Onbekend</v>
      </c>
      <c r="M331" t="str">
        <v>Onbekend</v>
      </c>
      <c r="N331">
        <v>415000</v>
      </c>
      <c r="O331" t="str">
        <v>v.o.n.</v>
      </c>
      <c r="P331">
        <v>72</v>
      </c>
      <c r="Q331">
        <v>5764</v>
      </c>
      <c r="R331" t="str">
        <v>Onbekend</v>
      </c>
      <c r="S331" t="str">
        <v>A++</v>
      </c>
      <c r="T331">
        <v>2</v>
      </c>
      <c r="U331">
        <v>1</v>
      </c>
      <c r="V331" t="str">
        <v>Appartement</v>
      </c>
      <c r="W331" t="str">
        <v>Appartement</v>
      </c>
      <c r="X331" t="str">
        <v>Appartement 50-75 m²</v>
      </c>
      <c r="Y331" t="str">
        <v>Ja</v>
      </c>
      <c r="Z331" t="str">
        <v>garage</v>
      </c>
      <c r="AA331" t="str">
        <v>2026</v>
      </c>
      <c r="AB331" t="str">
        <v>Nee</v>
      </c>
      <c r="AC331" t="str">
        <v>NEE</v>
      </c>
      <c r="AD331" t="str">
        <v>JA</v>
      </c>
    </row>
    <row r="332">
      <c r="A332" t="str">
        <v>44420626</v>
      </c>
      <c r="B332" t="str">
        <v>https://www.funda.nl/detail/koop/eindhoven/appartement-159-3-kmr-app-i-the-weaver-bouwnr-159/44420626/</v>
      </c>
      <c r="C332" t="str">
        <v>Het Gildekwartier - The Weaver te Eindhoven</v>
      </c>
      <c r="D332" t="str">
        <v>159 | 3-kmr app I | The Weaver</v>
      </c>
      <c r="E332" t="str">
        <v>159</v>
      </c>
      <c r="F332" t="str">
        <v>5612 BS</v>
      </c>
      <c r="G332" t="str">
        <v>Eindhoven</v>
      </c>
      <c r="H332" t="str">
        <v>Eindhoven</v>
      </c>
      <c r="I332" t="str">
        <v>Noord-Brabant</v>
      </c>
      <c r="J332" t="str">
        <v>Zuid-Nederland</v>
      </c>
      <c r="K332" t="str">
        <v>Te koop</v>
      </c>
      <c r="L332" t="str">
        <v>Onbekend</v>
      </c>
      <c r="M332" t="str">
        <v>Onbekend</v>
      </c>
      <c r="N332">
        <v>385000</v>
      </c>
      <c r="O332" t="str">
        <v>v.o.n.</v>
      </c>
      <c r="P332">
        <v>62</v>
      </c>
      <c r="Q332">
        <v>6210</v>
      </c>
      <c r="R332" t="str">
        <v>Onbekend</v>
      </c>
      <c r="S332" t="str">
        <v>A++</v>
      </c>
      <c r="T332">
        <v>3</v>
      </c>
      <c r="U332">
        <v>2</v>
      </c>
      <c r="V332" t="str">
        <v>Appartement</v>
      </c>
      <c r="W332" t="str">
        <v>Appartement</v>
      </c>
      <c r="X332" t="str">
        <v>Appartement 50-75 m²</v>
      </c>
      <c r="Y332" t="str">
        <v>Ja</v>
      </c>
      <c r="Z332" t="str">
        <v>garage</v>
      </c>
      <c r="AA332" t="str">
        <v>2026</v>
      </c>
      <c r="AB332" t="str">
        <v>Nee</v>
      </c>
      <c r="AC332" t="str">
        <v>NEE</v>
      </c>
      <c r="AD332" t="str">
        <v>JA</v>
      </c>
    </row>
    <row r="333">
      <c r="A333" t="str">
        <v>44420652</v>
      </c>
      <c r="B333" t="str">
        <v>https://www.funda.nl/detail/koop/eindhoven/appartement-164-penthouse-the-weaver-bouwnr-164/44420652/</v>
      </c>
      <c r="C333" t="str">
        <v>Het Gildekwartier - The Weaver te Eindhoven</v>
      </c>
      <c r="D333" t="str">
        <v>164 | Penthouse | The Weaver</v>
      </c>
      <c r="E333" t="str">
        <v>164</v>
      </c>
      <c r="F333" t="str">
        <v>5612 BS</v>
      </c>
      <c r="G333" t="str">
        <v>Eindhoven</v>
      </c>
      <c r="H333" t="str">
        <v>Eindhoven</v>
      </c>
      <c r="I333" t="str">
        <v>Noord-Brabant</v>
      </c>
      <c r="J333" t="str">
        <v>Zuid-Nederland</v>
      </c>
      <c r="K333" t="str">
        <v>Te koop</v>
      </c>
      <c r="L333" t="str">
        <v>Onbekend</v>
      </c>
      <c r="M333" t="str">
        <v>Onbekend</v>
      </c>
      <c r="N333">
        <v>655000</v>
      </c>
      <c r="O333" t="str">
        <v>v.o.n.</v>
      </c>
      <c r="P333">
        <v>125</v>
      </c>
      <c r="Q333">
        <v>5240</v>
      </c>
      <c r="R333" t="str">
        <v>Onbekend</v>
      </c>
      <c r="S333" t="str">
        <v>A++</v>
      </c>
      <c r="T333">
        <v>3</v>
      </c>
      <c r="U333">
        <v>2</v>
      </c>
      <c r="V333" t="str">
        <v>Appartement</v>
      </c>
      <c r="W333" t="str">
        <v>Appartement</v>
      </c>
      <c r="X333" t="str">
        <v>Appartement &gt;100 m²</v>
      </c>
      <c r="Y333" t="str">
        <v>Ja</v>
      </c>
      <c r="Z333" t="str">
        <v>garage</v>
      </c>
      <c r="AA333" t="str">
        <v>2026</v>
      </c>
      <c r="AB333" t="str">
        <v>Nee</v>
      </c>
      <c r="AC333" t="str">
        <v>NEE</v>
      </c>
      <c r="AD333" t="str">
        <v>JA</v>
      </c>
    </row>
    <row r="334">
      <c r="A334" t="str">
        <v>44420635</v>
      </c>
      <c r="B334" t="str">
        <v>https://www.funda.nl/detail/koop/eindhoven/appartement-122-2-kmr-app-ii-the-weaver-bouwnr-122/44420635/</v>
      </c>
      <c r="C334" t="str">
        <v>Het Gildekwartier - The Weaver te Eindhoven</v>
      </c>
      <c r="D334" t="str">
        <v>122 | 2-kmr app II | The Weaver</v>
      </c>
      <c r="E334" t="str">
        <v>122</v>
      </c>
      <c r="F334" t="str">
        <v>5612 BS</v>
      </c>
      <c r="G334" t="str">
        <v>Eindhoven</v>
      </c>
      <c r="H334" t="str">
        <v>Eindhoven</v>
      </c>
      <c r="I334" t="str">
        <v>Noord-Brabant</v>
      </c>
      <c r="J334" t="str">
        <v>Zuid-Nederland</v>
      </c>
      <c r="K334" t="str">
        <v>Te koop</v>
      </c>
      <c r="L334" t="str">
        <v>Onbekend</v>
      </c>
      <c r="M334" t="str">
        <v>Onbekend</v>
      </c>
      <c r="N334">
        <v>375000</v>
      </c>
      <c r="O334" t="str">
        <v>v.o.n.</v>
      </c>
      <c r="P334">
        <v>65</v>
      </c>
      <c r="Q334">
        <v>5769</v>
      </c>
      <c r="R334" t="str">
        <v>Onbekend</v>
      </c>
      <c r="S334" t="str">
        <v>A++</v>
      </c>
      <c r="T334">
        <v>2</v>
      </c>
      <c r="U334">
        <v>1</v>
      </c>
      <c r="V334" t="str">
        <v>Appartement</v>
      </c>
      <c r="W334" t="str">
        <v>Appartement</v>
      </c>
      <c r="X334" t="str">
        <v>Appartement 50-75 m²</v>
      </c>
      <c r="Y334" t="str">
        <v>Ja</v>
      </c>
      <c r="Z334" t="str">
        <v>garage</v>
      </c>
      <c r="AA334" t="str">
        <v>2026</v>
      </c>
      <c r="AB334" t="str">
        <v>Nee</v>
      </c>
      <c r="AC334" t="str">
        <v>NEE</v>
      </c>
      <c r="AD334" t="str">
        <v>JA</v>
      </c>
    </row>
    <row r="335">
      <c r="A335" t="str">
        <v>44420642</v>
      </c>
      <c r="B335" t="str">
        <v>https://www.funda.nl/detail/koop/eindhoven/appartement-119-2-kmr-app-ii-the-weaver-bouwnr-119/44420642/</v>
      </c>
      <c r="C335" t="str">
        <v>Het Gildekwartier - The Weaver te Eindhoven</v>
      </c>
      <c r="D335" t="str">
        <v>119 | 2-kmr app II | The Weaver</v>
      </c>
      <c r="E335" t="str">
        <v>119</v>
      </c>
      <c r="F335" t="str">
        <v>5612 BS</v>
      </c>
      <c r="G335" t="str">
        <v>Eindhoven</v>
      </c>
      <c r="H335" t="str">
        <v>Eindhoven</v>
      </c>
      <c r="I335" t="str">
        <v>Noord-Brabant</v>
      </c>
      <c r="J335" t="str">
        <v>Zuid-Nederland</v>
      </c>
      <c r="K335" t="str">
        <v>Te koop</v>
      </c>
      <c r="L335" t="str">
        <v>Onbekend</v>
      </c>
      <c r="M335" t="str">
        <v>Onbekend</v>
      </c>
      <c r="N335">
        <v>375000</v>
      </c>
      <c r="O335" t="str">
        <v>v.o.n.</v>
      </c>
      <c r="P335">
        <v>65</v>
      </c>
      <c r="Q335">
        <v>5769</v>
      </c>
      <c r="R335" t="str">
        <v>Onbekend</v>
      </c>
      <c r="S335" t="str">
        <v>A++</v>
      </c>
      <c r="T335">
        <v>2</v>
      </c>
      <c r="U335">
        <v>1</v>
      </c>
      <c r="V335" t="str">
        <v>Appartement</v>
      </c>
      <c r="W335" t="str">
        <v>Appartement</v>
      </c>
      <c r="X335" t="str">
        <v>Appartement 50-75 m²</v>
      </c>
      <c r="Y335" t="str">
        <v>Ja</v>
      </c>
      <c r="Z335" t="str">
        <v>garage</v>
      </c>
      <c r="AA335" t="str">
        <v>2026</v>
      </c>
      <c r="AB335" t="str">
        <v>Nee</v>
      </c>
      <c r="AC335" t="str">
        <v>NEE</v>
      </c>
      <c r="AD335" t="str">
        <v>JA</v>
      </c>
    </row>
    <row r="336">
      <c r="A336" t="str">
        <v>44420550</v>
      </c>
      <c r="B336" t="str">
        <v>https://www.funda.nl/detail/koop/kesteren/huis-fase-1b-i-hoekwoningen-bouwnr-141/44420550/</v>
      </c>
      <c r="C336" t="str">
        <v>Pottemsche Veld</v>
      </c>
      <c r="D336" t="str">
        <v>Fase 1B I Hoekwoningen</v>
      </c>
      <c r="E336" t="str">
        <v>1.41</v>
      </c>
      <c r="F336" t="str">
        <v>4041 ZA</v>
      </c>
      <c r="G336" t="str">
        <v>Kesteren</v>
      </c>
      <c r="H336" t="str">
        <v>Neder-Betuwe</v>
      </c>
      <c r="I336" t="str">
        <v>Gelderland</v>
      </c>
      <c r="J336" t="str">
        <v>Oost-Nederland</v>
      </c>
      <c r="K336" t="str">
        <v>V.O.V.</v>
      </c>
      <c r="L336" t="str">
        <v>Onbekend</v>
      </c>
      <c r="M336" t="str">
        <v>Onbekend</v>
      </c>
      <c r="N336">
        <v>545000</v>
      </c>
      <c r="O336" t="str">
        <v>v.o.n.</v>
      </c>
      <c r="P336">
        <v>119</v>
      </c>
      <c r="Q336">
        <v>4580</v>
      </c>
      <c r="R336">
        <v>232</v>
      </c>
      <c r="S336" t="str">
        <v>A+++</v>
      </c>
      <c r="T336">
        <v>6</v>
      </c>
      <c r="U336">
        <v>3</v>
      </c>
      <c r="V336" t="str">
        <v>Grondgebonden</v>
      </c>
      <c r="W336" t="str">
        <v>Hoekwoning</v>
      </c>
      <c r="X336" t="str">
        <v>N.v.t.</v>
      </c>
      <c r="Y336" t="str">
        <v>Ja</v>
      </c>
      <c r="Z336" t="str">
        <v>openbare parkeerplaats</v>
      </c>
      <c r="AA336" t="str">
        <v>2026</v>
      </c>
      <c r="AB336" t="str">
        <v>Nee</v>
      </c>
      <c r="AC336" t="str">
        <v>NEE</v>
      </c>
      <c r="AD336" t="str">
        <v>JA</v>
      </c>
    </row>
    <row r="337">
      <c r="A337" t="str">
        <v>44429532</v>
      </c>
      <c r="B337" t="str">
        <v>https://www.funda.nl/detail/koop/brummen/huis-elzenbosweg/44429532/</v>
      </c>
      <c r="C337" t="str">
        <v>Onbekend</v>
      </c>
      <c r="D337" t="str">
        <v>Elzenbosweg</v>
      </c>
      <c r="E337" t="str">
        <v>Onbekend</v>
      </c>
      <c r="F337" t="str">
        <v>6971 JM</v>
      </c>
      <c r="G337" t="str">
        <v>Brummen</v>
      </c>
      <c r="H337" t="str">
        <v>Brummen</v>
      </c>
      <c r="I337" t="str">
        <v>Gelderland</v>
      </c>
      <c r="J337" t="str">
        <v>Oost-Nederland</v>
      </c>
      <c r="K337" t="str">
        <v>Te koop</v>
      </c>
      <c r="L337" t="str">
        <v>Onbekend</v>
      </c>
      <c r="M337" t="str">
        <v>Onbekend</v>
      </c>
      <c r="N337">
        <v>970000</v>
      </c>
      <c r="O337" t="str">
        <v>k.k.</v>
      </c>
      <c r="P337">
        <v>145</v>
      </c>
      <c r="Q337">
        <v>6690</v>
      </c>
      <c r="R337">
        <v>1670</v>
      </c>
      <c r="S337" t="str">
        <v>Niet beschikbaar</v>
      </c>
      <c r="T337">
        <v>4</v>
      </c>
      <c r="U337">
        <v>3</v>
      </c>
      <c r="V337" t="str">
        <v>Grondgebonden</v>
      </c>
      <c r="W337" t="str">
        <v>Vrijstaande woning</v>
      </c>
      <c r="X337" t="str">
        <v>N.v.t.</v>
      </c>
      <c r="Y337" t="str">
        <v>Ja</v>
      </c>
      <c r="Z337" t="str">
        <v>eigen parkeerplaats</v>
      </c>
      <c r="AA337" t="str">
        <v>2026</v>
      </c>
      <c r="AB337" t="str">
        <v>Nee</v>
      </c>
      <c r="AC337" t="str">
        <v>NEE</v>
      </c>
      <c r="AD337" t="str">
        <v>JA</v>
      </c>
    </row>
    <row r="338">
      <c r="A338" t="str">
        <v>44429366</v>
      </c>
      <c r="B338" t="str">
        <v>https://www.funda.nl/detail/koop/den-haag/appartement-corner-lofts-studio-appartementen-bouwnr-0215/44429366/</v>
      </c>
      <c r="C338" t="str">
        <v>Corner Lofts</v>
      </c>
      <c r="D338" t="str">
        <v>Corner Lofts, studio appartementen</v>
      </c>
      <c r="E338" t="str">
        <v>02.15</v>
      </c>
      <c r="F338" t="str">
        <v>2515 BS</v>
      </c>
      <c r="G338" t="str">
        <v>Den Haag</v>
      </c>
      <c r="H338" t="str">
        <v>'s-Gravenhage</v>
      </c>
      <c r="I338" t="str">
        <v>Zuid-Holland</v>
      </c>
      <c r="J338" t="str">
        <v>West-Nederland</v>
      </c>
      <c r="K338" t="str">
        <v>Te koop</v>
      </c>
      <c r="L338" t="str">
        <v>Onbekend</v>
      </c>
      <c r="M338" t="str">
        <v>Onbekend</v>
      </c>
      <c r="N338">
        <v>326500</v>
      </c>
      <c r="O338" t="str">
        <v>v.o.n.</v>
      </c>
      <c r="P338">
        <v>45</v>
      </c>
      <c r="Q338">
        <v>7256</v>
      </c>
      <c r="R338" t="str">
        <v>Onbekend</v>
      </c>
      <c r="S338" t="str">
        <v>Niet beschikbaar</v>
      </c>
      <c r="T338">
        <v>1</v>
      </c>
      <c r="U338">
        <v>1</v>
      </c>
      <c r="V338" t="str">
        <v>Appartement</v>
      </c>
      <c r="W338" t="str">
        <v>Appartement</v>
      </c>
      <c r="X338" t="str">
        <v>Appartement &lt;50 m²</v>
      </c>
      <c r="Y338" t="str">
        <v>Onbekend</v>
      </c>
      <c r="Z338" t="str">
        <v>onbekend</v>
      </c>
      <c r="AA338" t="str">
        <v>2026</v>
      </c>
      <c r="AB338" t="str">
        <v>Nee</v>
      </c>
      <c r="AC338" t="str">
        <v>NEE</v>
      </c>
      <c r="AD338" t="str">
        <v>JA</v>
      </c>
    </row>
    <row r="339">
      <c r="A339" t="str">
        <v>44429200</v>
      </c>
      <c r="B339" t="str">
        <v>https://www.funda.nl/detail/koop/uden/appartement-woningtype-d-bouwnr-a82-5e/44429200/</v>
      </c>
      <c r="C339" t="str">
        <v>Connect</v>
      </c>
      <c r="D339" t="str">
        <v>Woningtype D)</v>
      </c>
      <c r="E339" t="str">
        <v>A82 (5e</v>
      </c>
      <c r="F339" t="str">
        <v>5402 XD</v>
      </c>
      <c r="G339" t="str">
        <v>Uden</v>
      </c>
      <c r="H339" t="str">
        <v>Maashorst</v>
      </c>
      <c r="I339" t="str">
        <v>Noord-Brabant</v>
      </c>
      <c r="J339" t="str">
        <v>Zuid-Nederland</v>
      </c>
      <c r="K339" t="str">
        <v>Te koop</v>
      </c>
      <c r="L339" t="str">
        <v>Onbekend</v>
      </c>
      <c r="M339" t="str">
        <v>Onbekend</v>
      </c>
      <c r="N339">
        <v>435000</v>
      </c>
      <c r="O339" t="str">
        <v>v.o.n.</v>
      </c>
      <c r="P339">
        <v>81</v>
      </c>
      <c r="Q339">
        <v>5370</v>
      </c>
      <c r="R339" t="str">
        <v>Onbekend</v>
      </c>
      <c r="S339" t="str">
        <v>A+++</v>
      </c>
      <c r="T339">
        <v>1</v>
      </c>
      <c r="U339" t="str">
        <v>Onbekend</v>
      </c>
      <c r="V339" t="str">
        <v>Appartement</v>
      </c>
      <c r="W339" t="str">
        <v>Appartement</v>
      </c>
      <c r="X339" t="str">
        <v>Appartement 75-100 m²</v>
      </c>
      <c r="Y339" t="str">
        <v>Ja</v>
      </c>
      <c r="Z339" t="str">
        <v>garage</v>
      </c>
      <c r="AA339" t="str">
        <v>2027</v>
      </c>
      <c r="AB339" t="str">
        <v>Nee</v>
      </c>
      <c r="AC339" t="str">
        <v>NEE</v>
      </c>
      <c r="AD339" t="str">
        <v>JA</v>
      </c>
    </row>
    <row r="340">
      <c r="A340" t="str">
        <v>80883751</v>
      </c>
      <c r="B340" t="str">
        <v>https://www.funda.nl/detail/koop/hekelingen/appartement-bs-bouwnr-d05/80883751/</v>
      </c>
      <c r="C340" t="str">
        <v>Dorpshoeve</v>
      </c>
      <c r="D340" t="str">
        <v>Bs</v>
      </c>
      <c r="E340" t="str">
        <v>D05</v>
      </c>
      <c r="F340" t="str">
        <v>3209 AE</v>
      </c>
      <c r="G340" t="str">
        <v>Hekelingen</v>
      </c>
      <c r="H340" t="str">
        <v>Nissewaard</v>
      </c>
      <c r="I340" t="str">
        <v>Zuid-Holland</v>
      </c>
      <c r="J340" t="str">
        <v>West-Nederland</v>
      </c>
      <c r="K340" t="str">
        <v>Te koop</v>
      </c>
      <c r="L340" t="str">
        <v>Onbekend</v>
      </c>
      <c r="M340" t="str">
        <v>Onbekend</v>
      </c>
      <c r="N340">
        <v>310000</v>
      </c>
      <c r="O340" t="str">
        <v>v.o.n.</v>
      </c>
      <c r="P340">
        <v>58</v>
      </c>
      <c r="Q340">
        <v>5345</v>
      </c>
      <c r="R340" t="str">
        <v>Onbekend</v>
      </c>
      <c r="S340" t="str">
        <v>A++++</v>
      </c>
      <c r="T340">
        <v>2</v>
      </c>
      <c r="U340">
        <v>1</v>
      </c>
      <c r="V340" t="str">
        <v>Appartement</v>
      </c>
      <c r="W340" t="str">
        <v>Appartement</v>
      </c>
      <c r="X340" t="str">
        <v>Appartement 50-75 m²</v>
      </c>
      <c r="Y340" t="str">
        <v>Ja</v>
      </c>
      <c r="Z340" t="str">
        <v>eigen parkeerplaats</v>
      </c>
      <c r="AA340" t="str">
        <v>2027</v>
      </c>
      <c r="AB340" t="str">
        <v>Nee</v>
      </c>
      <c r="AC340" t="str">
        <v>NEE</v>
      </c>
      <c r="AD340" t="str">
        <v>JA</v>
      </c>
    </row>
    <row r="341">
      <c r="A341" t="str">
        <v>80883759</v>
      </c>
      <c r="B341" t="str">
        <v>https://www.funda.nl/detail/koop/hekelingen/appartement-ds-bouwnr-d09/80883759/</v>
      </c>
      <c r="C341" t="str">
        <v>Dorpshoeve</v>
      </c>
      <c r="D341" t="str">
        <v>Ds</v>
      </c>
      <c r="E341" t="str">
        <v>D09</v>
      </c>
      <c r="F341" t="str">
        <v>3209 AE</v>
      </c>
      <c r="G341" t="str">
        <v>Hekelingen</v>
      </c>
      <c r="H341" t="str">
        <v>Nissewaard</v>
      </c>
      <c r="I341" t="str">
        <v>Zuid-Holland</v>
      </c>
      <c r="J341" t="str">
        <v>West-Nederland</v>
      </c>
      <c r="K341" t="str">
        <v>Te koop</v>
      </c>
      <c r="L341" t="str">
        <v>Onbekend</v>
      </c>
      <c r="M341" t="str">
        <v>Onbekend</v>
      </c>
      <c r="N341">
        <v>360000</v>
      </c>
      <c r="O341" t="str">
        <v>v.o.n.</v>
      </c>
      <c r="P341">
        <v>65</v>
      </c>
      <c r="Q341">
        <v>5538</v>
      </c>
      <c r="R341" t="str">
        <v>Onbekend</v>
      </c>
      <c r="S341" t="str">
        <v>A+++</v>
      </c>
      <c r="T341">
        <v>2</v>
      </c>
      <c r="U341">
        <v>1</v>
      </c>
      <c r="V341" t="str">
        <v>Appartement</v>
      </c>
      <c r="W341" t="str">
        <v>Appartement</v>
      </c>
      <c r="X341" t="str">
        <v>Appartement 50-75 m²</v>
      </c>
      <c r="Y341" t="str">
        <v>Ja</v>
      </c>
      <c r="Z341" t="str">
        <v>eigen parkeerplaats</v>
      </c>
      <c r="AA341" t="str">
        <v>2027</v>
      </c>
      <c r="AB341" t="str">
        <v>Nee</v>
      </c>
      <c r="AC341" t="str">
        <v>NEE</v>
      </c>
      <c r="AD341" t="str">
        <v>JA</v>
      </c>
    </row>
    <row r="342">
      <c r="A342" t="str">
        <v>80883748</v>
      </c>
      <c r="B342" t="str">
        <v>https://www.funda.nl/detail/koop/hekelingen/appartement-c-bouwnr-d07/80883748/</v>
      </c>
      <c r="C342" t="str">
        <v>Dorpshoeve</v>
      </c>
      <c r="D342" t="str">
        <v>C</v>
      </c>
      <c r="E342" t="str">
        <v>D07</v>
      </c>
      <c r="F342" t="str">
        <v>3209 AE</v>
      </c>
      <c r="G342" t="str">
        <v>Hekelingen</v>
      </c>
      <c r="H342" t="str">
        <v>Nissewaard</v>
      </c>
      <c r="I342" t="str">
        <v>Zuid-Holland</v>
      </c>
      <c r="J342" t="str">
        <v>West-Nederland</v>
      </c>
      <c r="K342" t="str">
        <v>Te koop</v>
      </c>
      <c r="L342" t="str">
        <v>2026-07-06</v>
      </c>
      <c r="M342">
        <v>7</v>
      </c>
      <c r="N342">
        <v>390000</v>
      </c>
      <c r="O342" t="str">
        <v>v.o.n.</v>
      </c>
      <c r="P342">
        <v>74</v>
      </c>
      <c r="Q342">
        <v>5270</v>
      </c>
      <c r="R342" t="str">
        <v>Onbekend</v>
      </c>
      <c r="S342" t="str">
        <v>A+++</v>
      </c>
      <c r="T342">
        <v>2</v>
      </c>
      <c r="U342">
        <v>2</v>
      </c>
      <c r="V342" t="str">
        <v>Appartement</v>
      </c>
      <c r="W342" t="str">
        <v>Appartement</v>
      </c>
      <c r="X342" t="str">
        <v>Appartement 50-75 m²</v>
      </c>
      <c r="Y342" t="str">
        <v>Ja</v>
      </c>
      <c r="Z342" t="str">
        <v>eigen parkeerplaats</v>
      </c>
      <c r="AA342" t="str">
        <v>2027</v>
      </c>
      <c r="AB342" t="str">
        <v>Nee</v>
      </c>
      <c r="AC342" t="str">
        <v>NEE</v>
      </c>
      <c r="AD342" t="str">
        <v>JA</v>
      </c>
    </row>
    <row r="343">
      <c r="A343" t="str">
        <v>80883746</v>
      </c>
      <c r="B343" t="str">
        <v>https://www.funda.nl/detail/koop/hekelingen/appartement-f-bouwnr-d12/80883746/</v>
      </c>
      <c r="C343" t="str">
        <v>Dorpshoeve</v>
      </c>
      <c r="D343" t="str">
        <v>F</v>
      </c>
      <c r="E343" t="str">
        <v>D12</v>
      </c>
      <c r="F343" t="str">
        <v>3209 AE</v>
      </c>
      <c r="G343" t="str">
        <v>Hekelingen</v>
      </c>
      <c r="H343" t="str">
        <v>Nissewaard</v>
      </c>
      <c r="I343" t="str">
        <v>Zuid-Holland</v>
      </c>
      <c r="J343" t="str">
        <v>West-Nederland</v>
      </c>
      <c r="K343" t="str">
        <v>Te koop</v>
      </c>
      <c r="L343" t="str">
        <v>Onbekend</v>
      </c>
      <c r="M343" t="str">
        <v>Onbekend</v>
      </c>
      <c r="N343">
        <v>380000</v>
      </c>
      <c r="O343" t="str">
        <v>v.o.n.</v>
      </c>
      <c r="P343">
        <v>72</v>
      </c>
      <c r="Q343">
        <v>5278</v>
      </c>
      <c r="R343" t="str">
        <v>Onbekend</v>
      </c>
      <c r="S343" t="str">
        <v>A+++</v>
      </c>
      <c r="T343">
        <v>2</v>
      </c>
      <c r="U343">
        <v>1</v>
      </c>
      <c r="V343" t="str">
        <v>Appartement</v>
      </c>
      <c r="W343" t="str">
        <v>Appartement</v>
      </c>
      <c r="X343" t="str">
        <v>Appartement 50-75 m²</v>
      </c>
      <c r="Y343" t="str">
        <v>Ja</v>
      </c>
      <c r="Z343" t="str">
        <v>eigen parkeerplaats</v>
      </c>
      <c r="AA343" t="str">
        <v>2027</v>
      </c>
      <c r="AB343" t="str">
        <v>Nee</v>
      </c>
      <c r="AC343" t="str">
        <v>NEE</v>
      </c>
      <c r="AD343" t="str">
        <v>JA</v>
      </c>
    </row>
    <row r="344">
      <c r="A344" t="str">
        <v>80883745</v>
      </c>
      <c r="B344" t="str">
        <v>https://www.funda.nl/detail/koop/hekelingen/appartement-ds-bouwnr-d11/80883745/</v>
      </c>
      <c r="C344" t="str">
        <v>Dorpshoeve</v>
      </c>
      <c r="D344" t="str">
        <v>Ds</v>
      </c>
      <c r="E344" t="str">
        <v>D11</v>
      </c>
      <c r="F344" t="str">
        <v>3209 AE</v>
      </c>
      <c r="G344" t="str">
        <v>Hekelingen</v>
      </c>
      <c r="H344" t="str">
        <v>Nissewaard</v>
      </c>
      <c r="I344" t="str">
        <v>Zuid-Holland</v>
      </c>
      <c r="J344" t="str">
        <v>West-Nederland</v>
      </c>
      <c r="K344" t="str">
        <v>Te koop</v>
      </c>
      <c r="L344" t="str">
        <v>Onbekend</v>
      </c>
      <c r="M344" t="str">
        <v>Onbekend</v>
      </c>
      <c r="N344">
        <v>355000</v>
      </c>
      <c r="O344" t="str">
        <v>v.o.n.</v>
      </c>
      <c r="P344">
        <v>65</v>
      </c>
      <c r="Q344">
        <v>5462</v>
      </c>
      <c r="R344" t="str">
        <v>Onbekend</v>
      </c>
      <c r="S344" t="str">
        <v>A+++</v>
      </c>
      <c r="T344">
        <v>2</v>
      </c>
      <c r="U344">
        <v>1</v>
      </c>
      <c r="V344" t="str">
        <v>Appartement</v>
      </c>
      <c r="W344" t="str">
        <v>Appartement</v>
      </c>
      <c r="X344" t="str">
        <v>Appartement 50-75 m²</v>
      </c>
      <c r="Y344" t="str">
        <v>Ja</v>
      </c>
      <c r="Z344" t="str">
        <v>eigen parkeerplaats</v>
      </c>
      <c r="AA344" t="str">
        <v>2027</v>
      </c>
      <c r="AB344" t="str">
        <v>Nee</v>
      </c>
      <c r="AC344" t="str">
        <v>NEE</v>
      </c>
      <c r="AD344" t="str">
        <v>JA</v>
      </c>
    </row>
    <row r="345">
      <c r="A345" t="str">
        <v>80883744</v>
      </c>
      <c r="B345" t="str">
        <v>https://www.funda.nl/detail/koop/hekelingen/appartement-d-bouwnr-d10/80883744/</v>
      </c>
      <c r="C345" t="str">
        <v>Dorpshoeve</v>
      </c>
      <c r="D345" t="str">
        <v>D</v>
      </c>
      <c r="E345" t="str">
        <v>D10</v>
      </c>
      <c r="F345" t="str">
        <v>3209 AE</v>
      </c>
      <c r="G345" t="str">
        <v>Hekelingen</v>
      </c>
      <c r="H345" t="str">
        <v>Nissewaard</v>
      </c>
      <c r="I345" t="str">
        <v>Zuid-Holland</v>
      </c>
      <c r="J345" t="str">
        <v>West-Nederland</v>
      </c>
      <c r="K345" t="str">
        <v>Te koop</v>
      </c>
      <c r="L345" t="str">
        <v>Onbekend</v>
      </c>
      <c r="M345" t="str">
        <v>Onbekend</v>
      </c>
      <c r="N345">
        <v>360000</v>
      </c>
      <c r="O345" t="str">
        <v>v.o.n.</v>
      </c>
      <c r="P345">
        <v>65</v>
      </c>
      <c r="Q345">
        <v>5538</v>
      </c>
      <c r="R345" t="str">
        <v>Onbekend</v>
      </c>
      <c r="S345" t="str">
        <v>A+++</v>
      </c>
      <c r="T345">
        <v>2</v>
      </c>
      <c r="U345">
        <v>1</v>
      </c>
      <c r="V345" t="str">
        <v>Appartement</v>
      </c>
      <c r="W345" t="str">
        <v>Appartement</v>
      </c>
      <c r="X345" t="str">
        <v>Appartement 50-75 m²</v>
      </c>
      <c r="Y345" t="str">
        <v>Ja</v>
      </c>
      <c r="Z345" t="str">
        <v>eigen parkeerplaats</v>
      </c>
      <c r="AA345" t="str">
        <v>2027</v>
      </c>
      <c r="AB345" t="str">
        <v>Nee</v>
      </c>
      <c r="AC345" t="str">
        <v>NEE</v>
      </c>
      <c r="AD345" t="str">
        <v>JA</v>
      </c>
    </row>
    <row r="346">
      <c r="A346" t="str">
        <v>80883743</v>
      </c>
      <c r="B346" t="str">
        <v>https://www.funda.nl/detail/koop/hekelingen/appartement-d-bouwnr-d08/80883743/</v>
      </c>
      <c r="C346" t="str">
        <v>Dorpshoeve</v>
      </c>
      <c r="D346" t="str">
        <v>D</v>
      </c>
      <c r="E346" t="str">
        <v>D08</v>
      </c>
      <c r="F346" t="str">
        <v>3209 AE</v>
      </c>
      <c r="G346" t="str">
        <v>Hekelingen</v>
      </c>
      <c r="H346" t="str">
        <v>Nissewaard</v>
      </c>
      <c r="I346" t="str">
        <v>Zuid-Holland</v>
      </c>
      <c r="J346" t="str">
        <v>West-Nederland</v>
      </c>
      <c r="K346" t="str">
        <v>Te koop</v>
      </c>
      <c r="L346" t="str">
        <v>Onbekend</v>
      </c>
      <c r="M346" t="str">
        <v>Onbekend</v>
      </c>
      <c r="N346">
        <v>360000</v>
      </c>
      <c r="O346" t="str">
        <v>v.o.n.</v>
      </c>
      <c r="P346">
        <v>65</v>
      </c>
      <c r="Q346">
        <v>5538</v>
      </c>
      <c r="R346" t="str">
        <v>Onbekend</v>
      </c>
      <c r="S346" t="str">
        <v>A+++</v>
      </c>
      <c r="T346">
        <v>2</v>
      </c>
      <c r="U346">
        <v>1</v>
      </c>
      <c r="V346" t="str">
        <v>Appartement</v>
      </c>
      <c r="W346" t="str">
        <v>Appartement</v>
      </c>
      <c r="X346" t="str">
        <v>Appartement 50-75 m²</v>
      </c>
      <c r="Y346" t="str">
        <v>Ja</v>
      </c>
      <c r="Z346" t="str">
        <v>eigen parkeerplaats</v>
      </c>
      <c r="AA346" t="str">
        <v>2027</v>
      </c>
      <c r="AB346" t="str">
        <v>Nee</v>
      </c>
      <c r="AC346" t="str">
        <v>NEE</v>
      </c>
      <c r="AD346" t="str">
        <v>JA</v>
      </c>
    </row>
    <row r="347">
      <c r="A347" t="str">
        <v>80883742</v>
      </c>
      <c r="B347" t="str">
        <v>https://www.funda.nl/detail/koop/hekelingen/appartement-bs-bouwnr-d03/80883742/</v>
      </c>
      <c r="C347" t="str">
        <v>Dorpshoeve</v>
      </c>
      <c r="D347" t="str">
        <v>Bs</v>
      </c>
      <c r="E347" t="str">
        <v>D03</v>
      </c>
      <c r="F347" t="str">
        <v>3209 AE</v>
      </c>
      <c r="G347" t="str">
        <v>Hekelingen</v>
      </c>
      <c r="H347" t="str">
        <v>Nissewaard</v>
      </c>
      <c r="I347" t="str">
        <v>Zuid-Holland</v>
      </c>
      <c r="J347" t="str">
        <v>West-Nederland</v>
      </c>
      <c r="K347" t="str">
        <v>Te koop</v>
      </c>
      <c r="L347" t="str">
        <v>Onbekend</v>
      </c>
      <c r="M347" t="str">
        <v>Onbekend</v>
      </c>
      <c r="N347">
        <v>330000</v>
      </c>
      <c r="O347" t="str">
        <v>v.o.n.</v>
      </c>
      <c r="P347">
        <v>58</v>
      </c>
      <c r="Q347">
        <v>5690</v>
      </c>
      <c r="R347" t="str">
        <v>Onbekend</v>
      </c>
      <c r="S347" t="str">
        <v>A+++</v>
      </c>
      <c r="T347">
        <v>2</v>
      </c>
      <c r="U347">
        <v>1</v>
      </c>
      <c r="V347" t="str">
        <v>Appartement</v>
      </c>
      <c r="W347" t="str">
        <v>Appartement</v>
      </c>
      <c r="X347" t="str">
        <v>Appartement 50-75 m²</v>
      </c>
      <c r="Y347" t="str">
        <v>Ja</v>
      </c>
      <c r="Z347" t="str">
        <v>eigen parkeerplaats</v>
      </c>
      <c r="AA347" t="str">
        <v>2027</v>
      </c>
      <c r="AB347" t="str">
        <v>Nee</v>
      </c>
      <c r="AC347" t="str">
        <v>NEE</v>
      </c>
      <c r="AD347" t="str">
        <v>JA</v>
      </c>
    </row>
    <row r="348">
      <c r="A348" t="str">
        <v>80883740</v>
      </c>
      <c r="B348" t="str">
        <v>https://www.funda.nl/detail/koop/hekelingen/appartement-b-bouwnr-d04/80883740/</v>
      </c>
      <c r="C348" t="str">
        <v>Dorpshoeve</v>
      </c>
      <c r="D348" t="str">
        <v>B</v>
      </c>
      <c r="E348" t="str">
        <v>D04</v>
      </c>
      <c r="F348" t="str">
        <v>3209 AE</v>
      </c>
      <c r="G348" t="str">
        <v>Hekelingen</v>
      </c>
      <c r="H348" t="str">
        <v>Nissewaard</v>
      </c>
      <c r="I348" t="str">
        <v>Zuid-Holland</v>
      </c>
      <c r="J348" t="str">
        <v>West-Nederland</v>
      </c>
      <c r="K348" t="str">
        <v>Te koop</v>
      </c>
      <c r="L348" t="str">
        <v>Onbekend</v>
      </c>
      <c r="M348" t="str">
        <v>Onbekend</v>
      </c>
      <c r="N348">
        <v>320000</v>
      </c>
      <c r="O348" t="str">
        <v>v.o.n.</v>
      </c>
      <c r="P348">
        <v>58</v>
      </c>
      <c r="Q348">
        <v>5517</v>
      </c>
      <c r="R348" t="str">
        <v>Onbekend</v>
      </c>
      <c r="S348" t="str">
        <v>A+++</v>
      </c>
      <c r="T348">
        <v>2</v>
      </c>
      <c r="U348">
        <v>1</v>
      </c>
      <c r="V348" t="str">
        <v>Appartement</v>
      </c>
      <c r="W348" t="str">
        <v>Appartement</v>
      </c>
      <c r="X348" t="str">
        <v>Appartement 50-75 m²</v>
      </c>
      <c r="Y348" t="str">
        <v>Ja</v>
      </c>
      <c r="Z348" t="str">
        <v>eigen parkeerplaats</v>
      </c>
      <c r="AA348" t="str">
        <v>2027</v>
      </c>
      <c r="AB348" t="str">
        <v>Nee</v>
      </c>
      <c r="AC348" t="str">
        <v>NEE</v>
      </c>
      <c r="AD348" t="str">
        <v>JA</v>
      </c>
    </row>
    <row r="349">
      <c r="A349" t="str">
        <v>80883749</v>
      </c>
      <c r="B349" t="str">
        <v>https://www.funda.nl/detail/koop/hekelingen/appartement-as-bouwnr-d06/80883749/</v>
      </c>
      <c r="C349" t="str">
        <v>Dorpshoeve</v>
      </c>
      <c r="D349" t="str">
        <v>As</v>
      </c>
      <c r="E349" t="str">
        <v>D06</v>
      </c>
      <c r="F349" t="str">
        <v>3209 AE</v>
      </c>
      <c r="G349" t="str">
        <v>Hekelingen</v>
      </c>
      <c r="H349" t="str">
        <v>Nissewaard</v>
      </c>
      <c r="I349" t="str">
        <v>Zuid-Holland</v>
      </c>
      <c r="J349" t="str">
        <v>West-Nederland</v>
      </c>
      <c r="K349" t="str">
        <v>Te koop</v>
      </c>
      <c r="L349" t="str">
        <v>Onbekend</v>
      </c>
      <c r="M349" t="str">
        <v>Onbekend</v>
      </c>
      <c r="N349">
        <v>360000</v>
      </c>
      <c r="O349" t="str">
        <v>v.o.n.</v>
      </c>
      <c r="P349">
        <v>64</v>
      </c>
      <c r="Q349">
        <v>5625</v>
      </c>
      <c r="R349" t="str">
        <v>Onbekend</v>
      </c>
      <c r="S349" t="str">
        <v>A+++</v>
      </c>
      <c r="T349">
        <v>3</v>
      </c>
      <c r="U349">
        <v>2</v>
      </c>
      <c r="V349" t="str">
        <v>Appartement</v>
      </c>
      <c r="W349" t="str">
        <v>Appartement</v>
      </c>
      <c r="X349" t="str">
        <v>Appartement 50-75 m²</v>
      </c>
      <c r="Y349" t="str">
        <v>Ja</v>
      </c>
      <c r="Z349" t="str">
        <v>eigen parkeerplaats</v>
      </c>
      <c r="AA349" t="str">
        <v>2027</v>
      </c>
      <c r="AB349" t="str">
        <v>Nee</v>
      </c>
      <c r="AC349" t="str">
        <v>NEE</v>
      </c>
      <c r="AD349" t="str">
        <v>JA</v>
      </c>
    </row>
    <row r="350">
      <c r="A350" t="str">
        <v>80883738</v>
      </c>
      <c r="B350" t="str">
        <v>https://www.funda.nl/detail/koop/hekelingen/appartement-b-bouwnr-d02/80883738/</v>
      </c>
      <c r="C350" t="str">
        <v>Dorpshoeve</v>
      </c>
      <c r="D350" t="str">
        <v>B</v>
      </c>
      <c r="E350" t="str">
        <v>D02</v>
      </c>
      <c r="F350" t="str">
        <v>3209 AE</v>
      </c>
      <c r="G350" t="str">
        <v>Hekelingen</v>
      </c>
      <c r="H350" t="str">
        <v>Nissewaard</v>
      </c>
      <c r="I350" t="str">
        <v>Zuid-Holland</v>
      </c>
      <c r="J350" t="str">
        <v>West-Nederland</v>
      </c>
      <c r="K350" t="str">
        <v>Te koop</v>
      </c>
      <c r="L350" t="str">
        <v>Onbekend</v>
      </c>
      <c r="M350" t="str">
        <v>Onbekend</v>
      </c>
      <c r="N350">
        <v>330000</v>
      </c>
      <c r="O350" t="str">
        <v>v.o.n.</v>
      </c>
      <c r="P350">
        <v>58</v>
      </c>
      <c r="Q350">
        <v>5690</v>
      </c>
      <c r="R350" t="str">
        <v>Onbekend</v>
      </c>
      <c r="S350" t="str">
        <v>A+++</v>
      </c>
      <c r="T350">
        <v>2</v>
      </c>
      <c r="U350">
        <v>1</v>
      </c>
      <c r="V350" t="str">
        <v>Appartement</v>
      </c>
      <c r="W350" t="str">
        <v>Appartement</v>
      </c>
      <c r="X350" t="str">
        <v>Appartement 50-75 m²</v>
      </c>
      <c r="Y350" t="str">
        <v>Ja</v>
      </c>
      <c r="Z350" t="str">
        <v>eigen parkeerplaats</v>
      </c>
      <c r="AA350" t="str">
        <v>2027</v>
      </c>
      <c r="AB350" t="str">
        <v>Nee</v>
      </c>
      <c r="AC350" t="str">
        <v>NEE</v>
      </c>
      <c r="AD350" t="str">
        <v>JA</v>
      </c>
    </row>
    <row r="351">
      <c r="A351" t="str">
        <v>80883737</v>
      </c>
      <c r="B351" t="str">
        <v>https://www.funda.nl/detail/koop/hekelingen/appartement-a-bouwnr-d01/80883737/</v>
      </c>
      <c r="C351" t="str">
        <v>Dorpshoeve</v>
      </c>
      <c r="D351" t="str">
        <v>A</v>
      </c>
      <c r="E351" t="str">
        <v>D01</v>
      </c>
      <c r="F351" t="str">
        <v>3209 AE</v>
      </c>
      <c r="G351" t="str">
        <v>Hekelingen</v>
      </c>
      <c r="H351" t="str">
        <v>Nissewaard</v>
      </c>
      <c r="I351" t="str">
        <v>Zuid-Holland</v>
      </c>
      <c r="J351" t="str">
        <v>West-Nederland</v>
      </c>
      <c r="K351" t="str">
        <v>Te koop</v>
      </c>
      <c r="L351" t="str">
        <v>Onbekend</v>
      </c>
      <c r="M351" t="str">
        <v>Onbekend</v>
      </c>
      <c r="N351">
        <v>365000</v>
      </c>
      <c r="O351" t="str">
        <v>v.o.n.</v>
      </c>
      <c r="P351">
        <v>64</v>
      </c>
      <c r="Q351">
        <v>5703</v>
      </c>
      <c r="R351" t="str">
        <v>Onbekend</v>
      </c>
      <c r="S351" t="str">
        <v>A++++</v>
      </c>
      <c r="T351">
        <v>3</v>
      </c>
      <c r="U351">
        <v>2</v>
      </c>
      <c r="V351" t="str">
        <v>Appartement</v>
      </c>
      <c r="W351" t="str">
        <v>Appartement</v>
      </c>
      <c r="X351" t="str">
        <v>Appartement 50-75 m²</v>
      </c>
      <c r="Y351" t="str">
        <v>Ja</v>
      </c>
      <c r="Z351" t="str">
        <v>eigen parkeerplaats</v>
      </c>
      <c r="AA351" t="str">
        <v>2027</v>
      </c>
      <c r="AB351" t="str">
        <v>Nee</v>
      </c>
      <c r="AC351" t="str">
        <v>NEE</v>
      </c>
      <c r="AD351" t="str">
        <v>JA</v>
      </c>
    </row>
    <row r="352">
      <c r="A352" t="str">
        <v>44429164</v>
      </c>
      <c r="B352" t="str">
        <v>https://www.funda.nl/detail/koop/eindhoven/appartement-137-2-kmr-app-iii-the-weaver-bouwnr-137/44429164/</v>
      </c>
      <c r="C352" t="str">
        <v>Het Gildekwartier - The Weaver te Eindhoven</v>
      </c>
      <c r="D352" t="str">
        <v>137 | 2-kmr app III | The Weaver</v>
      </c>
      <c r="E352" t="str">
        <v>137</v>
      </c>
      <c r="F352" t="str">
        <v>5612 BS</v>
      </c>
      <c r="G352" t="str">
        <v>Eindhoven</v>
      </c>
      <c r="H352" t="str">
        <v>Eindhoven</v>
      </c>
      <c r="I352" t="str">
        <v>Noord-Brabant</v>
      </c>
      <c r="J352" t="str">
        <v>Zuid-Nederland</v>
      </c>
      <c r="K352" t="str">
        <v>Te koop</v>
      </c>
      <c r="L352" t="str">
        <v>Onbekend</v>
      </c>
      <c r="M352" t="str">
        <v>Onbekend</v>
      </c>
      <c r="N352">
        <v>445000</v>
      </c>
      <c r="O352" t="str">
        <v>v.o.n.</v>
      </c>
      <c r="P352">
        <v>74</v>
      </c>
      <c r="Q352">
        <v>6014</v>
      </c>
      <c r="R352" t="str">
        <v>Onbekend</v>
      </c>
      <c r="S352" t="str">
        <v>A++</v>
      </c>
      <c r="T352">
        <v>2</v>
      </c>
      <c r="U352">
        <v>1</v>
      </c>
      <c r="V352" t="str">
        <v>Appartement</v>
      </c>
      <c r="W352" t="str">
        <v>Appartement</v>
      </c>
      <c r="X352" t="str">
        <v>Appartement 50-75 m²</v>
      </c>
      <c r="Y352" t="str">
        <v>Ja</v>
      </c>
      <c r="Z352" t="str">
        <v>garage</v>
      </c>
      <c r="AA352" t="str">
        <v>2026</v>
      </c>
      <c r="AB352" t="str">
        <v>Nee</v>
      </c>
      <c r="AC352" t="str">
        <v>NEE</v>
      </c>
      <c r="AD352" t="str">
        <v>JA</v>
      </c>
    </row>
    <row r="353">
      <c r="A353" t="str">
        <v>44420599</v>
      </c>
      <c r="B353" t="str">
        <v>https://www.funda.nl/detail/koop/bathmen/huis-molenstraat-5/44420599/</v>
      </c>
      <c r="C353" t="str">
        <v>Onbekend</v>
      </c>
      <c r="D353" t="str">
        <v>Molenstraat 5</v>
      </c>
      <c r="E353" t="str">
        <v>Onbekend</v>
      </c>
      <c r="F353" t="str">
        <v>7437 AH</v>
      </c>
      <c r="G353" t="str">
        <v>Bathmen</v>
      </c>
      <c r="H353" t="str">
        <v>Deventer</v>
      </c>
      <c r="I353" t="str">
        <v>Overijssel</v>
      </c>
      <c r="J353" t="str">
        <v>Oost-Nederland</v>
      </c>
      <c r="K353" t="str">
        <v>Te koop</v>
      </c>
      <c r="L353" t="str">
        <v>Onbekend</v>
      </c>
      <c r="M353" t="str">
        <v>Onbekend</v>
      </c>
      <c r="N353">
        <v>810000</v>
      </c>
      <c r="O353" t="str">
        <v>v.o.n.</v>
      </c>
      <c r="P353">
        <v>154</v>
      </c>
      <c r="Q353">
        <v>5260</v>
      </c>
      <c r="R353">
        <v>529</v>
      </c>
      <c r="S353" t="str">
        <v>Niet beschikbaar</v>
      </c>
      <c r="T353">
        <v>4</v>
      </c>
      <c r="U353">
        <v>3</v>
      </c>
      <c r="V353" t="str">
        <v>Grondgebonden</v>
      </c>
      <c r="W353" t="str">
        <v>Vrijstaande woning</v>
      </c>
      <c r="X353" t="str">
        <v>N.v.t.</v>
      </c>
      <c r="Y353" t="str">
        <v>Ja</v>
      </c>
      <c r="Z353" t="str">
        <v>openbare parkeerplaats</v>
      </c>
      <c r="AA353" t="str">
        <v>2026</v>
      </c>
      <c r="AB353" t="str">
        <v>Nee</v>
      </c>
      <c r="AC353" t="str">
        <v>NEE</v>
      </c>
      <c r="AD353" t="str">
        <v>JA</v>
      </c>
    </row>
    <row r="354">
      <c r="A354" t="str">
        <v>44420549</v>
      </c>
      <c r="B354" t="str">
        <v>https://www.funda.nl/detail/koop/dronten/huis-peterhof-8/44420549/</v>
      </c>
      <c r="C354" t="str">
        <v>Onbekend</v>
      </c>
      <c r="D354" t="str">
        <v>Peterhof 8</v>
      </c>
      <c r="E354" t="str">
        <v>Onbekend</v>
      </c>
      <c r="F354" t="str">
        <v>8251 KG</v>
      </c>
      <c r="G354" t="str">
        <v>Dronten</v>
      </c>
      <c r="H354" t="str">
        <v>Dronten</v>
      </c>
      <c r="I354" t="str">
        <v>Flevoland</v>
      </c>
      <c r="J354" t="str">
        <v>Oost-Nederland</v>
      </c>
      <c r="K354" t="str">
        <v>Te koop</v>
      </c>
      <c r="L354" t="str">
        <v>Onbekend</v>
      </c>
      <c r="M354" t="str">
        <v>Onbekend</v>
      </c>
      <c r="N354">
        <v>710000</v>
      </c>
      <c r="O354" t="str">
        <v>v.o.n.</v>
      </c>
      <c r="P354">
        <v>155</v>
      </c>
      <c r="Q354">
        <v>4581</v>
      </c>
      <c r="R354" t="str">
        <v>Onbekend</v>
      </c>
      <c r="S354" t="str">
        <v>Niet beschikbaar</v>
      </c>
      <c r="T354">
        <v>10</v>
      </c>
      <c r="U354">
        <v>5</v>
      </c>
      <c r="V354" t="str">
        <v>Grondgebonden</v>
      </c>
      <c r="W354" t="str">
        <v>Vrijstaande woning</v>
      </c>
      <c r="X354" t="str">
        <v>N.v.t.</v>
      </c>
      <c r="Y354" t="str">
        <v>Ja</v>
      </c>
      <c r="Z354" t="str">
        <v>eigen parkeerplaats</v>
      </c>
      <c r="AA354" t="str">
        <v>2026</v>
      </c>
      <c r="AB354" t="str">
        <v>Nee</v>
      </c>
      <c r="AC354" t="str">
        <v>NEE</v>
      </c>
      <c r="AD354" t="str">
        <v>JA</v>
      </c>
    </row>
    <row r="355">
      <c r="A355" t="str">
        <v>44420543</v>
      </c>
      <c r="B355" t="str">
        <v>https://www.funda.nl/detail/koop/dronten/huis-peterhof-2/44420543/</v>
      </c>
      <c r="C355" t="str">
        <v>Onbekend</v>
      </c>
      <c r="D355" t="str">
        <v>Peterhof 2</v>
      </c>
      <c r="E355" t="str">
        <v>Onbekend</v>
      </c>
      <c r="F355" t="str">
        <v>8251 KG</v>
      </c>
      <c r="G355" t="str">
        <v>Dronten</v>
      </c>
      <c r="H355" t="str">
        <v>Dronten</v>
      </c>
      <c r="I355" t="str">
        <v>Flevoland</v>
      </c>
      <c r="J355" t="str">
        <v>Oost-Nederland</v>
      </c>
      <c r="K355" t="str">
        <v>Te koop</v>
      </c>
      <c r="L355" t="str">
        <v>Onbekend</v>
      </c>
      <c r="M355" t="str">
        <v>Onbekend</v>
      </c>
      <c r="N355">
        <v>725000</v>
      </c>
      <c r="O355" t="str">
        <v>v.o.n.</v>
      </c>
      <c r="P355">
        <v>155</v>
      </c>
      <c r="Q355">
        <v>4677</v>
      </c>
      <c r="R355" t="str">
        <v>Onbekend</v>
      </c>
      <c r="S355" t="str">
        <v>Niet beschikbaar</v>
      </c>
      <c r="T355">
        <v>10</v>
      </c>
      <c r="U355">
        <v>5</v>
      </c>
      <c r="V355" t="str">
        <v>Grondgebonden</v>
      </c>
      <c r="W355" t="str">
        <v>Vrijstaande woning</v>
      </c>
      <c r="X355" t="str">
        <v>N.v.t.</v>
      </c>
      <c r="Y355" t="str">
        <v>Ja</v>
      </c>
      <c r="Z355" t="str">
        <v>eigen parkeerplaats</v>
      </c>
      <c r="AA355" t="str">
        <v>2026</v>
      </c>
      <c r="AB355" t="str">
        <v>Nee</v>
      </c>
      <c r="AC355" t="str">
        <v>NEE</v>
      </c>
      <c r="AD355" t="str">
        <v>JA</v>
      </c>
    </row>
    <row r="356">
      <c r="A356" t="str">
        <v>44429915</v>
      </c>
      <c r="B356" t="str">
        <v>https://www.funda.nl/detail/koop/soest/appartement-parckhart-fase-1-2-kamer-appartement-s-bouwnr-72/44429915/</v>
      </c>
      <c r="C356" t="str">
        <v>ParckHart</v>
      </c>
      <c r="D356" t="str">
        <v>ParckHart fase 1 2-kamer appartement S</v>
      </c>
      <c r="E356" t="str">
        <v>72</v>
      </c>
      <c r="F356" t="str">
        <v>3762 AV</v>
      </c>
      <c r="G356" t="str">
        <v>Soest</v>
      </c>
      <c r="H356" t="str">
        <v>Soest</v>
      </c>
      <c r="I356" t="str">
        <v>Utrecht</v>
      </c>
      <c r="J356" t="str">
        <v>West-Nederland</v>
      </c>
      <c r="K356" t="str">
        <v>Te koop</v>
      </c>
      <c r="L356" t="str">
        <v>2026-07-06</v>
      </c>
      <c r="M356">
        <v>7</v>
      </c>
      <c r="N356">
        <v>275000</v>
      </c>
      <c r="O356" t="str">
        <v>v.o.n.</v>
      </c>
      <c r="P356">
        <v>51</v>
      </c>
      <c r="Q356">
        <v>5392</v>
      </c>
      <c r="R356" t="str">
        <v>Onbekend</v>
      </c>
      <c r="S356" t="str">
        <v>A++</v>
      </c>
      <c r="T356">
        <v>2</v>
      </c>
      <c r="U356">
        <v>1</v>
      </c>
      <c r="V356" t="str">
        <v>Appartement</v>
      </c>
      <c r="W356" t="str">
        <v>Appartement</v>
      </c>
      <c r="X356" t="str">
        <v>Appartement 50-75 m²</v>
      </c>
      <c r="Y356" t="str">
        <v>Ja</v>
      </c>
      <c r="Z356" t="str">
        <v>openbare parkeerplaats</v>
      </c>
      <c r="AA356" t="str">
        <v>2027</v>
      </c>
      <c r="AB356" t="str">
        <v>Nee</v>
      </c>
      <c r="AC356" t="str">
        <v>NEE</v>
      </c>
      <c r="AD356" t="str">
        <v>JA</v>
      </c>
    </row>
    <row r="357">
      <c r="A357" t="str">
        <v>44429914</v>
      </c>
      <c r="B357" t="str">
        <v>https://www.funda.nl/detail/koop/soest/appartement-parckhart-fase-1-2-kamer-appartement-s-bouwnr-74/44429914/</v>
      </c>
      <c r="C357" t="str">
        <v>ParckHart</v>
      </c>
      <c r="D357" t="str">
        <v>ParckHart fase 1 2-kamer appartement S</v>
      </c>
      <c r="E357" t="str">
        <v>74</v>
      </c>
      <c r="F357" t="str">
        <v>3762 AV</v>
      </c>
      <c r="G357" t="str">
        <v>Soest</v>
      </c>
      <c r="H357" t="str">
        <v>Soest</v>
      </c>
      <c r="I357" t="str">
        <v>Utrecht</v>
      </c>
      <c r="J357" t="str">
        <v>West-Nederland</v>
      </c>
      <c r="K357" t="str">
        <v>Te koop</v>
      </c>
      <c r="L357" t="str">
        <v>Onbekend</v>
      </c>
      <c r="M357" t="str">
        <v>Onbekend</v>
      </c>
      <c r="N357">
        <v>275000</v>
      </c>
      <c r="O357" t="str">
        <v>v.o.n.</v>
      </c>
      <c r="P357">
        <v>51</v>
      </c>
      <c r="Q357">
        <v>5392</v>
      </c>
      <c r="R357" t="str">
        <v>Onbekend</v>
      </c>
      <c r="S357" t="str">
        <v>A+</v>
      </c>
      <c r="T357">
        <v>2</v>
      </c>
      <c r="U357">
        <v>1</v>
      </c>
      <c r="V357" t="str">
        <v>Appartement</v>
      </c>
      <c r="W357" t="str">
        <v>Appartement</v>
      </c>
      <c r="X357" t="str">
        <v>Appartement 50-75 m²</v>
      </c>
      <c r="Y357" t="str">
        <v>Ja</v>
      </c>
      <c r="Z357" t="str">
        <v>openbare parkeerplaats</v>
      </c>
      <c r="AA357" t="str">
        <v>2027</v>
      </c>
      <c r="AB357" t="str">
        <v>Nee</v>
      </c>
      <c r="AC357" t="str">
        <v>NEE</v>
      </c>
      <c r="AD357" t="str">
        <v>JA</v>
      </c>
    </row>
    <row r="358">
      <c r="A358" t="str">
        <v>44429913</v>
      </c>
      <c r="B358" t="str">
        <v>https://www.funda.nl/detail/koop/soest/appartement-parckhart-fase-1-2-kamer-appartement-s-bouwnr-76/44429913/</v>
      </c>
      <c r="C358" t="str">
        <v>ParckHart</v>
      </c>
      <c r="D358" t="str">
        <v>ParckHart fase 1 2-kamer appartement S</v>
      </c>
      <c r="E358" t="str">
        <v>76</v>
      </c>
      <c r="F358" t="str">
        <v>3762 AV</v>
      </c>
      <c r="G358" t="str">
        <v>Soest</v>
      </c>
      <c r="H358" t="str">
        <v>Soest</v>
      </c>
      <c r="I358" t="str">
        <v>Utrecht</v>
      </c>
      <c r="J358" t="str">
        <v>West-Nederland</v>
      </c>
      <c r="K358" t="str">
        <v>Te koop</v>
      </c>
      <c r="L358" t="str">
        <v>Onbekend</v>
      </c>
      <c r="M358" t="str">
        <v>Onbekend</v>
      </c>
      <c r="N358">
        <v>275000</v>
      </c>
      <c r="O358" t="str">
        <v>v.o.n.</v>
      </c>
      <c r="P358">
        <v>51</v>
      </c>
      <c r="Q358">
        <v>5392</v>
      </c>
      <c r="R358" t="str">
        <v>Onbekend</v>
      </c>
      <c r="S358" t="str">
        <v>A+</v>
      </c>
      <c r="T358">
        <v>2</v>
      </c>
      <c r="U358">
        <v>1</v>
      </c>
      <c r="V358" t="str">
        <v>Appartement</v>
      </c>
      <c r="W358" t="str">
        <v>Appartement</v>
      </c>
      <c r="X358" t="str">
        <v>Appartement 50-75 m²</v>
      </c>
      <c r="Y358" t="str">
        <v>Ja</v>
      </c>
      <c r="Z358" t="str">
        <v>openbare parkeerplaats</v>
      </c>
      <c r="AA358" t="str">
        <v>2027</v>
      </c>
      <c r="AB358" t="str">
        <v>Nee</v>
      </c>
      <c r="AC358" t="str">
        <v>NEE</v>
      </c>
      <c r="AD358" t="str">
        <v>JA</v>
      </c>
    </row>
    <row r="359">
      <c r="A359" t="str">
        <v>44429902</v>
      </c>
      <c r="B359" t="str">
        <v>https://www.funda.nl/detail/koop/soest/appartement-parckhart-fase-1-2-kamer-appartement-s-bouwnr-78/44429902/</v>
      </c>
      <c r="C359" t="str">
        <v>ParckHart</v>
      </c>
      <c r="D359" t="str">
        <v>ParckHart fase 1 2-kamer appartement S</v>
      </c>
      <c r="E359" t="str">
        <v>78</v>
      </c>
      <c r="F359" t="str">
        <v>3762 AV</v>
      </c>
      <c r="G359" t="str">
        <v>Soest</v>
      </c>
      <c r="H359" t="str">
        <v>Soest</v>
      </c>
      <c r="I359" t="str">
        <v>Utrecht</v>
      </c>
      <c r="J359" t="str">
        <v>West-Nederland</v>
      </c>
      <c r="K359" t="str">
        <v>Te koop</v>
      </c>
      <c r="L359" t="str">
        <v>Onbekend</v>
      </c>
      <c r="M359" t="str">
        <v>Onbekend</v>
      </c>
      <c r="N359">
        <v>275000</v>
      </c>
      <c r="O359" t="str">
        <v>v.o.n.</v>
      </c>
      <c r="P359">
        <v>49</v>
      </c>
      <c r="Q359">
        <v>5612</v>
      </c>
      <c r="R359" t="str">
        <v>Onbekend</v>
      </c>
      <c r="S359" t="str">
        <v>A+</v>
      </c>
      <c r="T359">
        <v>1</v>
      </c>
      <c r="U359">
        <v>1</v>
      </c>
      <c r="V359" t="str">
        <v>Appartement</v>
      </c>
      <c r="W359" t="str">
        <v>Appartement</v>
      </c>
      <c r="X359" t="str">
        <v>Appartement &lt;50 m²</v>
      </c>
      <c r="Y359" t="str">
        <v>Ja</v>
      </c>
      <c r="Z359" t="str">
        <v>openbare parkeerplaats</v>
      </c>
      <c r="AA359" t="str">
        <v>2027</v>
      </c>
      <c r="AB359" t="str">
        <v>Nee</v>
      </c>
      <c r="AC359" t="str">
        <v>NEE</v>
      </c>
      <c r="AD359" t="str">
        <v>JA</v>
      </c>
    </row>
    <row r="360">
      <c r="A360" t="str">
        <v>44429900</v>
      </c>
      <c r="B360" t="str">
        <v>https://www.funda.nl/detail/koop/soest/appartement-parckhart-fase-1-2-kamer-appartement-s-bouwnr-69/44429900/</v>
      </c>
      <c r="C360" t="str">
        <v>ParckHart</v>
      </c>
      <c r="D360" t="str">
        <v>ParckHart fase 1 2-kamer appartement S</v>
      </c>
      <c r="E360" t="str">
        <v>69</v>
      </c>
      <c r="F360" t="str">
        <v>3762 AV</v>
      </c>
      <c r="G360" t="str">
        <v>Soest</v>
      </c>
      <c r="H360" t="str">
        <v>Soest</v>
      </c>
      <c r="I360" t="str">
        <v>Utrecht</v>
      </c>
      <c r="J360" t="str">
        <v>West-Nederland</v>
      </c>
      <c r="K360" t="str">
        <v>Te koop</v>
      </c>
      <c r="L360" t="str">
        <v>Onbekend</v>
      </c>
      <c r="M360" t="str">
        <v>Onbekend</v>
      </c>
      <c r="N360">
        <v>275000</v>
      </c>
      <c r="O360" t="str">
        <v>v.o.n.</v>
      </c>
      <c r="P360">
        <v>50</v>
      </c>
      <c r="Q360">
        <v>5500</v>
      </c>
      <c r="R360" t="str">
        <v>Onbekend</v>
      </c>
      <c r="S360" t="str">
        <v>A++</v>
      </c>
      <c r="T360">
        <v>2</v>
      </c>
      <c r="U360">
        <v>1</v>
      </c>
      <c r="V360" t="str">
        <v>Appartement</v>
      </c>
      <c r="W360" t="str">
        <v>Appartement</v>
      </c>
      <c r="X360" t="str">
        <v>Appartement 50-75 m²</v>
      </c>
      <c r="Y360" t="str">
        <v>Ja</v>
      </c>
      <c r="Z360" t="str">
        <v>openbare parkeerplaats</v>
      </c>
      <c r="AA360" t="str">
        <v>2027</v>
      </c>
      <c r="AB360" t="str">
        <v>Nee</v>
      </c>
      <c r="AC360" t="str">
        <v>NEE</v>
      </c>
      <c r="AD360" t="str">
        <v>JA</v>
      </c>
    </row>
    <row r="361">
      <c r="A361" t="str">
        <v>44429909</v>
      </c>
      <c r="B361" t="str">
        <v>https://www.funda.nl/detail/koop/soest/appartement-parckhart-fase-1-2-kamer-appartement-s-bouwnr-70/44429909/</v>
      </c>
      <c r="C361" t="str">
        <v>ParckHart</v>
      </c>
      <c r="D361" t="str">
        <v>ParckHart fase 1 2-kamer appartement S</v>
      </c>
      <c r="E361" t="str">
        <v>70</v>
      </c>
      <c r="F361" t="str">
        <v>3762 AV</v>
      </c>
      <c r="G361" t="str">
        <v>Soest</v>
      </c>
      <c r="H361" t="str">
        <v>Soest</v>
      </c>
      <c r="I361" t="str">
        <v>Utrecht</v>
      </c>
      <c r="J361" t="str">
        <v>West-Nederland</v>
      </c>
      <c r="K361" t="str">
        <v>Te koop</v>
      </c>
      <c r="L361" t="str">
        <v>Onbekend</v>
      </c>
      <c r="M361" t="str">
        <v>Onbekend</v>
      </c>
      <c r="N361">
        <v>275000</v>
      </c>
      <c r="O361" t="str">
        <v>v.o.n.</v>
      </c>
      <c r="P361">
        <v>51</v>
      </c>
      <c r="Q361">
        <v>5392</v>
      </c>
      <c r="R361" t="str">
        <v>Onbekend</v>
      </c>
      <c r="S361" t="str">
        <v>A++</v>
      </c>
      <c r="T361">
        <v>2</v>
      </c>
      <c r="U361">
        <v>1</v>
      </c>
      <c r="V361" t="str">
        <v>Appartement</v>
      </c>
      <c r="W361" t="str">
        <v>Appartement</v>
      </c>
      <c r="X361" t="str">
        <v>Appartement 50-75 m²</v>
      </c>
      <c r="Y361" t="str">
        <v>Ja</v>
      </c>
      <c r="Z361" t="str">
        <v>openbare parkeerplaats</v>
      </c>
      <c r="AA361" t="str">
        <v>2027</v>
      </c>
      <c r="AB361" t="str">
        <v>Nee</v>
      </c>
      <c r="AC361" t="str">
        <v>NEE</v>
      </c>
      <c r="AD361" t="str">
        <v>JA</v>
      </c>
    </row>
    <row r="362">
      <c r="A362" t="str">
        <v>44429908</v>
      </c>
      <c r="B362" t="str">
        <v>https://www.funda.nl/detail/koop/soest/appartement-parckhart-fase-1-2-kamer-appartement-s-bouwnr-77/44429908/</v>
      </c>
      <c r="C362" t="str">
        <v>ParckHart</v>
      </c>
      <c r="D362" t="str">
        <v>ParckHart fase 1 2-kamer appartement S</v>
      </c>
      <c r="E362" t="str">
        <v>77</v>
      </c>
      <c r="F362" t="str">
        <v>3762 AV</v>
      </c>
      <c r="G362" t="str">
        <v>Soest</v>
      </c>
      <c r="H362" t="str">
        <v>Soest</v>
      </c>
      <c r="I362" t="str">
        <v>Utrecht</v>
      </c>
      <c r="J362" t="str">
        <v>West-Nederland</v>
      </c>
      <c r="K362" t="str">
        <v>Te koop</v>
      </c>
      <c r="L362" t="str">
        <v>Onbekend</v>
      </c>
      <c r="M362" t="str">
        <v>Onbekend</v>
      </c>
      <c r="N362">
        <v>275000</v>
      </c>
      <c r="O362" t="str">
        <v>v.o.n.</v>
      </c>
      <c r="P362">
        <v>51</v>
      </c>
      <c r="Q362">
        <v>5392</v>
      </c>
      <c r="R362" t="str">
        <v>Onbekend</v>
      </c>
      <c r="S362" t="str">
        <v>A++</v>
      </c>
      <c r="T362">
        <v>1</v>
      </c>
      <c r="U362">
        <v>1</v>
      </c>
      <c r="V362" t="str">
        <v>Appartement</v>
      </c>
      <c r="W362" t="str">
        <v>Appartement</v>
      </c>
      <c r="X362" t="str">
        <v>Appartement 50-75 m²</v>
      </c>
      <c r="Y362" t="str">
        <v>Ja</v>
      </c>
      <c r="Z362" t="str">
        <v>openbare parkeerplaats</v>
      </c>
      <c r="AA362" t="str">
        <v>2027</v>
      </c>
      <c r="AB362" t="str">
        <v>Nee</v>
      </c>
      <c r="AC362" t="str">
        <v>NEE</v>
      </c>
      <c r="AD362" t="str">
        <v>JA</v>
      </c>
    </row>
    <row r="363">
      <c r="A363" t="str">
        <v>44429907</v>
      </c>
      <c r="B363" t="str">
        <v>https://www.funda.nl/detail/koop/soest/appartement-parckhart-fase-1-2-kamer-appartement-s-bouwnr-73/44429907/</v>
      </c>
      <c r="C363" t="str">
        <v>ParckHart</v>
      </c>
      <c r="D363" t="str">
        <v>ParckHart fase 1 2-kamer appartement S</v>
      </c>
      <c r="E363" t="str">
        <v>73</v>
      </c>
      <c r="F363" t="str">
        <v>3762 AV</v>
      </c>
      <c r="G363" t="str">
        <v>Soest</v>
      </c>
      <c r="H363" t="str">
        <v>Soest</v>
      </c>
      <c r="I363" t="str">
        <v>Utrecht</v>
      </c>
      <c r="J363" t="str">
        <v>West-Nederland</v>
      </c>
      <c r="K363" t="str">
        <v>Te koop</v>
      </c>
      <c r="L363" t="str">
        <v>Onbekend</v>
      </c>
      <c r="M363" t="str">
        <v>Onbekend</v>
      </c>
      <c r="N363">
        <v>275000</v>
      </c>
      <c r="O363" t="str">
        <v>v.o.n.</v>
      </c>
      <c r="P363">
        <v>51</v>
      </c>
      <c r="Q363">
        <v>5392</v>
      </c>
      <c r="R363" t="str">
        <v>Onbekend</v>
      </c>
      <c r="S363" t="str">
        <v>A+</v>
      </c>
      <c r="T363">
        <v>1</v>
      </c>
      <c r="U363">
        <v>1</v>
      </c>
      <c r="V363" t="str">
        <v>Appartement</v>
      </c>
      <c r="W363" t="str">
        <v>Appartement</v>
      </c>
      <c r="X363" t="str">
        <v>Appartement 50-75 m²</v>
      </c>
      <c r="Y363" t="str">
        <v>Ja</v>
      </c>
      <c r="Z363" t="str">
        <v>openbare parkeerplaats</v>
      </c>
      <c r="AA363" t="str">
        <v>2027</v>
      </c>
      <c r="AB363" t="str">
        <v>Nee</v>
      </c>
      <c r="AC363" t="str">
        <v>NEE</v>
      </c>
      <c r="AD363" t="str">
        <v>JA</v>
      </c>
    </row>
    <row r="364">
      <c r="A364" t="str">
        <v>44429905</v>
      </c>
      <c r="B364" t="str">
        <v>https://www.funda.nl/detail/koop/soest/appartement-parckhart-fase-1-2-kamer-appartement-s-bouwnr-75/44429905/</v>
      </c>
      <c r="C364" t="str">
        <v>ParckHart</v>
      </c>
      <c r="D364" t="str">
        <v>ParckHart fase 1 2-kamer appartement S</v>
      </c>
      <c r="E364" t="str">
        <v>75</v>
      </c>
      <c r="F364" t="str">
        <v>3762 AV</v>
      </c>
      <c r="G364" t="str">
        <v>Soest</v>
      </c>
      <c r="H364" t="str">
        <v>Soest</v>
      </c>
      <c r="I364" t="str">
        <v>Utrecht</v>
      </c>
      <c r="J364" t="str">
        <v>West-Nederland</v>
      </c>
      <c r="K364" t="str">
        <v>Te koop</v>
      </c>
      <c r="L364" t="str">
        <v>Onbekend</v>
      </c>
      <c r="M364" t="str">
        <v>Onbekend</v>
      </c>
      <c r="N364">
        <v>275000</v>
      </c>
      <c r="O364" t="str">
        <v>v.o.n.</v>
      </c>
      <c r="P364">
        <v>50</v>
      </c>
      <c r="Q364">
        <v>5500</v>
      </c>
      <c r="R364" t="str">
        <v>Onbekend</v>
      </c>
      <c r="S364" t="str">
        <v>A++</v>
      </c>
      <c r="T364">
        <v>2</v>
      </c>
      <c r="U364">
        <v>1</v>
      </c>
      <c r="V364" t="str">
        <v>Appartement</v>
      </c>
      <c r="W364" t="str">
        <v>Appartement</v>
      </c>
      <c r="X364" t="str">
        <v>Appartement 50-75 m²</v>
      </c>
      <c r="Y364" t="str">
        <v>Ja</v>
      </c>
      <c r="Z364" t="str">
        <v>openbare parkeerplaats</v>
      </c>
      <c r="AA364" t="str">
        <v>2027</v>
      </c>
      <c r="AB364" t="str">
        <v>Nee</v>
      </c>
      <c r="AC364" t="str">
        <v>NEE</v>
      </c>
      <c r="AD364" t="str">
        <v>JA</v>
      </c>
    </row>
    <row r="365">
      <c r="A365" t="str">
        <v>44429904</v>
      </c>
      <c r="B365" t="str">
        <v>https://www.funda.nl/detail/koop/soest/appartement-parckhart-fase-1-2-kamer-appartement-s-bouwnr-71/44429904/</v>
      </c>
      <c r="C365" t="str">
        <v>ParckHart</v>
      </c>
      <c r="D365" t="str">
        <v>ParckHart fase 1 2-kamer appartement S</v>
      </c>
      <c r="E365" t="str">
        <v>71</v>
      </c>
      <c r="F365" t="str">
        <v>3762 AV</v>
      </c>
      <c r="G365" t="str">
        <v>Soest</v>
      </c>
      <c r="H365" t="str">
        <v>Soest</v>
      </c>
      <c r="I365" t="str">
        <v>Utrecht</v>
      </c>
      <c r="J365" t="str">
        <v>West-Nederland</v>
      </c>
      <c r="K365" t="str">
        <v>Te koop</v>
      </c>
      <c r="L365" t="str">
        <v>Onbekend</v>
      </c>
      <c r="M365" t="str">
        <v>Onbekend</v>
      </c>
      <c r="N365">
        <v>275000</v>
      </c>
      <c r="O365" t="str">
        <v>v.o.n.</v>
      </c>
      <c r="P365">
        <v>51</v>
      </c>
      <c r="Q365">
        <v>5392</v>
      </c>
      <c r="R365" t="str">
        <v>Onbekend</v>
      </c>
      <c r="S365" t="str">
        <v>A++</v>
      </c>
      <c r="T365">
        <v>2</v>
      </c>
      <c r="U365">
        <v>1</v>
      </c>
      <c r="V365" t="str">
        <v>Appartement</v>
      </c>
      <c r="W365" t="str">
        <v>Appartement</v>
      </c>
      <c r="X365" t="str">
        <v>Appartement 50-75 m²</v>
      </c>
      <c r="Y365" t="str">
        <v>Ja</v>
      </c>
      <c r="Z365" t="str">
        <v>openbare parkeerplaats</v>
      </c>
      <c r="AA365" t="str">
        <v>2027</v>
      </c>
      <c r="AB365" t="str">
        <v>Nee</v>
      </c>
      <c r="AC365" t="str">
        <v>NEE</v>
      </c>
      <c r="AD365" t="str">
        <v>JA</v>
      </c>
    </row>
    <row r="366">
      <c r="A366" t="str">
        <v>44429903</v>
      </c>
      <c r="B366" t="str">
        <v>https://www.funda.nl/detail/koop/soest/appartement-parckhart-fase-1-2-kamer-appartement-s-bouwnr-79/44429903/</v>
      </c>
      <c r="C366" t="str">
        <v>ParckHart</v>
      </c>
      <c r="D366" t="str">
        <v>ParckHart fase 1 2-kamer appartement S</v>
      </c>
      <c r="E366" t="str">
        <v>79</v>
      </c>
      <c r="F366" t="str">
        <v>3762 AV</v>
      </c>
      <c r="G366" t="str">
        <v>Soest</v>
      </c>
      <c r="H366" t="str">
        <v>Soest</v>
      </c>
      <c r="I366" t="str">
        <v>Utrecht</v>
      </c>
      <c r="J366" t="str">
        <v>West-Nederland</v>
      </c>
      <c r="K366" t="str">
        <v>Te koop</v>
      </c>
      <c r="L366" t="str">
        <v>Onbekend</v>
      </c>
      <c r="M366" t="str">
        <v>Onbekend</v>
      </c>
      <c r="N366">
        <v>275000</v>
      </c>
      <c r="O366" t="str">
        <v>v.o.n.</v>
      </c>
      <c r="P366">
        <v>51</v>
      </c>
      <c r="Q366">
        <v>5392</v>
      </c>
      <c r="R366" t="str">
        <v>Onbekend</v>
      </c>
      <c r="S366" t="str">
        <v>A+</v>
      </c>
      <c r="T366">
        <v>2</v>
      </c>
      <c r="U366">
        <v>1</v>
      </c>
      <c r="V366" t="str">
        <v>Appartement</v>
      </c>
      <c r="W366" t="str">
        <v>Appartement</v>
      </c>
      <c r="X366" t="str">
        <v>Appartement 50-75 m²</v>
      </c>
      <c r="Y366" t="str">
        <v>Ja</v>
      </c>
      <c r="Z366" t="str">
        <v>openbare parkeerplaats</v>
      </c>
      <c r="AA366" t="str">
        <v>2027</v>
      </c>
      <c r="AB366" t="str">
        <v>Nee</v>
      </c>
      <c r="AC366" t="str">
        <v>NEE</v>
      </c>
      <c r="AD366" t="str">
        <v>JA</v>
      </c>
    </row>
    <row r="367">
      <c r="A367" t="str">
        <v>44429992</v>
      </c>
      <c r="B367" t="str">
        <v>https://www.funda.nl/detail/koop/soest/appartement-parckhart-fase-1-2-kamer-appartement-s-bouwnr-65/44429992/</v>
      </c>
      <c r="C367" t="str">
        <v>ParckHart</v>
      </c>
      <c r="D367" t="str">
        <v>ParckHart fase 1 2-kamer appartement S</v>
      </c>
      <c r="E367" t="str">
        <v>65</v>
      </c>
      <c r="F367" t="str">
        <v>3762 AV</v>
      </c>
      <c r="G367" t="str">
        <v>Soest</v>
      </c>
      <c r="H367" t="str">
        <v>Soest</v>
      </c>
      <c r="I367" t="str">
        <v>Utrecht</v>
      </c>
      <c r="J367" t="str">
        <v>West-Nederland</v>
      </c>
      <c r="K367" t="str">
        <v>Te koop</v>
      </c>
      <c r="L367" t="str">
        <v>Onbekend</v>
      </c>
      <c r="M367" t="str">
        <v>Onbekend</v>
      </c>
      <c r="N367">
        <v>374000</v>
      </c>
      <c r="O367" t="str">
        <v>v.o.n.</v>
      </c>
      <c r="P367">
        <v>57</v>
      </c>
      <c r="Q367">
        <v>6561</v>
      </c>
      <c r="R367" t="str">
        <v>Onbekend</v>
      </c>
      <c r="S367" t="str">
        <v>A++</v>
      </c>
      <c r="T367">
        <v>2</v>
      </c>
      <c r="U367">
        <v>1</v>
      </c>
      <c r="V367" t="str">
        <v>Appartement</v>
      </c>
      <c r="W367" t="str">
        <v>Appartement</v>
      </c>
      <c r="X367" t="str">
        <v>Appartement 50-75 m²</v>
      </c>
      <c r="Y367" t="str">
        <v>Ja</v>
      </c>
      <c r="Z367" t="str">
        <v>openbare parkeerplaats</v>
      </c>
      <c r="AA367" t="str">
        <v>2027</v>
      </c>
      <c r="AB367" t="str">
        <v>Nee</v>
      </c>
      <c r="AC367" t="str">
        <v>NEE</v>
      </c>
      <c r="AD367" t="str">
        <v>JA</v>
      </c>
    </row>
    <row r="368">
      <c r="A368" t="str">
        <v>44429991</v>
      </c>
      <c r="B368" t="str">
        <v>https://www.funda.nl/detail/koop/soest/appartement-parckhart-fase-1-2-kamer-appartement-s-bouwnr-46/44429991/</v>
      </c>
      <c r="C368" t="str">
        <v>ParckHart</v>
      </c>
      <c r="D368" t="str">
        <v>ParckHart fase 1 2-kamer appartement S</v>
      </c>
      <c r="E368" t="str">
        <v>46</v>
      </c>
      <c r="F368" t="str">
        <v>3762 AV</v>
      </c>
      <c r="G368" t="str">
        <v>Soest</v>
      </c>
      <c r="H368" t="str">
        <v>Soest</v>
      </c>
      <c r="I368" t="str">
        <v>Utrecht</v>
      </c>
      <c r="J368" t="str">
        <v>West-Nederland</v>
      </c>
      <c r="K368" t="str">
        <v>Te koop</v>
      </c>
      <c r="L368" t="str">
        <v>Onbekend</v>
      </c>
      <c r="M368" t="str">
        <v>Onbekend</v>
      </c>
      <c r="N368">
        <v>372000</v>
      </c>
      <c r="O368" t="str">
        <v>v.o.n.</v>
      </c>
      <c r="P368">
        <v>57</v>
      </c>
      <c r="Q368">
        <v>6526</v>
      </c>
      <c r="R368" t="str">
        <v>Onbekend</v>
      </c>
      <c r="S368" t="str">
        <v>A+</v>
      </c>
      <c r="T368">
        <v>2</v>
      </c>
      <c r="U368">
        <v>1</v>
      </c>
      <c r="V368" t="str">
        <v>Appartement</v>
      </c>
      <c r="W368" t="str">
        <v>Appartement</v>
      </c>
      <c r="X368" t="str">
        <v>Appartement 50-75 m²</v>
      </c>
      <c r="Y368" t="str">
        <v>Ja</v>
      </c>
      <c r="Z368" t="str">
        <v>openbare parkeerplaats</v>
      </c>
      <c r="AA368" t="str">
        <v>2027</v>
      </c>
      <c r="AB368" t="str">
        <v>Nee</v>
      </c>
      <c r="AC368" t="str">
        <v>NEE</v>
      </c>
      <c r="AD368" t="str">
        <v>JA</v>
      </c>
    </row>
    <row r="369">
      <c r="A369" t="str">
        <v>44429990</v>
      </c>
      <c r="B369" t="str">
        <v>https://www.funda.nl/detail/koop/soest/appartement-parckhart-fase-1-2-kamer-appartement-s-bouwnr-66/44429990/</v>
      </c>
      <c r="C369" t="str">
        <v>ParckHart</v>
      </c>
      <c r="D369" t="str">
        <v>ParckHart fase 1 2-kamer appartement S</v>
      </c>
      <c r="E369" t="str">
        <v>66</v>
      </c>
      <c r="F369" t="str">
        <v>3762 AV</v>
      </c>
      <c r="G369" t="str">
        <v>Soest</v>
      </c>
      <c r="H369" t="str">
        <v>Soest</v>
      </c>
      <c r="I369" t="str">
        <v>Utrecht</v>
      </c>
      <c r="J369" t="str">
        <v>West-Nederland</v>
      </c>
      <c r="K369" t="str">
        <v>Te koop</v>
      </c>
      <c r="L369" t="str">
        <v>Onbekend</v>
      </c>
      <c r="M369" t="str">
        <v>Onbekend</v>
      </c>
      <c r="N369">
        <v>374000</v>
      </c>
      <c r="O369" t="str">
        <v>v.o.n.</v>
      </c>
      <c r="P369">
        <v>57</v>
      </c>
      <c r="Q369">
        <v>6561</v>
      </c>
      <c r="R369" t="str">
        <v>Onbekend</v>
      </c>
      <c r="S369" t="str">
        <v>A++</v>
      </c>
      <c r="T369">
        <v>2</v>
      </c>
      <c r="U369">
        <v>1</v>
      </c>
      <c r="V369" t="str">
        <v>Appartement</v>
      </c>
      <c r="W369" t="str">
        <v>Appartement</v>
      </c>
      <c r="X369" t="str">
        <v>Appartement 50-75 m²</v>
      </c>
      <c r="Y369" t="str">
        <v>Ja</v>
      </c>
      <c r="Z369" t="str">
        <v>openbare parkeerplaats</v>
      </c>
      <c r="AA369" t="str">
        <v>2027</v>
      </c>
      <c r="AB369" t="str">
        <v>Nee</v>
      </c>
      <c r="AC369" t="str">
        <v>NEE</v>
      </c>
      <c r="AD369" t="str">
        <v>JA</v>
      </c>
    </row>
    <row r="370">
      <c r="A370" t="str">
        <v>44429999</v>
      </c>
      <c r="B370" t="str">
        <v>https://www.funda.nl/detail/koop/soest/appartement-parckhart-fase-1-2-kamer-appartement-s-bouwnr-68/44429999/</v>
      </c>
      <c r="C370" t="str">
        <v>ParckHart</v>
      </c>
      <c r="D370" t="str">
        <v>ParckHart fase 1 2-kamer appartement S</v>
      </c>
      <c r="E370" t="str">
        <v>68</v>
      </c>
      <c r="F370" t="str">
        <v>3762 AV</v>
      </c>
      <c r="G370" t="str">
        <v>Soest</v>
      </c>
      <c r="H370" t="str">
        <v>Soest</v>
      </c>
      <c r="I370" t="str">
        <v>Utrecht</v>
      </c>
      <c r="J370" t="str">
        <v>West-Nederland</v>
      </c>
      <c r="K370" t="str">
        <v>Te koop</v>
      </c>
      <c r="L370" t="str">
        <v>Onbekend</v>
      </c>
      <c r="M370" t="str">
        <v>Onbekend</v>
      </c>
      <c r="N370">
        <v>275000</v>
      </c>
      <c r="O370" t="str">
        <v>v.o.n.</v>
      </c>
      <c r="P370">
        <v>51</v>
      </c>
      <c r="Q370">
        <v>5392</v>
      </c>
      <c r="R370" t="str">
        <v>Onbekend</v>
      </c>
      <c r="S370" t="str">
        <v>A+</v>
      </c>
      <c r="T370">
        <v>2</v>
      </c>
      <c r="U370">
        <v>1</v>
      </c>
      <c r="V370" t="str">
        <v>Appartement</v>
      </c>
      <c r="W370" t="str">
        <v>Appartement</v>
      </c>
      <c r="X370" t="str">
        <v>Appartement 50-75 m²</v>
      </c>
      <c r="Y370" t="str">
        <v>Ja</v>
      </c>
      <c r="Z370" t="str">
        <v>openbare parkeerplaats</v>
      </c>
      <c r="AA370" t="str">
        <v>2027</v>
      </c>
      <c r="AB370" t="str">
        <v>Nee</v>
      </c>
      <c r="AC370" t="str">
        <v>NEE</v>
      </c>
      <c r="AD370" t="str">
        <v>JA</v>
      </c>
    </row>
    <row r="371">
      <c r="A371" t="str">
        <v>44429998</v>
      </c>
      <c r="B371" t="str">
        <v>https://www.funda.nl/detail/koop/soest/appartement-parckhart-fase-1-2-kamer-appartement-s-bouwnr-67/44429998/</v>
      </c>
      <c r="C371" t="str">
        <v>ParckHart</v>
      </c>
      <c r="D371" t="str">
        <v>ParckHart fase 1 2-kamer appartement S</v>
      </c>
      <c r="E371" t="str">
        <v>67</v>
      </c>
      <c r="F371" t="str">
        <v>3762 AV</v>
      </c>
      <c r="G371" t="str">
        <v>Soest</v>
      </c>
      <c r="H371" t="str">
        <v>Soest</v>
      </c>
      <c r="I371" t="str">
        <v>Utrecht</v>
      </c>
      <c r="J371" t="str">
        <v>West-Nederland</v>
      </c>
      <c r="K371" t="str">
        <v>Te koop</v>
      </c>
      <c r="L371" t="str">
        <v>2026-07-06</v>
      </c>
      <c r="M371">
        <v>7</v>
      </c>
      <c r="N371">
        <v>275000</v>
      </c>
      <c r="O371" t="str">
        <v>v.o.n.</v>
      </c>
      <c r="P371">
        <v>51</v>
      </c>
      <c r="Q371">
        <v>5392</v>
      </c>
      <c r="R371" t="str">
        <v>Onbekend</v>
      </c>
      <c r="S371" t="str">
        <v>A++</v>
      </c>
      <c r="T371">
        <v>2</v>
      </c>
      <c r="U371">
        <v>1</v>
      </c>
      <c r="V371" t="str">
        <v>Appartement</v>
      </c>
      <c r="W371" t="str">
        <v>Appartement</v>
      </c>
      <c r="X371" t="str">
        <v>Appartement 50-75 m²</v>
      </c>
      <c r="Y371" t="str">
        <v>Ja</v>
      </c>
      <c r="Z371" t="str">
        <v>openbare parkeerplaats</v>
      </c>
      <c r="AA371" t="str">
        <v>2027</v>
      </c>
      <c r="AB371" t="str">
        <v>Nee</v>
      </c>
      <c r="AC371" t="str">
        <v>NEE</v>
      </c>
      <c r="AD371" t="str">
        <v>JA</v>
      </c>
    </row>
    <row r="372">
      <c r="A372" t="str">
        <v>44429138</v>
      </c>
      <c r="B372" t="str">
        <v>https://www.funda.nl/detail/koop/epse/huis-het-boshuys-bouwnummer-1/44429138/</v>
      </c>
      <c r="C372" t="str">
        <v>Onbekend</v>
      </c>
      <c r="D372" t="str">
        <v>Het Boshuys bouwnummer 1</v>
      </c>
      <c r="E372" t="str">
        <v>Onbekend</v>
      </c>
      <c r="F372" t="str">
        <v>7214 PR</v>
      </c>
      <c r="G372" t="str">
        <v>Epse</v>
      </c>
      <c r="H372" t="str">
        <v>Lochem</v>
      </c>
      <c r="I372" t="str">
        <v>Gelderland</v>
      </c>
      <c r="J372" t="str">
        <v>Oost-Nederland</v>
      </c>
      <c r="K372" t="str">
        <v>Te koop</v>
      </c>
      <c r="L372" t="str">
        <v>Onbekend</v>
      </c>
      <c r="M372" t="str">
        <v>Onbekend</v>
      </c>
      <c r="N372">
        <v>675000</v>
      </c>
      <c r="O372" t="str">
        <v>v.o.n.</v>
      </c>
      <c r="P372">
        <v>114</v>
      </c>
      <c r="Q372">
        <v>5921</v>
      </c>
      <c r="R372" t="str">
        <v>Onbekend</v>
      </c>
      <c r="S372" t="str">
        <v>A+++</v>
      </c>
      <c r="T372">
        <v>3</v>
      </c>
      <c r="U372">
        <v>2</v>
      </c>
      <c r="V372" t="str">
        <v>Grondgebonden</v>
      </c>
      <c r="W372" t="str">
        <v>Vrijstaande woning</v>
      </c>
      <c r="X372" t="str">
        <v>N.v.t.</v>
      </c>
      <c r="Y372" t="str">
        <v>Ja</v>
      </c>
      <c r="Z372" t="str">
        <v>eigen parkeerplaats</v>
      </c>
      <c r="AA372" t="str">
        <v>Na 2020</v>
      </c>
      <c r="AB372" t="str">
        <v>Nee</v>
      </c>
      <c r="AC372" t="str">
        <v>NEE</v>
      </c>
      <c r="AD372" t="str">
        <v>JA</v>
      </c>
    </row>
    <row r="373">
      <c r="A373" t="str">
        <v>44429134</v>
      </c>
      <c r="B373" t="str">
        <v>https://www.funda.nl/detail/koop/epse/huis-het-boshuys-bouwnummer-2/44429134/</v>
      </c>
      <c r="C373" t="str">
        <v>Onbekend</v>
      </c>
      <c r="D373" t="str">
        <v>Het Boshuys bouwnummer 2</v>
      </c>
      <c r="E373" t="str">
        <v>Onbekend</v>
      </c>
      <c r="F373" t="str">
        <v>7214 PR</v>
      </c>
      <c r="G373" t="str">
        <v>Epse</v>
      </c>
      <c r="H373" t="str">
        <v>Lochem</v>
      </c>
      <c r="I373" t="str">
        <v>Gelderland</v>
      </c>
      <c r="J373" t="str">
        <v>Oost-Nederland</v>
      </c>
      <c r="K373" t="str">
        <v>Te koop</v>
      </c>
      <c r="L373" t="str">
        <v>Onbekend</v>
      </c>
      <c r="M373" t="str">
        <v>Onbekend</v>
      </c>
      <c r="N373">
        <v>675000</v>
      </c>
      <c r="O373" t="str">
        <v>v.o.n.</v>
      </c>
      <c r="P373">
        <v>114</v>
      </c>
      <c r="Q373">
        <v>5921</v>
      </c>
      <c r="R373" t="str">
        <v>Onbekend</v>
      </c>
      <c r="S373" t="str">
        <v>A+++</v>
      </c>
      <c r="T373">
        <v>3</v>
      </c>
      <c r="U373">
        <v>2</v>
      </c>
      <c r="V373" t="str">
        <v>Grondgebonden</v>
      </c>
      <c r="W373" t="str">
        <v>Vrijstaande woning</v>
      </c>
      <c r="X373" t="str">
        <v>N.v.t.</v>
      </c>
      <c r="Y373" t="str">
        <v>Ja</v>
      </c>
      <c r="Z373" t="str">
        <v>eigen parkeerplaats</v>
      </c>
      <c r="AA373" t="str">
        <v>Na 2020</v>
      </c>
      <c r="AB373" t="str">
        <v>Nee</v>
      </c>
      <c r="AC373" t="str">
        <v>NEE</v>
      </c>
      <c r="AD373" t="str">
        <v>JA</v>
      </c>
    </row>
    <row r="374">
      <c r="A374" t="str">
        <v>44429136</v>
      </c>
      <c r="B374" t="str">
        <v>https://www.funda.nl/detail/koop/epse/huis-het-boshuys-bouwnummer-3/44429136/</v>
      </c>
      <c r="C374" t="str">
        <v>Onbekend</v>
      </c>
      <c r="D374" t="str">
        <v>Het Boshuys bouwnummer 3</v>
      </c>
      <c r="E374" t="str">
        <v>Onbekend</v>
      </c>
      <c r="F374" t="str">
        <v>7214 PR</v>
      </c>
      <c r="G374" t="str">
        <v>Epse</v>
      </c>
      <c r="H374" t="str">
        <v>Lochem</v>
      </c>
      <c r="I374" t="str">
        <v>Gelderland</v>
      </c>
      <c r="J374" t="str">
        <v>Oost-Nederland</v>
      </c>
      <c r="K374" t="str">
        <v>Te koop</v>
      </c>
      <c r="L374" t="str">
        <v>Onbekend</v>
      </c>
      <c r="M374" t="str">
        <v>Onbekend</v>
      </c>
      <c r="N374">
        <v>715000</v>
      </c>
      <c r="O374" t="str">
        <v>v.o.n.</v>
      </c>
      <c r="P374">
        <v>114</v>
      </c>
      <c r="Q374">
        <v>6272</v>
      </c>
      <c r="R374" t="str">
        <v>Onbekend</v>
      </c>
      <c r="S374" t="str">
        <v>A+++</v>
      </c>
      <c r="T374">
        <v>3</v>
      </c>
      <c r="U374">
        <v>2</v>
      </c>
      <c r="V374" t="str">
        <v>Grondgebonden</v>
      </c>
      <c r="W374" t="str">
        <v>Vrijstaande woning</v>
      </c>
      <c r="X374" t="str">
        <v>N.v.t.</v>
      </c>
      <c r="Y374" t="str">
        <v>Ja</v>
      </c>
      <c r="Z374" t="str">
        <v>eigen parkeerplaats</v>
      </c>
      <c r="AA374" t="str">
        <v>Na 2020</v>
      </c>
      <c r="AB374" t="str">
        <v>Nee</v>
      </c>
      <c r="AC374" t="str">
        <v>NEE</v>
      </c>
      <c r="AD374" t="str">
        <v>JA</v>
      </c>
    </row>
    <row r="375">
      <c r="A375" t="str">
        <v>44429964</v>
      </c>
      <c r="B375" t="str">
        <v>https://www.funda.nl/detail/koop/landgraaf/appartement-d-r-hof-bouwnr-10/44429964/</v>
      </c>
      <c r="C375" t="str">
        <v>Hof va Woabich</v>
      </c>
      <c r="D375" t="str">
        <v>D'r Hof</v>
      </c>
      <c r="E375" t="str">
        <v>10</v>
      </c>
      <c r="F375" t="str">
        <v>6374 EN</v>
      </c>
      <c r="G375" t="str">
        <v>Landgraaf</v>
      </c>
      <c r="H375" t="str">
        <v>Landgraaf</v>
      </c>
      <c r="I375" t="str">
        <v>Limburg</v>
      </c>
      <c r="J375" t="str">
        <v>Zuid-Nederland</v>
      </c>
      <c r="K375" t="str">
        <v>Te koop</v>
      </c>
      <c r="L375" t="str">
        <v>Onbekend</v>
      </c>
      <c r="M375" t="str">
        <v>Onbekend</v>
      </c>
      <c r="N375">
        <v>395000</v>
      </c>
      <c r="O375" t="str">
        <v>v.o.n.</v>
      </c>
      <c r="P375">
        <v>88</v>
      </c>
      <c r="Q375">
        <v>4489</v>
      </c>
      <c r="R375" t="str">
        <v>Onbekend</v>
      </c>
      <c r="S375" t="str">
        <v>A+++</v>
      </c>
      <c r="T375">
        <v>3</v>
      </c>
      <c r="U375">
        <v>2</v>
      </c>
      <c r="V375" t="str">
        <v>Appartement</v>
      </c>
      <c r="W375" t="str">
        <v>Appartement</v>
      </c>
      <c r="X375" t="str">
        <v>Appartement 75-100 m²</v>
      </c>
      <c r="Y375" t="str">
        <v>Onbekend</v>
      </c>
      <c r="Z375" t="str">
        <v>onbekend</v>
      </c>
      <c r="AA375" t="str">
        <v>2026</v>
      </c>
      <c r="AB375" t="str">
        <v>Nee</v>
      </c>
      <c r="AC375" t="str">
        <v>NEE</v>
      </c>
      <c r="AD375" t="str">
        <v>JA</v>
      </c>
    </row>
    <row r="376">
      <c r="A376" t="str">
        <v>44429963</v>
      </c>
      <c r="B376" t="str">
        <v>https://www.funda.nl/detail/koop/landgraaf/appartement-d-r-hof-bouwnr-13/44429963/</v>
      </c>
      <c r="C376" t="str">
        <v>Hof va Woabich</v>
      </c>
      <c r="D376" t="str">
        <v>D'r Hof</v>
      </c>
      <c r="E376" t="str">
        <v>13</v>
      </c>
      <c r="F376" t="str">
        <v>6374 EN</v>
      </c>
      <c r="G376" t="str">
        <v>Landgraaf</v>
      </c>
      <c r="H376" t="str">
        <v>Landgraaf</v>
      </c>
      <c r="I376" t="str">
        <v>Limburg</v>
      </c>
      <c r="J376" t="str">
        <v>Zuid-Nederland</v>
      </c>
      <c r="K376" t="str">
        <v>Te koop</v>
      </c>
      <c r="L376" t="str">
        <v>Onbekend</v>
      </c>
      <c r="M376" t="str">
        <v>Onbekend</v>
      </c>
      <c r="N376">
        <v>403150</v>
      </c>
      <c r="O376" t="str">
        <v>v.o.n.</v>
      </c>
      <c r="P376">
        <v>93</v>
      </c>
      <c r="Q376">
        <v>4335</v>
      </c>
      <c r="R376" t="str">
        <v>Onbekend</v>
      </c>
      <c r="S376" t="str">
        <v>A+++</v>
      </c>
      <c r="T376">
        <v>3</v>
      </c>
      <c r="U376">
        <v>2</v>
      </c>
      <c r="V376" t="str">
        <v>Appartement</v>
      </c>
      <c r="W376" t="str">
        <v>Appartement</v>
      </c>
      <c r="X376" t="str">
        <v>Appartement 75-100 m²</v>
      </c>
      <c r="Y376" t="str">
        <v>Onbekend</v>
      </c>
      <c r="Z376" t="str">
        <v>onbekend</v>
      </c>
      <c r="AA376" t="str">
        <v>2026</v>
      </c>
      <c r="AB376" t="str">
        <v>Nee</v>
      </c>
      <c r="AC376" t="str">
        <v>NEE</v>
      </c>
      <c r="AD376" t="str">
        <v>JA</v>
      </c>
    </row>
    <row r="377">
      <c r="A377" t="str">
        <v>44429852</v>
      </c>
      <c r="B377" t="str">
        <v>https://www.funda.nl/detail/koop/landgraaf/appartement-kloosterstraat-bouwnr-07/44429852/</v>
      </c>
      <c r="C377" t="str">
        <v>Hof va Woabich</v>
      </c>
      <c r="D377" t="str">
        <v>Kloosterstraat</v>
      </c>
      <c r="E377" t="str">
        <v>07</v>
      </c>
      <c r="F377" t="str">
        <v>6374 EN</v>
      </c>
      <c r="G377" t="str">
        <v>Landgraaf</v>
      </c>
      <c r="H377" t="str">
        <v>Landgraaf</v>
      </c>
      <c r="I377" t="str">
        <v>Limburg</v>
      </c>
      <c r="J377" t="str">
        <v>Zuid-Nederland</v>
      </c>
      <c r="K377" t="str">
        <v>Te koop</v>
      </c>
      <c r="L377" t="str">
        <v>Onbekend</v>
      </c>
      <c r="M377" t="str">
        <v>Onbekend</v>
      </c>
      <c r="N377">
        <v>369750</v>
      </c>
      <c r="O377" t="str">
        <v>v.o.n.</v>
      </c>
      <c r="P377">
        <v>85</v>
      </c>
      <c r="Q377">
        <v>4350</v>
      </c>
      <c r="R377" t="str">
        <v>Onbekend</v>
      </c>
      <c r="S377" t="str">
        <v>A+++</v>
      </c>
      <c r="T377">
        <v>3</v>
      </c>
      <c r="U377">
        <v>2</v>
      </c>
      <c r="V377" t="str">
        <v>Appartement</v>
      </c>
      <c r="W377" t="str">
        <v>Appartement</v>
      </c>
      <c r="X377" t="str">
        <v>Appartement 75-100 m²</v>
      </c>
      <c r="Y377" t="str">
        <v>Onbekend</v>
      </c>
      <c r="Z377" t="str">
        <v>onbekend</v>
      </c>
      <c r="AA377" t="str">
        <v>2026</v>
      </c>
      <c r="AB377" t="str">
        <v>Nee</v>
      </c>
      <c r="AC377" t="str">
        <v>NEE</v>
      </c>
      <c r="AD377" t="str">
        <v>JA</v>
      </c>
    </row>
    <row r="378">
      <c r="A378" t="str">
        <v>44429851</v>
      </c>
      <c r="B378" t="str">
        <v>https://www.funda.nl/detail/koop/landgraaf/appartement-d-r-hof-bouwnr-12/44429851/</v>
      </c>
      <c r="C378" t="str">
        <v>Hof va Woabich</v>
      </c>
      <c r="D378" t="str">
        <v>D'r Hof</v>
      </c>
      <c r="E378" t="str">
        <v>12</v>
      </c>
      <c r="F378" t="str">
        <v>6374 EN</v>
      </c>
      <c r="G378" t="str">
        <v>Landgraaf</v>
      </c>
      <c r="H378" t="str">
        <v>Landgraaf</v>
      </c>
      <c r="I378" t="str">
        <v>Limburg</v>
      </c>
      <c r="J378" t="str">
        <v>Zuid-Nederland</v>
      </c>
      <c r="K378" t="str">
        <v>Te koop</v>
      </c>
      <c r="L378" t="str">
        <v>Onbekend</v>
      </c>
      <c r="M378" t="str">
        <v>Onbekend</v>
      </c>
      <c r="N378">
        <v>381500</v>
      </c>
      <c r="O378" t="str">
        <v>v.o.n.</v>
      </c>
      <c r="P378">
        <v>88</v>
      </c>
      <c r="Q378">
        <v>4335</v>
      </c>
      <c r="R378" t="str">
        <v>Onbekend</v>
      </c>
      <c r="S378" t="str">
        <v>A+++</v>
      </c>
      <c r="T378">
        <v>3</v>
      </c>
      <c r="U378">
        <v>2</v>
      </c>
      <c r="V378" t="str">
        <v>Appartement</v>
      </c>
      <c r="W378" t="str">
        <v>Appartement</v>
      </c>
      <c r="X378" t="str">
        <v>Appartement 75-100 m²</v>
      </c>
      <c r="Y378" t="str">
        <v>Onbekend</v>
      </c>
      <c r="Z378" t="str">
        <v>onbekend</v>
      </c>
      <c r="AA378" t="str">
        <v>2026</v>
      </c>
      <c r="AB378" t="str">
        <v>Nee</v>
      </c>
      <c r="AC378" t="str">
        <v>NEE</v>
      </c>
      <c r="AD378" t="str">
        <v>JA</v>
      </c>
    </row>
    <row r="379">
      <c r="A379" t="str">
        <v>44429850</v>
      </c>
      <c r="B379" t="str">
        <v>https://www.funda.nl/detail/koop/landgraaf/appartement-kloosterstraat-bouwnr-06/44429850/</v>
      </c>
      <c r="C379" t="str">
        <v>Hof va Woabich</v>
      </c>
      <c r="D379" t="str">
        <v>Kloosterstraat</v>
      </c>
      <c r="E379" t="str">
        <v>06</v>
      </c>
      <c r="F379" t="str">
        <v>6374 EN</v>
      </c>
      <c r="G379" t="str">
        <v>Landgraaf</v>
      </c>
      <c r="H379" t="str">
        <v>Landgraaf</v>
      </c>
      <c r="I379" t="str">
        <v>Limburg</v>
      </c>
      <c r="J379" t="str">
        <v>Zuid-Nederland</v>
      </c>
      <c r="K379" t="str">
        <v>Te koop</v>
      </c>
      <c r="L379" t="str">
        <v>Onbekend</v>
      </c>
      <c r="M379" t="str">
        <v>Onbekend</v>
      </c>
      <c r="N379">
        <v>395000</v>
      </c>
      <c r="O379" t="str">
        <v>v.o.n.</v>
      </c>
      <c r="P379">
        <v>87</v>
      </c>
      <c r="Q379">
        <v>4540</v>
      </c>
      <c r="R379" t="str">
        <v>Onbekend</v>
      </c>
      <c r="S379" t="str">
        <v>A+++</v>
      </c>
      <c r="T379">
        <v>3</v>
      </c>
      <c r="U379">
        <v>2</v>
      </c>
      <c r="V379" t="str">
        <v>Appartement</v>
      </c>
      <c r="W379" t="str">
        <v>Appartement</v>
      </c>
      <c r="X379" t="str">
        <v>Appartement 75-100 m²</v>
      </c>
      <c r="Y379" t="str">
        <v>Onbekend</v>
      </c>
      <c r="Z379" t="str">
        <v>onbekend</v>
      </c>
      <c r="AA379" t="str">
        <v>2026</v>
      </c>
      <c r="AB379" t="str">
        <v>Nee</v>
      </c>
      <c r="AC379" t="str">
        <v>NEE</v>
      </c>
      <c r="AD379" t="str">
        <v>JA</v>
      </c>
    </row>
    <row r="380">
      <c r="A380" t="str">
        <v>44429859</v>
      </c>
      <c r="B380" t="str">
        <v>https://www.funda.nl/detail/koop/landgraaf/appartement-d-r-hof-bouwnr-09/44429859/</v>
      </c>
      <c r="C380" t="str">
        <v>Hof va Woabich</v>
      </c>
      <c r="D380" t="str">
        <v>D'r Hof</v>
      </c>
      <c r="E380" t="str">
        <v>09</v>
      </c>
      <c r="F380" t="str">
        <v>6374 EN</v>
      </c>
      <c r="G380" t="str">
        <v>Landgraaf</v>
      </c>
      <c r="H380" t="str">
        <v>Landgraaf</v>
      </c>
      <c r="I380" t="str">
        <v>Limburg</v>
      </c>
      <c r="J380" t="str">
        <v>Zuid-Nederland</v>
      </c>
      <c r="K380" t="str">
        <v>Te koop</v>
      </c>
      <c r="L380" t="str">
        <v>Onbekend</v>
      </c>
      <c r="M380" t="str">
        <v>Onbekend</v>
      </c>
      <c r="N380">
        <v>352750</v>
      </c>
      <c r="O380" t="str">
        <v>v.o.n.</v>
      </c>
      <c r="P380">
        <v>83</v>
      </c>
      <c r="Q380">
        <v>4250</v>
      </c>
      <c r="R380" t="str">
        <v>Onbekend</v>
      </c>
      <c r="S380" t="str">
        <v>A+++</v>
      </c>
      <c r="T380">
        <v>3</v>
      </c>
      <c r="U380">
        <v>2</v>
      </c>
      <c r="V380" t="str">
        <v>Appartement</v>
      </c>
      <c r="W380" t="str">
        <v>Appartement</v>
      </c>
      <c r="X380" t="str">
        <v>Appartement 75-100 m²</v>
      </c>
      <c r="Y380" t="str">
        <v>Onbekend</v>
      </c>
      <c r="Z380" t="str">
        <v>onbekend</v>
      </c>
      <c r="AA380" t="str">
        <v>2026</v>
      </c>
      <c r="AB380" t="str">
        <v>Nee</v>
      </c>
      <c r="AC380" t="str">
        <v>NEE</v>
      </c>
      <c r="AD380" t="str">
        <v>JA</v>
      </c>
    </row>
    <row r="381">
      <c r="A381" t="str">
        <v>44429858</v>
      </c>
      <c r="B381" t="str">
        <v>https://www.funda.nl/detail/koop/landgraaf/appartement-d-r-hof-bouwnr-11/44429858/</v>
      </c>
      <c r="C381" t="str">
        <v>Hof va Woabich</v>
      </c>
      <c r="D381" t="str">
        <v>D'r Hof</v>
      </c>
      <c r="E381" t="str">
        <v>11</v>
      </c>
      <c r="F381" t="str">
        <v>6374 EN</v>
      </c>
      <c r="G381" t="str">
        <v>Landgraaf</v>
      </c>
      <c r="H381" t="str">
        <v>Landgraaf</v>
      </c>
      <c r="I381" t="str">
        <v>Limburg</v>
      </c>
      <c r="J381" t="str">
        <v>Zuid-Nederland</v>
      </c>
      <c r="K381" t="str">
        <v>Te koop</v>
      </c>
      <c r="L381" t="str">
        <v>Onbekend</v>
      </c>
      <c r="M381" t="str">
        <v>Onbekend</v>
      </c>
      <c r="N381">
        <v>395250</v>
      </c>
      <c r="O381" t="str">
        <v>v.o.n.</v>
      </c>
      <c r="P381">
        <v>93</v>
      </c>
      <c r="Q381">
        <v>4250</v>
      </c>
      <c r="R381" t="str">
        <v>Onbekend</v>
      </c>
      <c r="S381" t="str">
        <v>A+++</v>
      </c>
      <c r="T381">
        <v>3</v>
      </c>
      <c r="U381">
        <v>2</v>
      </c>
      <c r="V381" t="str">
        <v>Appartement</v>
      </c>
      <c r="W381" t="str">
        <v>Appartement</v>
      </c>
      <c r="X381" t="str">
        <v>Appartement 75-100 m²</v>
      </c>
      <c r="Y381" t="str">
        <v>Onbekend</v>
      </c>
      <c r="Z381" t="str">
        <v>onbekend</v>
      </c>
      <c r="AA381" t="str">
        <v>2026</v>
      </c>
      <c r="AB381" t="str">
        <v>Nee</v>
      </c>
      <c r="AC381" t="str">
        <v>NEE</v>
      </c>
      <c r="AD381" t="str">
        <v>JA</v>
      </c>
    </row>
    <row r="382">
      <c r="A382" t="str">
        <v>44429857</v>
      </c>
      <c r="B382" t="str">
        <v>https://www.funda.nl/detail/koop/landgraaf/appartement-kloosterstraat-bouwnr-08/44429857/</v>
      </c>
      <c r="C382" t="str">
        <v>Hof va Woabich</v>
      </c>
      <c r="D382" t="str">
        <v>Kloosterstraat</v>
      </c>
      <c r="E382" t="str">
        <v>08</v>
      </c>
      <c r="F382" t="str">
        <v>6374 EN</v>
      </c>
      <c r="G382" t="str">
        <v>Landgraaf</v>
      </c>
      <c r="H382" t="str">
        <v>Landgraaf</v>
      </c>
      <c r="I382" t="str">
        <v>Limburg</v>
      </c>
      <c r="J382" t="str">
        <v>Zuid-Nederland</v>
      </c>
      <c r="K382" t="str">
        <v>Te koop</v>
      </c>
      <c r="L382" t="str">
        <v>Onbekend</v>
      </c>
      <c r="M382" t="str">
        <v>Onbekend</v>
      </c>
      <c r="N382">
        <v>378450</v>
      </c>
      <c r="O382" t="str">
        <v>v.o.n.</v>
      </c>
      <c r="P382">
        <v>87</v>
      </c>
      <c r="Q382">
        <v>4350</v>
      </c>
      <c r="R382" t="str">
        <v>Onbekend</v>
      </c>
      <c r="S382" t="str">
        <v>A+++</v>
      </c>
      <c r="T382">
        <v>3</v>
      </c>
      <c r="U382">
        <v>2</v>
      </c>
      <c r="V382" t="str">
        <v>Appartement</v>
      </c>
      <c r="W382" t="str">
        <v>Appartement</v>
      </c>
      <c r="X382" t="str">
        <v>Appartement 75-100 m²</v>
      </c>
      <c r="Y382" t="str">
        <v>Onbekend</v>
      </c>
      <c r="Z382" t="str">
        <v>onbekend</v>
      </c>
      <c r="AA382" t="str">
        <v>2026</v>
      </c>
      <c r="AB382" t="str">
        <v>Nee</v>
      </c>
      <c r="AC382" t="str">
        <v>NEE</v>
      </c>
      <c r="AD382" t="str">
        <v>JA</v>
      </c>
    </row>
    <row r="383">
      <c r="A383" t="str">
        <v>44429856</v>
      </c>
      <c r="B383" t="str">
        <v>https://www.funda.nl/detail/koop/landgraaf/appartement-kloosterstraat-bouwnr-04/44429856/</v>
      </c>
      <c r="C383" t="str">
        <v>Hof va Woabich</v>
      </c>
      <c r="D383" t="str">
        <v>Kloosterstraat</v>
      </c>
      <c r="E383" t="str">
        <v>04</v>
      </c>
      <c r="F383" t="str">
        <v>6374 EN</v>
      </c>
      <c r="G383" t="str">
        <v>Landgraaf</v>
      </c>
      <c r="H383" t="str">
        <v>Landgraaf</v>
      </c>
      <c r="I383" t="str">
        <v>Limburg</v>
      </c>
      <c r="J383" t="str">
        <v>Zuid-Nederland</v>
      </c>
      <c r="K383" t="str">
        <v>Te koop</v>
      </c>
      <c r="L383" t="str">
        <v>Onbekend</v>
      </c>
      <c r="M383" t="str">
        <v>Onbekend</v>
      </c>
      <c r="N383">
        <v>361250</v>
      </c>
      <c r="O383" t="str">
        <v>v.o.n.</v>
      </c>
      <c r="P383">
        <v>85</v>
      </c>
      <c r="Q383">
        <v>4250</v>
      </c>
      <c r="R383" t="str">
        <v>Onbekend</v>
      </c>
      <c r="S383" t="str">
        <v>A+++</v>
      </c>
      <c r="T383">
        <v>3</v>
      </c>
      <c r="U383">
        <v>2</v>
      </c>
      <c r="V383" t="str">
        <v>Appartement</v>
      </c>
      <c r="W383" t="str">
        <v>Appartement</v>
      </c>
      <c r="X383" t="str">
        <v>Appartement 75-100 m²</v>
      </c>
      <c r="Y383" t="str">
        <v>Onbekend</v>
      </c>
      <c r="Z383" t="str">
        <v>onbekend</v>
      </c>
      <c r="AA383" t="str">
        <v>2026</v>
      </c>
      <c r="AB383" t="str">
        <v>Nee</v>
      </c>
      <c r="AC383" t="str">
        <v>NEE</v>
      </c>
      <c r="AD383" t="str">
        <v>JA</v>
      </c>
    </row>
    <row r="384">
      <c r="A384" t="str">
        <v>44429855</v>
      </c>
      <c r="B384" t="str">
        <v>https://www.funda.nl/detail/koop/landgraaf/appartement-kloosterstraat-bouwnr-05/44429855/</v>
      </c>
      <c r="C384" t="str">
        <v>Hof va Woabich</v>
      </c>
      <c r="D384" t="str">
        <v>Kloosterstraat</v>
      </c>
      <c r="E384" t="str">
        <v>05</v>
      </c>
      <c r="F384" t="str">
        <v>6374 EN</v>
      </c>
      <c r="G384" t="str">
        <v>Landgraaf</v>
      </c>
      <c r="H384" t="str">
        <v>Landgraaf</v>
      </c>
      <c r="I384" t="str">
        <v>Limburg</v>
      </c>
      <c r="J384" t="str">
        <v>Zuid-Nederland</v>
      </c>
      <c r="K384" t="str">
        <v>Te koop</v>
      </c>
      <c r="L384" t="str">
        <v>Onbekend</v>
      </c>
      <c r="M384" t="str">
        <v>Onbekend</v>
      </c>
      <c r="N384">
        <v>348500</v>
      </c>
      <c r="O384" t="str">
        <v>v.o.n.</v>
      </c>
      <c r="P384">
        <v>82</v>
      </c>
      <c r="Q384">
        <v>4250</v>
      </c>
      <c r="R384" t="str">
        <v>Onbekend</v>
      </c>
      <c r="S384" t="str">
        <v>A+++</v>
      </c>
      <c r="T384">
        <v>3</v>
      </c>
      <c r="U384">
        <v>2</v>
      </c>
      <c r="V384" t="str">
        <v>Appartement</v>
      </c>
      <c r="W384" t="str">
        <v>Appartement</v>
      </c>
      <c r="X384" t="str">
        <v>Appartement 75-100 m²</v>
      </c>
      <c r="Y384" t="str">
        <v>Onbekend</v>
      </c>
      <c r="Z384" t="str">
        <v>onbekend</v>
      </c>
      <c r="AA384" t="str">
        <v>2026</v>
      </c>
      <c r="AB384" t="str">
        <v>Nee</v>
      </c>
      <c r="AC384" t="str">
        <v>NEE</v>
      </c>
      <c r="AD384" t="str">
        <v>JA</v>
      </c>
    </row>
    <row r="385">
      <c r="A385" t="str">
        <v>44429854</v>
      </c>
      <c r="B385" t="str">
        <v>https://www.funda.nl/detail/koop/landgraaf/appartement-kloosterstraat-bouwnr-03/44429854/</v>
      </c>
      <c r="C385" t="str">
        <v>Hof va Woabich</v>
      </c>
      <c r="D385" t="str">
        <v>Kloosterstraat</v>
      </c>
      <c r="E385" t="str">
        <v>03</v>
      </c>
      <c r="F385" t="str">
        <v>6374 EN</v>
      </c>
      <c r="G385" t="str">
        <v>Landgraaf</v>
      </c>
      <c r="H385" t="str">
        <v>Landgraaf</v>
      </c>
      <c r="I385" t="str">
        <v>Limburg</v>
      </c>
      <c r="J385" t="str">
        <v>Zuid-Nederland</v>
      </c>
      <c r="K385" t="str">
        <v>Te koop</v>
      </c>
      <c r="L385" t="str">
        <v>Onbekend</v>
      </c>
      <c r="M385" t="str">
        <v>Onbekend</v>
      </c>
      <c r="N385">
        <v>402500</v>
      </c>
      <c r="O385" t="str">
        <v>v.o.n.</v>
      </c>
      <c r="P385">
        <v>85</v>
      </c>
      <c r="Q385">
        <v>4735</v>
      </c>
      <c r="R385" t="str">
        <v>Onbekend</v>
      </c>
      <c r="S385" t="str">
        <v>A+++</v>
      </c>
      <c r="T385">
        <v>3</v>
      </c>
      <c r="U385">
        <v>2</v>
      </c>
      <c r="V385" t="str">
        <v>Appartement</v>
      </c>
      <c r="W385" t="str">
        <v>Appartement</v>
      </c>
      <c r="X385" t="str">
        <v>Appartement 75-100 m²</v>
      </c>
      <c r="Y385" t="str">
        <v>Onbekend</v>
      </c>
      <c r="Z385" t="str">
        <v>onbekend</v>
      </c>
      <c r="AA385" t="str">
        <v>2026</v>
      </c>
      <c r="AB385" t="str">
        <v>Nee</v>
      </c>
      <c r="AC385" t="str">
        <v>NEE</v>
      </c>
      <c r="AD385" t="str">
        <v>JA</v>
      </c>
    </row>
    <row r="386">
      <c r="A386" t="str">
        <v>44429853</v>
      </c>
      <c r="B386" t="str">
        <v>https://www.funda.nl/detail/koop/landgraaf/appartement-kloosterstraat-bouwnr-02/44429853/</v>
      </c>
      <c r="C386" t="str">
        <v>Hof va Woabich</v>
      </c>
      <c r="D386" t="str">
        <v>Kloosterstraat</v>
      </c>
      <c r="E386" t="str">
        <v>02</v>
      </c>
      <c r="F386" t="str">
        <v>6374 EN</v>
      </c>
      <c r="G386" t="str">
        <v>Landgraaf</v>
      </c>
      <c r="H386" t="str">
        <v>Landgraaf</v>
      </c>
      <c r="I386" t="str">
        <v>Limburg</v>
      </c>
      <c r="J386" t="str">
        <v>Zuid-Nederland</v>
      </c>
      <c r="K386" t="str">
        <v>Te koop</v>
      </c>
      <c r="L386" t="str">
        <v>2026-07-06</v>
      </c>
      <c r="M386">
        <v>7</v>
      </c>
      <c r="N386">
        <v>374500</v>
      </c>
      <c r="O386" t="str">
        <v>v.o.n.</v>
      </c>
      <c r="P386">
        <v>87</v>
      </c>
      <c r="Q386">
        <v>4305</v>
      </c>
      <c r="R386" t="str">
        <v>Onbekend</v>
      </c>
      <c r="S386" t="str">
        <v>A+++</v>
      </c>
      <c r="T386">
        <v>3</v>
      </c>
      <c r="U386">
        <v>2</v>
      </c>
      <c r="V386" t="str">
        <v>Appartement</v>
      </c>
      <c r="W386" t="str">
        <v>Appartement</v>
      </c>
      <c r="X386" t="str">
        <v>Appartement 75-100 m²</v>
      </c>
      <c r="Y386" t="str">
        <v>Onbekend</v>
      </c>
      <c r="Z386" t="str">
        <v>onbekend</v>
      </c>
      <c r="AA386" t="str">
        <v>2026</v>
      </c>
      <c r="AB386" t="str">
        <v>Nee</v>
      </c>
      <c r="AC386" t="str">
        <v>NEE</v>
      </c>
      <c r="AD386" t="str">
        <v>JA</v>
      </c>
    </row>
    <row r="387">
      <c r="A387" t="str">
        <v>44429842</v>
      </c>
      <c r="B387" t="str">
        <v>https://www.funda.nl/detail/koop/landgraaf/appartement-kloosterstraat-bouwnr-01/44429842/</v>
      </c>
      <c r="C387" t="str">
        <v>Hof va Woabich</v>
      </c>
      <c r="D387" t="str">
        <v>Kloosterstraat</v>
      </c>
      <c r="E387" t="str">
        <v>01</v>
      </c>
      <c r="F387" t="str">
        <v>6374 EN</v>
      </c>
      <c r="G387" t="str">
        <v>Landgraaf</v>
      </c>
      <c r="H387" t="str">
        <v>Landgraaf</v>
      </c>
      <c r="I387" t="str">
        <v>Limburg</v>
      </c>
      <c r="J387" t="str">
        <v>Zuid-Nederland</v>
      </c>
      <c r="K387" t="str">
        <v>Te koop</v>
      </c>
      <c r="L387" t="str">
        <v>Onbekend</v>
      </c>
      <c r="M387" t="str">
        <v>Onbekend</v>
      </c>
      <c r="N387">
        <v>217500</v>
      </c>
      <c r="O387" t="str">
        <v>v.o.n.</v>
      </c>
      <c r="P387">
        <v>50</v>
      </c>
      <c r="Q387">
        <v>4350</v>
      </c>
      <c r="R387" t="str">
        <v>Onbekend</v>
      </c>
      <c r="S387" t="str">
        <v>A+++</v>
      </c>
      <c r="T387">
        <v>2</v>
      </c>
      <c r="U387">
        <v>1</v>
      </c>
      <c r="V387" t="str">
        <v>Appartement</v>
      </c>
      <c r="W387" t="str">
        <v>Appartement</v>
      </c>
      <c r="X387" t="str">
        <v>Appartement 50-75 m²</v>
      </c>
      <c r="Y387" t="str">
        <v>Onbekend</v>
      </c>
      <c r="Z387" t="str">
        <v>onbekend</v>
      </c>
      <c r="AA387" t="str">
        <v>2026</v>
      </c>
      <c r="AB387" t="str">
        <v>Nee</v>
      </c>
      <c r="AC387" t="str">
        <v>NEE</v>
      </c>
      <c r="AD387" t="str">
        <v>JA</v>
      </c>
    </row>
    <row r="388">
      <c r="A388" t="str">
        <v>44429837</v>
      </c>
      <c r="B388" t="str">
        <v>https://www.funda.nl/detail/koop/amsterdam/appartement-cortado-waterfront-95-100-bouwnr-507/44429837/</v>
      </c>
      <c r="C388" t="str">
        <v>ACE Amsterdam fase 2</v>
      </c>
      <c r="D388" t="str">
        <v>Cortado Waterfront 95-100</v>
      </c>
      <c r="E388" t="str">
        <v>507*</v>
      </c>
      <c r="F388" t="str">
        <v>1064 AB</v>
      </c>
      <c r="G388" t="str">
        <v>Amsterdam</v>
      </c>
      <c r="H388" t="str">
        <v>Amsterdam</v>
      </c>
      <c r="I388" t="str">
        <v>Noord-Holland</v>
      </c>
      <c r="J388" t="str">
        <v>West-Nederland</v>
      </c>
      <c r="K388" t="str">
        <v>Te koop</v>
      </c>
      <c r="L388" t="str">
        <v>Onbekend</v>
      </c>
      <c r="M388" t="str">
        <v>Onbekend</v>
      </c>
      <c r="N388">
        <v>694000</v>
      </c>
      <c r="O388" t="str">
        <v>v.o.n.</v>
      </c>
      <c r="P388">
        <v>91</v>
      </c>
      <c r="Q388">
        <v>7626</v>
      </c>
      <c r="R388" t="str">
        <v>Onbekend</v>
      </c>
      <c r="S388" t="str">
        <v>A++</v>
      </c>
      <c r="T388">
        <v>3</v>
      </c>
      <c r="U388">
        <v>2</v>
      </c>
      <c r="V388" t="str">
        <v>Appartement</v>
      </c>
      <c r="W388" t="str">
        <v>Appartement</v>
      </c>
      <c r="X388" t="str">
        <v>Appartement 75-100 m²</v>
      </c>
      <c r="Y388" t="str">
        <v>Ja</v>
      </c>
      <c r="Z388" t="str">
        <v>garage</v>
      </c>
      <c r="AA388" t="str">
        <v>2028</v>
      </c>
      <c r="AB388" t="str">
        <v>Nee</v>
      </c>
      <c r="AC388" t="str">
        <v>NEE</v>
      </c>
      <c r="AD388" t="str">
        <v>JA</v>
      </c>
    </row>
    <row r="389">
      <c r="A389" t="str">
        <v>44428756</v>
      </c>
      <c r="B389" t="str">
        <v>https://www.funda.nl/detail/koop/geleen/huis-craveldweg-34/44428756/</v>
      </c>
      <c r="C389" t="str">
        <v>Onbekend</v>
      </c>
      <c r="D389" t="str">
        <v>Craveldweg 34</v>
      </c>
      <c r="E389" t="str">
        <v>Onbekend</v>
      </c>
      <c r="F389" t="str">
        <v>6166 LG</v>
      </c>
      <c r="G389" t="str">
        <v>Geleen</v>
      </c>
      <c r="H389" t="str">
        <v>Sittard-Geleen</v>
      </c>
      <c r="I389" t="str">
        <v>Limburg</v>
      </c>
      <c r="J389" t="str">
        <v>Zuid-Nederland</v>
      </c>
      <c r="K389" t="str">
        <v>Te koop</v>
      </c>
      <c r="L389" t="str">
        <v>Onbekend</v>
      </c>
      <c r="M389" t="str">
        <v>Onbekend</v>
      </c>
      <c r="N389">
        <v>407875</v>
      </c>
      <c r="O389" t="str">
        <v>v.o.n.</v>
      </c>
      <c r="P389">
        <v>114</v>
      </c>
      <c r="Q389">
        <v>3578</v>
      </c>
      <c r="R389">
        <v>143</v>
      </c>
      <c r="S389" t="str">
        <v>A++++</v>
      </c>
      <c r="T389">
        <v>3</v>
      </c>
      <c r="U389">
        <v>2</v>
      </c>
      <c r="V389" t="str">
        <v>Grondgebonden</v>
      </c>
      <c r="W389" t="str">
        <v>Tussenwoning</v>
      </c>
      <c r="X389" t="str">
        <v>N.v.t.</v>
      </c>
      <c r="Y389" t="str">
        <v>Ja</v>
      </c>
      <c r="Z389" t="str">
        <v>openbare parkeerplaats</v>
      </c>
      <c r="AA389" t="str">
        <v>2026</v>
      </c>
      <c r="AB389" t="str">
        <v>Nee</v>
      </c>
      <c r="AC389" t="str">
        <v>NEE</v>
      </c>
      <c r="AD389" t="str">
        <v>JA</v>
      </c>
    </row>
    <row r="390">
      <c r="A390" t="str">
        <v>44429876</v>
      </c>
      <c r="B390" t="str">
        <v>https://www.funda.nl/detail/koop/amsterdam/appartement-cortado-waterfront-95-100-bouwnr-499/44429876/</v>
      </c>
      <c r="C390" t="str">
        <v>ACE Amsterdam fase 2</v>
      </c>
      <c r="D390" t="str">
        <v>Cortado Waterfront 95-100</v>
      </c>
      <c r="E390" t="str">
        <v>499</v>
      </c>
      <c r="F390" t="str">
        <v>1064 AB</v>
      </c>
      <c r="G390" t="str">
        <v>Amsterdam</v>
      </c>
      <c r="H390" t="str">
        <v>Amsterdam</v>
      </c>
      <c r="I390" t="str">
        <v>Noord-Holland</v>
      </c>
      <c r="J390" t="str">
        <v>West-Nederland</v>
      </c>
      <c r="K390" t="str">
        <v>Te koop</v>
      </c>
      <c r="L390" t="str">
        <v>Onbekend</v>
      </c>
      <c r="M390" t="str">
        <v>Onbekend</v>
      </c>
      <c r="N390">
        <v>684000</v>
      </c>
      <c r="O390" t="str">
        <v>v.o.n.</v>
      </c>
      <c r="P390">
        <v>91</v>
      </c>
      <c r="Q390">
        <v>7516</v>
      </c>
      <c r="R390" t="str">
        <v>Onbekend</v>
      </c>
      <c r="S390" t="str">
        <v>A++</v>
      </c>
      <c r="T390">
        <v>4</v>
      </c>
      <c r="U390">
        <v>3</v>
      </c>
      <c r="V390" t="str">
        <v>Appartement</v>
      </c>
      <c r="W390" t="str">
        <v>Appartement</v>
      </c>
      <c r="X390" t="str">
        <v>Appartement 75-100 m²</v>
      </c>
      <c r="Y390" t="str">
        <v>Ja</v>
      </c>
      <c r="Z390" t="str">
        <v>garage</v>
      </c>
      <c r="AA390" t="str">
        <v>2028</v>
      </c>
      <c r="AB390" t="str">
        <v>Nee</v>
      </c>
      <c r="AC390" t="str">
        <v>NEE</v>
      </c>
      <c r="AD390" t="str">
        <v>JA</v>
      </c>
    </row>
    <row r="391">
      <c r="A391" t="str">
        <v>44429807</v>
      </c>
      <c r="B391" t="str">
        <v>https://www.funda.nl/detail/koop/maassluis/huis-hoekwoning-type-1-bouwnr-25/44429807/</v>
      </c>
      <c r="C391" t="str">
        <v>De Oevers - Wilgenrijk | IN VERKOOP</v>
      </c>
      <c r="D391" t="str">
        <v>Hoekwoning type 1</v>
      </c>
      <c r="E391" t="str">
        <v>25</v>
      </c>
      <c r="F391" t="str">
        <v>3147 NA</v>
      </c>
      <c r="G391" t="str">
        <v>Maassluis</v>
      </c>
      <c r="H391" t="str">
        <v>Maassluis</v>
      </c>
      <c r="I391" t="str">
        <v>Zuid-Holland</v>
      </c>
      <c r="J391" t="str">
        <v>West-Nederland</v>
      </c>
      <c r="K391" t="str">
        <v>Te koop</v>
      </c>
      <c r="L391" t="str">
        <v>Onbekend</v>
      </c>
      <c r="M391" t="str">
        <v>Onbekend</v>
      </c>
      <c r="N391">
        <v>677500</v>
      </c>
      <c r="O391" t="str">
        <v>v.o.n.</v>
      </c>
      <c r="P391">
        <v>138</v>
      </c>
      <c r="Q391">
        <v>4909</v>
      </c>
      <c r="R391">
        <v>337</v>
      </c>
      <c r="S391" t="str">
        <v>A+++</v>
      </c>
      <c r="T391">
        <v>6</v>
      </c>
      <c r="U391">
        <v>5</v>
      </c>
      <c r="V391" t="str">
        <v>Grondgebonden</v>
      </c>
      <c r="W391" t="str">
        <v>Hoekwoning</v>
      </c>
      <c r="X391" t="str">
        <v>N.v.t.</v>
      </c>
      <c r="Y391" t="str">
        <v>Ja</v>
      </c>
      <c r="Z391" t="str">
        <v>eigen parkeerplaats</v>
      </c>
      <c r="AA391" t="str">
        <v>2026</v>
      </c>
      <c r="AB391" t="str">
        <v>Nee</v>
      </c>
      <c r="AC391" t="str">
        <v>NEE</v>
      </c>
      <c r="AD391" t="str">
        <v>JA</v>
      </c>
    </row>
    <row r="392">
      <c r="A392" t="str">
        <v>44429806</v>
      </c>
      <c r="B392" t="str">
        <v>https://www.funda.nl/detail/koop/maassluis/huis-twee-onder-een-kapwoning-type-1-bouwnr-49/44429806/</v>
      </c>
      <c r="C392" t="str">
        <v>De Oevers - Wilgenrijk | IN VERKOOP</v>
      </c>
      <c r="D392" t="str">
        <v>Twee-onder-een-kapwoning type 1</v>
      </c>
      <c r="E392" t="str">
        <v>49</v>
      </c>
      <c r="F392" t="str">
        <v>3147 NA</v>
      </c>
      <c r="G392" t="str">
        <v>Maassluis</v>
      </c>
      <c r="H392" t="str">
        <v>Maassluis</v>
      </c>
      <c r="I392" t="str">
        <v>Zuid-Holland</v>
      </c>
      <c r="J392" t="str">
        <v>West-Nederland</v>
      </c>
      <c r="K392" t="str">
        <v>Te koop</v>
      </c>
      <c r="L392" t="str">
        <v>Onbekend</v>
      </c>
      <c r="M392" t="str">
        <v>Onbekend</v>
      </c>
      <c r="N392">
        <v>799500</v>
      </c>
      <c r="O392" t="str">
        <v>v.o.n.</v>
      </c>
      <c r="P392">
        <v>153</v>
      </c>
      <c r="Q392">
        <v>5225</v>
      </c>
      <c r="R392">
        <v>365</v>
      </c>
      <c r="S392" t="str">
        <v>A+++</v>
      </c>
      <c r="T392">
        <v>6</v>
      </c>
      <c r="U392">
        <v>5</v>
      </c>
      <c r="V392" t="str">
        <v>Grondgebonden</v>
      </c>
      <c r="W392" t="str">
        <v>2-onder-1-kapwoning</v>
      </c>
      <c r="X392" t="str">
        <v>N.v.t.</v>
      </c>
      <c r="Y392" t="str">
        <v>Ja</v>
      </c>
      <c r="Z392" t="str">
        <v>eigen parkeerplaats</v>
      </c>
      <c r="AA392" t="str">
        <v>2026</v>
      </c>
      <c r="AB392" t="str">
        <v>Nee</v>
      </c>
      <c r="AC392" t="str">
        <v>NEE</v>
      </c>
      <c r="AD392" t="str">
        <v>JA</v>
      </c>
    </row>
    <row r="393">
      <c r="A393" t="str">
        <v>44429805</v>
      </c>
      <c r="B393" t="str">
        <v>https://www.funda.nl/detail/koop/maassluis/huis-hoekwoning-type-1-bouwnr-7/44429805/</v>
      </c>
      <c r="C393" t="str">
        <v>De Oevers - Wilgenrijk | IN VERKOOP</v>
      </c>
      <c r="D393" t="str">
        <v>Hoekwoning type 1</v>
      </c>
      <c r="E393" t="str">
        <v>7</v>
      </c>
      <c r="F393" t="str">
        <v>3147 NA</v>
      </c>
      <c r="G393" t="str">
        <v>Maassluis</v>
      </c>
      <c r="H393" t="str">
        <v>Maassluis</v>
      </c>
      <c r="I393" t="str">
        <v>Zuid-Holland</v>
      </c>
      <c r="J393" t="str">
        <v>West-Nederland</v>
      </c>
      <c r="K393" t="str">
        <v>Te koop</v>
      </c>
      <c r="L393" t="str">
        <v>Onbekend</v>
      </c>
      <c r="M393" t="str">
        <v>Onbekend</v>
      </c>
      <c r="N393">
        <v>660000</v>
      </c>
      <c r="O393" t="str">
        <v>v.o.n.</v>
      </c>
      <c r="P393">
        <v>138</v>
      </c>
      <c r="Q393">
        <v>4783</v>
      </c>
      <c r="R393">
        <v>290</v>
      </c>
      <c r="S393" t="str">
        <v>A+++</v>
      </c>
      <c r="T393">
        <v>6</v>
      </c>
      <c r="U393">
        <v>5</v>
      </c>
      <c r="V393" t="str">
        <v>Grondgebonden</v>
      </c>
      <c r="W393" t="str">
        <v>Hoekwoning</v>
      </c>
      <c r="X393" t="str">
        <v>N.v.t.</v>
      </c>
      <c r="Y393" t="str">
        <v>Ja</v>
      </c>
      <c r="Z393" t="str">
        <v>eigen parkeerplaats</v>
      </c>
      <c r="AA393" t="str">
        <v>2026</v>
      </c>
      <c r="AB393" t="str">
        <v>Nee</v>
      </c>
      <c r="AC393" t="str">
        <v>NEE</v>
      </c>
      <c r="AD393" t="str">
        <v>JA</v>
      </c>
    </row>
    <row r="394">
      <c r="A394" t="str">
        <v>44429803</v>
      </c>
      <c r="B394" t="str">
        <v>https://www.funda.nl/detail/koop/maassluis/huis-tussenwoning-bouwnr-36/44429803/</v>
      </c>
      <c r="C394" t="str">
        <v>De Oevers - Wilgenrijk | IN VERKOOP</v>
      </c>
      <c r="D394" t="str">
        <v>Tussenwoning</v>
      </c>
      <c r="E394" t="str">
        <v>36</v>
      </c>
      <c r="F394" t="str">
        <v>3147 NA</v>
      </c>
      <c r="G394" t="str">
        <v>Maassluis</v>
      </c>
      <c r="H394" t="str">
        <v>Maassluis</v>
      </c>
      <c r="I394" t="str">
        <v>Zuid-Holland</v>
      </c>
      <c r="J394" t="str">
        <v>West-Nederland</v>
      </c>
      <c r="K394" t="str">
        <v>Te koop</v>
      </c>
      <c r="L394" t="str">
        <v>Onbekend</v>
      </c>
      <c r="M394" t="str">
        <v>Onbekend</v>
      </c>
      <c r="N394">
        <v>595000</v>
      </c>
      <c r="O394" t="str">
        <v>v.o.n.</v>
      </c>
      <c r="P394">
        <v>129</v>
      </c>
      <c r="Q394">
        <v>4612</v>
      </c>
      <c r="R394">
        <v>171</v>
      </c>
      <c r="S394" t="str">
        <v>A+++</v>
      </c>
      <c r="T394">
        <v>6</v>
      </c>
      <c r="U394">
        <v>5</v>
      </c>
      <c r="V394" t="str">
        <v>Grondgebonden</v>
      </c>
      <c r="W394" t="str">
        <v>Tussenwoning</v>
      </c>
      <c r="X394" t="str">
        <v>N.v.t.</v>
      </c>
      <c r="Y394" t="str">
        <v>Ja</v>
      </c>
      <c r="Z394" t="str">
        <v>eigen parkeerplaats</v>
      </c>
      <c r="AA394" t="str">
        <v>2026</v>
      </c>
      <c r="AB394" t="str">
        <v>Nee</v>
      </c>
      <c r="AC394" t="str">
        <v>NEE</v>
      </c>
      <c r="AD394" t="str">
        <v>JA</v>
      </c>
    </row>
    <row r="395">
      <c r="A395" t="str">
        <v>44429892</v>
      </c>
      <c r="B395" t="str">
        <v>https://www.funda.nl/detail/koop/maassluis/huis-twee-onder-een-kapwoning-type-1-bouwnr-48/44429892/</v>
      </c>
      <c r="C395" t="str">
        <v>De Oevers - Wilgenrijk | IN VERKOOP</v>
      </c>
      <c r="D395" t="str">
        <v>Twee-onder-een-kapwoning type 1</v>
      </c>
      <c r="E395" t="str">
        <v>48</v>
      </c>
      <c r="F395" t="str">
        <v>3147 NA</v>
      </c>
      <c r="G395" t="str">
        <v>Maassluis</v>
      </c>
      <c r="H395" t="str">
        <v>Maassluis</v>
      </c>
      <c r="I395" t="str">
        <v>Zuid-Holland</v>
      </c>
      <c r="J395" t="str">
        <v>West-Nederland</v>
      </c>
      <c r="K395" t="str">
        <v>Te koop</v>
      </c>
      <c r="L395" t="str">
        <v>Onbekend</v>
      </c>
      <c r="M395" t="str">
        <v>Onbekend</v>
      </c>
      <c r="N395">
        <v>792500</v>
      </c>
      <c r="O395" t="str">
        <v>v.o.n.</v>
      </c>
      <c r="P395">
        <v>153</v>
      </c>
      <c r="Q395">
        <v>5180</v>
      </c>
      <c r="R395">
        <v>331</v>
      </c>
      <c r="S395" t="str">
        <v>A+++</v>
      </c>
      <c r="T395">
        <v>6</v>
      </c>
      <c r="U395">
        <v>5</v>
      </c>
      <c r="V395" t="str">
        <v>Grondgebonden</v>
      </c>
      <c r="W395" t="str">
        <v>2-onder-1-kapwoning</v>
      </c>
      <c r="X395" t="str">
        <v>N.v.t.</v>
      </c>
      <c r="Y395" t="str">
        <v>Ja</v>
      </c>
      <c r="Z395" t="str">
        <v>eigen parkeerplaats</v>
      </c>
      <c r="AA395" t="str">
        <v>2026</v>
      </c>
      <c r="AB395" t="str">
        <v>Nee</v>
      </c>
      <c r="AC395" t="str">
        <v>NEE</v>
      </c>
      <c r="AD395" t="str">
        <v>JA</v>
      </c>
    </row>
    <row r="396">
      <c r="A396" t="str">
        <v>44429891</v>
      </c>
      <c r="B396" t="str">
        <v>https://www.funda.nl/detail/koop/maassluis/huis-hoekwoning-type-1-bouwnr-24/44429891/</v>
      </c>
      <c r="C396" t="str">
        <v>De Oevers - Wilgenrijk | IN VERKOOP</v>
      </c>
      <c r="D396" t="str">
        <v>Hoekwoning type 1</v>
      </c>
      <c r="E396" t="str">
        <v>24</v>
      </c>
      <c r="F396" t="str">
        <v>3147 NA</v>
      </c>
      <c r="G396" t="str">
        <v>Maassluis</v>
      </c>
      <c r="H396" t="str">
        <v>Maassluis</v>
      </c>
      <c r="I396" t="str">
        <v>Zuid-Holland</v>
      </c>
      <c r="J396" t="str">
        <v>West-Nederland</v>
      </c>
      <c r="K396" t="str">
        <v>Te koop</v>
      </c>
      <c r="L396" t="str">
        <v>Onbekend</v>
      </c>
      <c r="M396" t="str">
        <v>Onbekend</v>
      </c>
      <c r="N396">
        <v>677500</v>
      </c>
      <c r="O396" t="str">
        <v>v.o.n.</v>
      </c>
      <c r="P396">
        <v>138</v>
      </c>
      <c r="Q396">
        <v>4909</v>
      </c>
      <c r="R396">
        <v>348</v>
      </c>
      <c r="S396" t="str">
        <v>A+++</v>
      </c>
      <c r="T396">
        <v>6</v>
      </c>
      <c r="U396">
        <v>5</v>
      </c>
      <c r="V396" t="str">
        <v>Grondgebonden</v>
      </c>
      <c r="W396" t="str">
        <v>Hoekwoning</v>
      </c>
      <c r="X396" t="str">
        <v>N.v.t.</v>
      </c>
      <c r="Y396" t="str">
        <v>Ja</v>
      </c>
      <c r="Z396" t="str">
        <v>eigen parkeerplaats</v>
      </c>
      <c r="AA396" t="str">
        <v>2026</v>
      </c>
      <c r="AB396" t="str">
        <v>Nee</v>
      </c>
      <c r="AC396" t="str">
        <v>NEE</v>
      </c>
      <c r="AD396" t="str">
        <v>JA</v>
      </c>
    </row>
    <row r="397">
      <c r="A397" t="str">
        <v>44429890</v>
      </c>
      <c r="B397" t="str">
        <v>https://www.funda.nl/detail/koop/maassluis/huis-tussenwoning-bouwnr-39/44429890/</v>
      </c>
      <c r="C397" t="str">
        <v>De Oevers - Wilgenrijk | IN VERKOOP</v>
      </c>
      <c r="D397" t="str">
        <v>Tussenwoning</v>
      </c>
      <c r="E397" t="str">
        <v>39</v>
      </c>
      <c r="F397" t="str">
        <v>3147 NA</v>
      </c>
      <c r="G397" t="str">
        <v>Maassluis</v>
      </c>
      <c r="H397" t="str">
        <v>Maassluis</v>
      </c>
      <c r="I397" t="str">
        <v>Zuid-Holland</v>
      </c>
      <c r="J397" t="str">
        <v>West-Nederland</v>
      </c>
      <c r="K397" t="str">
        <v>Te koop</v>
      </c>
      <c r="L397" t="str">
        <v>Onbekend</v>
      </c>
      <c r="M397" t="str">
        <v>Onbekend</v>
      </c>
      <c r="N397">
        <v>595000</v>
      </c>
      <c r="O397" t="str">
        <v>v.o.n.</v>
      </c>
      <c r="P397">
        <v>129</v>
      </c>
      <c r="Q397">
        <v>4612</v>
      </c>
      <c r="R397">
        <v>172</v>
      </c>
      <c r="S397" t="str">
        <v>A+++</v>
      </c>
      <c r="T397">
        <v>6</v>
      </c>
      <c r="U397">
        <v>5</v>
      </c>
      <c r="V397" t="str">
        <v>Grondgebonden</v>
      </c>
      <c r="W397" t="str">
        <v>Tussenwoning</v>
      </c>
      <c r="X397" t="str">
        <v>N.v.t.</v>
      </c>
      <c r="Y397" t="str">
        <v>Ja</v>
      </c>
      <c r="Z397" t="str">
        <v>eigen parkeerplaats</v>
      </c>
      <c r="AA397" t="str">
        <v>2026</v>
      </c>
      <c r="AB397" t="str">
        <v>Nee</v>
      </c>
      <c r="AC397" t="str">
        <v>NEE</v>
      </c>
      <c r="AD397" t="str">
        <v>JA</v>
      </c>
    </row>
    <row r="398">
      <c r="A398" t="str">
        <v>44429898</v>
      </c>
      <c r="B398" t="str">
        <v>https://www.funda.nl/detail/koop/maassluis/huis-twee-onder-een-kapwoning-type-1-bouwnr-44/44429898/</v>
      </c>
      <c r="C398" t="str">
        <v>De Oevers - Wilgenrijk | IN VERKOOP</v>
      </c>
      <c r="D398" t="str">
        <v>Twee-onder-een-kapwoning type 1</v>
      </c>
      <c r="E398" t="str">
        <v>44</v>
      </c>
      <c r="F398" t="str">
        <v>3147 NA</v>
      </c>
      <c r="G398" t="str">
        <v>Maassluis</v>
      </c>
      <c r="H398" t="str">
        <v>Maassluis</v>
      </c>
      <c r="I398" t="str">
        <v>Zuid-Holland</v>
      </c>
      <c r="J398" t="str">
        <v>West-Nederland</v>
      </c>
      <c r="K398" t="str">
        <v>Te koop</v>
      </c>
      <c r="L398" t="str">
        <v>Onbekend</v>
      </c>
      <c r="M398" t="str">
        <v>Onbekend</v>
      </c>
      <c r="N398">
        <v>799500</v>
      </c>
      <c r="O398" t="str">
        <v>v.o.n.</v>
      </c>
      <c r="P398">
        <v>153</v>
      </c>
      <c r="Q398">
        <v>5225</v>
      </c>
      <c r="R398">
        <v>379</v>
      </c>
      <c r="S398" t="str">
        <v>A+++</v>
      </c>
      <c r="T398">
        <v>6</v>
      </c>
      <c r="U398">
        <v>5</v>
      </c>
      <c r="V398" t="str">
        <v>Grondgebonden</v>
      </c>
      <c r="W398" t="str">
        <v>2-onder-1-kapwoning</v>
      </c>
      <c r="X398" t="str">
        <v>N.v.t.</v>
      </c>
      <c r="Y398" t="str">
        <v>Ja</v>
      </c>
      <c r="Z398" t="str">
        <v>eigen parkeerplaats</v>
      </c>
      <c r="AA398" t="str">
        <v>2026</v>
      </c>
      <c r="AB398" t="str">
        <v>Nee</v>
      </c>
      <c r="AC398" t="str">
        <v>NEE</v>
      </c>
      <c r="AD398" t="str">
        <v>JA</v>
      </c>
    </row>
    <row r="399">
      <c r="A399" t="str">
        <v>44429897</v>
      </c>
      <c r="B399" t="str">
        <v>https://www.funda.nl/detail/koop/maassluis/huis-tussenwoning-bouwnr-26/44429897/</v>
      </c>
      <c r="C399" t="str">
        <v>De Oevers - Wilgenrijk | IN VERKOOP</v>
      </c>
      <c r="D399" t="str">
        <v>Tussenwoning</v>
      </c>
      <c r="E399" t="str">
        <v>26</v>
      </c>
      <c r="F399" t="str">
        <v>3147 NA</v>
      </c>
      <c r="G399" t="str">
        <v>Maassluis</v>
      </c>
      <c r="H399" t="str">
        <v>Maassluis</v>
      </c>
      <c r="I399" t="str">
        <v>Zuid-Holland</v>
      </c>
      <c r="J399" t="str">
        <v>West-Nederland</v>
      </c>
      <c r="K399" t="str">
        <v>Te koop</v>
      </c>
      <c r="L399" t="str">
        <v>Onbekend</v>
      </c>
      <c r="M399" t="str">
        <v>Onbekend</v>
      </c>
      <c r="N399">
        <v>597500</v>
      </c>
      <c r="O399" t="str">
        <v>v.o.n.</v>
      </c>
      <c r="P399">
        <v>129</v>
      </c>
      <c r="Q399">
        <v>4632</v>
      </c>
      <c r="R399">
        <v>197</v>
      </c>
      <c r="S399" t="str">
        <v>A+++</v>
      </c>
      <c r="T399">
        <v>6</v>
      </c>
      <c r="U399">
        <v>5</v>
      </c>
      <c r="V399" t="str">
        <v>Grondgebonden</v>
      </c>
      <c r="W399" t="str">
        <v>Tussenwoning</v>
      </c>
      <c r="X399" t="str">
        <v>N.v.t.</v>
      </c>
      <c r="Y399" t="str">
        <v>Ja</v>
      </c>
      <c r="Z399" t="str">
        <v>eigen parkeerplaats</v>
      </c>
      <c r="AA399" t="str">
        <v>2026</v>
      </c>
      <c r="AB399" t="str">
        <v>Nee</v>
      </c>
      <c r="AC399" t="str">
        <v>NEE</v>
      </c>
      <c r="AD399" t="str">
        <v>JA</v>
      </c>
    </row>
    <row r="400">
      <c r="A400" t="str">
        <v>44429896</v>
      </c>
      <c r="B400" t="str">
        <v>https://www.funda.nl/detail/koop/maassluis/huis-tussenwoning-bouwnr-27/44429896/</v>
      </c>
      <c r="C400" t="str">
        <v>De Oevers - Wilgenrijk | IN VERKOOP</v>
      </c>
      <c r="D400" t="str">
        <v>Tussenwoning</v>
      </c>
      <c r="E400" t="str">
        <v>27</v>
      </c>
      <c r="F400" t="str">
        <v>3147 NA</v>
      </c>
      <c r="G400" t="str">
        <v>Maassluis</v>
      </c>
      <c r="H400" t="str">
        <v>Maassluis</v>
      </c>
      <c r="I400" t="str">
        <v>Zuid-Holland</v>
      </c>
      <c r="J400" t="str">
        <v>West-Nederland</v>
      </c>
      <c r="K400" t="str">
        <v>Te koop</v>
      </c>
      <c r="L400" t="str">
        <v>Onbekend</v>
      </c>
      <c r="M400" t="str">
        <v>Onbekend</v>
      </c>
      <c r="N400">
        <v>597500</v>
      </c>
      <c r="O400" t="str">
        <v>v.o.n.</v>
      </c>
      <c r="P400">
        <v>129</v>
      </c>
      <c r="Q400">
        <v>4632</v>
      </c>
      <c r="R400">
        <v>194</v>
      </c>
      <c r="S400" t="str">
        <v>A+++</v>
      </c>
      <c r="T400">
        <v>6</v>
      </c>
      <c r="U400">
        <v>5</v>
      </c>
      <c r="V400" t="str">
        <v>Grondgebonden</v>
      </c>
      <c r="W400" t="str">
        <v>Tussenwoning</v>
      </c>
      <c r="X400" t="str">
        <v>N.v.t.</v>
      </c>
      <c r="Y400" t="str">
        <v>Ja</v>
      </c>
      <c r="Z400" t="str">
        <v>eigen parkeerplaats</v>
      </c>
      <c r="AA400" t="str">
        <v>2026</v>
      </c>
      <c r="AB400" t="str">
        <v>Nee</v>
      </c>
      <c r="AC400" t="str">
        <v>NEE</v>
      </c>
      <c r="AD400" t="str">
        <v>JA</v>
      </c>
    </row>
    <row r="401">
      <c r="A401" t="str">
        <v>44429895</v>
      </c>
      <c r="B401" t="str">
        <v>https://www.funda.nl/detail/koop/maassluis/huis-tussenwoning-bouwnr-28/44429895/</v>
      </c>
      <c r="C401" t="str">
        <v>De Oevers - Wilgenrijk | IN VERKOOP</v>
      </c>
      <c r="D401" t="str">
        <v>Tussenwoning</v>
      </c>
      <c r="E401" t="str">
        <v>28</v>
      </c>
      <c r="F401" t="str">
        <v>3147 NA</v>
      </c>
      <c r="G401" t="str">
        <v>Maassluis</v>
      </c>
      <c r="H401" t="str">
        <v>Maassluis</v>
      </c>
      <c r="I401" t="str">
        <v>Zuid-Holland</v>
      </c>
      <c r="J401" t="str">
        <v>West-Nederland</v>
      </c>
      <c r="K401" t="str">
        <v>Te koop</v>
      </c>
      <c r="L401" t="str">
        <v>2026-07-06</v>
      </c>
      <c r="M401">
        <v>7</v>
      </c>
      <c r="N401">
        <v>597500</v>
      </c>
      <c r="O401" t="str">
        <v>v.o.n.</v>
      </c>
      <c r="P401">
        <v>129</v>
      </c>
      <c r="Q401">
        <v>4632</v>
      </c>
      <c r="R401">
        <v>192</v>
      </c>
      <c r="S401" t="str">
        <v>A+++</v>
      </c>
      <c r="T401">
        <v>6</v>
      </c>
      <c r="U401">
        <v>5</v>
      </c>
      <c r="V401" t="str">
        <v>Grondgebonden</v>
      </c>
      <c r="W401" t="str">
        <v>Tussenwoning</v>
      </c>
      <c r="X401" t="str">
        <v>N.v.t.</v>
      </c>
      <c r="Y401" t="str">
        <v>Ja</v>
      </c>
      <c r="Z401" t="str">
        <v>eigen parkeerplaats</v>
      </c>
      <c r="AA401" t="str">
        <v>2026</v>
      </c>
      <c r="AB401" t="str">
        <v>Nee</v>
      </c>
      <c r="AC401" t="str">
        <v>NEE</v>
      </c>
      <c r="AD401" t="str">
        <v>JA</v>
      </c>
    </row>
    <row r="402">
      <c r="A402" t="str">
        <v>44429894</v>
      </c>
      <c r="B402" t="str">
        <v>https://www.funda.nl/detail/koop/maassluis/huis-tussenwoning-bouwnr-18/44429894/</v>
      </c>
      <c r="C402" t="str">
        <v>De Oevers - Wilgenrijk | IN VERKOOP</v>
      </c>
      <c r="D402" t="str">
        <v>Tussenwoning</v>
      </c>
      <c r="E402" t="str">
        <v>18</v>
      </c>
      <c r="F402" t="str">
        <v>3147 NA</v>
      </c>
      <c r="G402" t="str">
        <v>Maassluis</v>
      </c>
      <c r="H402" t="str">
        <v>Maassluis</v>
      </c>
      <c r="I402" t="str">
        <v>Zuid-Holland</v>
      </c>
      <c r="J402" t="str">
        <v>West-Nederland</v>
      </c>
      <c r="K402" t="str">
        <v>Te koop</v>
      </c>
      <c r="L402" t="str">
        <v>Onbekend</v>
      </c>
      <c r="M402" t="str">
        <v>Onbekend</v>
      </c>
      <c r="N402">
        <v>605000</v>
      </c>
      <c r="O402" t="str">
        <v>v.o.n.</v>
      </c>
      <c r="P402">
        <v>129</v>
      </c>
      <c r="Q402">
        <v>4690</v>
      </c>
      <c r="R402">
        <v>171</v>
      </c>
      <c r="S402" t="str">
        <v>A+++</v>
      </c>
      <c r="T402">
        <v>6</v>
      </c>
      <c r="U402">
        <v>5</v>
      </c>
      <c r="V402" t="str">
        <v>Grondgebonden</v>
      </c>
      <c r="W402" t="str">
        <v>Tussenwoning</v>
      </c>
      <c r="X402" t="str">
        <v>N.v.t.</v>
      </c>
      <c r="Y402" t="str">
        <v>Ja</v>
      </c>
      <c r="Z402" t="str">
        <v>eigen parkeerplaats</v>
      </c>
      <c r="AA402" t="str">
        <v>2026</v>
      </c>
      <c r="AB402" t="str">
        <v>Nee</v>
      </c>
      <c r="AC402" t="str">
        <v>NEE</v>
      </c>
      <c r="AD402" t="str">
        <v>JA</v>
      </c>
    </row>
    <row r="403">
      <c r="A403" t="str">
        <v>44429893</v>
      </c>
      <c r="B403" t="str">
        <v>https://www.funda.nl/detail/koop/maassluis/huis-tussenwoning-bouwnr-22/44429893/</v>
      </c>
      <c r="C403" t="str">
        <v>De Oevers - Wilgenrijk | IN VERKOOP</v>
      </c>
      <c r="D403" t="str">
        <v>Tussenwoning</v>
      </c>
      <c r="E403" t="str">
        <v>22</v>
      </c>
      <c r="F403" t="str">
        <v>3147 NA</v>
      </c>
      <c r="G403" t="str">
        <v>Maassluis</v>
      </c>
      <c r="H403" t="str">
        <v>Maassluis</v>
      </c>
      <c r="I403" t="str">
        <v>Zuid-Holland</v>
      </c>
      <c r="J403" t="str">
        <v>West-Nederland</v>
      </c>
      <c r="K403" t="str">
        <v>Te koop</v>
      </c>
      <c r="L403" t="str">
        <v>Onbekend</v>
      </c>
      <c r="M403" t="str">
        <v>Onbekend</v>
      </c>
      <c r="N403">
        <v>599500</v>
      </c>
      <c r="O403" t="str">
        <v>v.o.n.</v>
      </c>
      <c r="P403">
        <v>129</v>
      </c>
      <c r="Q403">
        <v>4647</v>
      </c>
      <c r="R403">
        <v>212</v>
      </c>
      <c r="S403" t="str">
        <v>A+++</v>
      </c>
      <c r="T403">
        <v>6</v>
      </c>
      <c r="U403">
        <v>5</v>
      </c>
      <c r="V403" t="str">
        <v>Grondgebonden</v>
      </c>
      <c r="W403" t="str">
        <v>Tussenwoning</v>
      </c>
      <c r="X403" t="str">
        <v>N.v.t.</v>
      </c>
      <c r="Y403" t="str">
        <v>Ja</v>
      </c>
      <c r="Z403" t="str">
        <v>eigen parkeerplaats</v>
      </c>
      <c r="AA403" t="str">
        <v>2026</v>
      </c>
      <c r="AB403" t="str">
        <v>Nee</v>
      </c>
      <c r="AC403" t="str">
        <v>NEE</v>
      </c>
      <c r="AD403" t="str">
        <v>JA</v>
      </c>
    </row>
    <row r="404">
      <c r="A404" t="str">
        <v>44429882</v>
      </c>
      <c r="B404" t="str">
        <v>https://www.funda.nl/detail/koop/maassluis/huis-tussenwoning-bouwnr-21/44429882/</v>
      </c>
      <c r="C404" t="str">
        <v>De Oevers - Wilgenrijk | IN VERKOOP</v>
      </c>
      <c r="D404" t="str">
        <v>Tussenwoning</v>
      </c>
      <c r="E404" t="str">
        <v>21</v>
      </c>
      <c r="F404" t="str">
        <v>3147 NA</v>
      </c>
      <c r="G404" t="str">
        <v>Maassluis</v>
      </c>
      <c r="H404" t="str">
        <v>Maassluis</v>
      </c>
      <c r="I404" t="str">
        <v>Zuid-Holland</v>
      </c>
      <c r="J404" t="str">
        <v>West-Nederland</v>
      </c>
      <c r="K404" t="str">
        <v>Te koop</v>
      </c>
      <c r="L404" t="str">
        <v>Onbekend</v>
      </c>
      <c r="M404" t="str">
        <v>Onbekend</v>
      </c>
      <c r="N404">
        <v>599500</v>
      </c>
      <c r="O404" t="str">
        <v>v.o.n.</v>
      </c>
      <c r="P404">
        <v>129</v>
      </c>
      <c r="Q404">
        <v>4647</v>
      </c>
      <c r="R404">
        <v>214</v>
      </c>
      <c r="S404" t="str">
        <v>A+++</v>
      </c>
      <c r="T404">
        <v>6</v>
      </c>
      <c r="U404">
        <v>5</v>
      </c>
      <c r="V404" t="str">
        <v>Grondgebonden</v>
      </c>
      <c r="W404" t="str">
        <v>Tussenwoning</v>
      </c>
      <c r="X404" t="str">
        <v>N.v.t.</v>
      </c>
      <c r="Y404" t="str">
        <v>Ja</v>
      </c>
      <c r="Z404" t="str">
        <v>eigen parkeerplaats</v>
      </c>
      <c r="AA404" t="str">
        <v>2026</v>
      </c>
      <c r="AB404" t="str">
        <v>Nee</v>
      </c>
      <c r="AC404" t="str">
        <v>NEE</v>
      </c>
      <c r="AD404" t="str">
        <v>JA</v>
      </c>
    </row>
    <row r="405">
      <c r="A405" t="str">
        <v>44429881</v>
      </c>
      <c r="B405" t="str">
        <v>https://www.funda.nl/detail/koop/maassluis/huis-tussenwoning-bouwnr-23/44429881/</v>
      </c>
      <c r="C405" t="str">
        <v>De Oevers - Wilgenrijk | IN VERKOOP</v>
      </c>
      <c r="D405" t="str">
        <v>Tussenwoning</v>
      </c>
      <c r="E405" t="str">
        <v>23</v>
      </c>
      <c r="F405" t="str">
        <v>3147 NA</v>
      </c>
      <c r="G405" t="str">
        <v>Maassluis</v>
      </c>
      <c r="H405" t="str">
        <v>Maassluis</v>
      </c>
      <c r="I405" t="str">
        <v>Zuid-Holland</v>
      </c>
      <c r="J405" t="str">
        <v>West-Nederland</v>
      </c>
      <c r="K405" t="str">
        <v>Te koop</v>
      </c>
      <c r="L405" t="str">
        <v>Onbekend</v>
      </c>
      <c r="M405" t="str">
        <v>Onbekend</v>
      </c>
      <c r="N405">
        <v>599500</v>
      </c>
      <c r="O405" t="str">
        <v>v.o.n.</v>
      </c>
      <c r="P405">
        <v>129</v>
      </c>
      <c r="Q405">
        <v>4647</v>
      </c>
      <c r="R405">
        <v>209</v>
      </c>
      <c r="S405" t="str">
        <v>A+++</v>
      </c>
      <c r="T405">
        <v>6</v>
      </c>
      <c r="U405">
        <v>5</v>
      </c>
      <c r="V405" t="str">
        <v>Grondgebonden</v>
      </c>
      <c r="W405" t="str">
        <v>Tussenwoning</v>
      </c>
      <c r="X405" t="str">
        <v>N.v.t.</v>
      </c>
      <c r="Y405" t="str">
        <v>Ja</v>
      </c>
      <c r="Z405" t="str">
        <v>eigen parkeerplaats</v>
      </c>
      <c r="AA405" t="str">
        <v>2026</v>
      </c>
      <c r="AB405" t="str">
        <v>Nee</v>
      </c>
      <c r="AC405" t="str">
        <v>NEE</v>
      </c>
      <c r="AD405" t="str">
        <v>JA</v>
      </c>
    </row>
    <row r="406">
      <c r="A406" t="str">
        <v>44429889</v>
      </c>
      <c r="B406" t="str">
        <v>https://www.funda.nl/detail/koop/maassluis/huis-tussenwoning-bouwnr-5/44429889/</v>
      </c>
      <c r="C406" t="str">
        <v>De Oevers - Wilgenrijk | IN VERKOOP</v>
      </c>
      <c r="D406" t="str">
        <v>Tussenwoning</v>
      </c>
      <c r="E406" t="str">
        <v>5</v>
      </c>
      <c r="F406" t="str">
        <v>3147 NA</v>
      </c>
      <c r="G406" t="str">
        <v>Maassluis</v>
      </c>
      <c r="H406" t="str">
        <v>Maassluis</v>
      </c>
      <c r="I406" t="str">
        <v>Zuid-Holland</v>
      </c>
      <c r="J406" t="str">
        <v>West-Nederland</v>
      </c>
      <c r="K406" t="str">
        <v>Te koop</v>
      </c>
      <c r="L406" t="str">
        <v>Onbekend</v>
      </c>
      <c r="M406" t="str">
        <v>Onbekend</v>
      </c>
      <c r="N406">
        <v>609500</v>
      </c>
      <c r="O406" t="str">
        <v>v.o.n.</v>
      </c>
      <c r="P406">
        <v>129</v>
      </c>
      <c r="Q406">
        <v>4725</v>
      </c>
      <c r="R406">
        <v>199</v>
      </c>
      <c r="S406" t="str">
        <v>A+++</v>
      </c>
      <c r="T406">
        <v>6</v>
      </c>
      <c r="U406">
        <v>5</v>
      </c>
      <c r="V406" t="str">
        <v>Grondgebonden</v>
      </c>
      <c r="W406" t="str">
        <v>Tussenwoning</v>
      </c>
      <c r="X406" t="str">
        <v>N.v.t.</v>
      </c>
      <c r="Y406" t="str">
        <v>Ja</v>
      </c>
      <c r="Z406" t="str">
        <v>eigen parkeerplaats</v>
      </c>
      <c r="AA406" t="str">
        <v>2026</v>
      </c>
      <c r="AB406" t="str">
        <v>Nee</v>
      </c>
      <c r="AC406" t="str">
        <v>NEE</v>
      </c>
      <c r="AD406" t="str">
        <v>JA</v>
      </c>
    </row>
    <row r="407">
      <c r="A407" t="str">
        <v>44429887</v>
      </c>
      <c r="B407" t="str">
        <v>https://www.funda.nl/detail/koop/maassluis/huis-tussenwoning-bouwnr-9/44429887/</v>
      </c>
      <c r="C407" t="str">
        <v>De Oevers - Wilgenrijk | IN VERKOOP</v>
      </c>
      <c r="D407" t="str">
        <v>Tussenwoning</v>
      </c>
      <c r="E407" t="str">
        <v>9</v>
      </c>
      <c r="F407" t="str">
        <v>3147 NA</v>
      </c>
      <c r="G407" t="str">
        <v>Maassluis</v>
      </c>
      <c r="H407" t="str">
        <v>Maassluis</v>
      </c>
      <c r="I407" t="str">
        <v>Zuid-Holland</v>
      </c>
      <c r="J407" t="str">
        <v>West-Nederland</v>
      </c>
      <c r="K407" t="str">
        <v>Te koop</v>
      </c>
      <c r="L407" t="str">
        <v>Onbekend</v>
      </c>
      <c r="M407" t="str">
        <v>Onbekend</v>
      </c>
      <c r="N407">
        <v>607500</v>
      </c>
      <c r="O407" t="str">
        <v>v.o.n.</v>
      </c>
      <c r="P407">
        <v>129</v>
      </c>
      <c r="Q407">
        <v>4709</v>
      </c>
      <c r="R407">
        <v>186</v>
      </c>
      <c r="S407" t="str">
        <v>A+++</v>
      </c>
      <c r="T407">
        <v>6</v>
      </c>
      <c r="U407">
        <v>5</v>
      </c>
      <c r="V407" t="str">
        <v>Grondgebonden</v>
      </c>
      <c r="W407" t="str">
        <v>Tussenwoning</v>
      </c>
      <c r="X407" t="str">
        <v>N.v.t.</v>
      </c>
      <c r="Y407" t="str">
        <v>Ja</v>
      </c>
      <c r="Z407" t="str">
        <v>eigen parkeerplaats</v>
      </c>
      <c r="AA407" t="str">
        <v>2026</v>
      </c>
      <c r="AB407" t="str">
        <v>Nee</v>
      </c>
      <c r="AC407" t="str">
        <v>NEE</v>
      </c>
      <c r="AD407" t="str">
        <v>JA</v>
      </c>
    </row>
    <row r="408">
      <c r="A408" t="str">
        <v>44429886</v>
      </c>
      <c r="B408" t="str">
        <v>https://www.funda.nl/detail/koop/maassluis/huis-tussenwoning-bouwnr-10/44429886/</v>
      </c>
      <c r="C408" t="str">
        <v>De Oevers - Wilgenrijk | IN VERKOOP</v>
      </c>
      <c r="D408" t="str">
        <v>Tussenwoning</v>
      </c>
      <c r="E408" t="str">
        <v>10</v>
      </c>
      <c r="F408" t="str">
        <v>3147 NA</v>
      </c>
      <c r="G408" t="str">
        <v>Maassluis</v>
      </c>
      <c r="H408" t="str">
        <v>Maassluis</v>
      </c>
      <c r="I408" t="str">
        <v>Zuid-Holland</v>
      </c>
      <c r="J408" t="str">
        <v>West-Nederland</v>
      </c>
      <c r="K408" t="str">
        <v>Te koop</v>
      </c>
      <c r="L408" t="str">
        <v>Onbekend</v>
      </c>
      <c r="M408" t="str">
        <v>Onbekend</v>
      </c>
      <c r="N408">
        <v>607500</v>
      </c>
      <c r="O408" t="str">
        <v>v.o.n.</v>
      </c>
      <c r="P408">
        <v>129</v>
      </c>
      <c r="Q408">
        <v>4709</v>
      </c>
      <c r="R408">
        <v>187</v>
      </c>
      <c r="S408" t="str">
        <v>A+++</v>
      </c>
      <c r="T408">
        <v>6</v>
      </c>
      <c r="U408">
        <v>5</v>
      </c>
      <c r="V408" t="str">
        <v>Grondgebonden</v>
      </c>
      <c r="W408" t="str">
        <v>Tussenwoning</v>
      </c>
      <c r="X408" t="str">
        <v>N.v.t.</v>
      </c>
      <c r="Y408" t="str">
        <v>Ja</v>
      </c>
      <c r="Z408" t="str">
        <v>eigen parkeerplaats</v>
      </c>
      <c r="AA408" t="str">
        <v>2026</v>
      </c>
      <c r="AB408" t="str">
        <v>Nee</v>
      </c>
      <c r="AC408" t="str">
        <v>NEE</v>
      </c>
      <c r="AD408" t="str">
        <v>JA</v>
      </c>
    </row>
    <row r="409">
      <c r="A409" t="str">
        <v>44429885</v>
      </c>
      <c r="B409" t="str">
        <v>https://www.funda.nl/detail/koop/maassluis/huis-tussenwoning-bouwnr-6/44429885/</v>
      </c>
      <c r="C409" t="str">
        <v>De Oevers - Wilgenrijk | IN VERKOOP</v>
      </c>
      <c r="D409" t="str">
        <v>Tussenwoning</v>
      </c>
      <c r="E409" t="str">
        <v>6</v>
      </c>
      <c r="F409" t="str">
        <v>3147 NA</v>
      </c>
      <c r="G409" t="str">
        <v>Maassluis</v>
      </c>
      <c r="H409" t="str">
        <v>Maassluis</v>
      </c>
      <c r="I409" t="str">
        <v>Zuid-Holland</v>
      </c>
      <c r="J409" t="str">
        <v>West-Nederland</v>
      </c>
      <c r="K409" t="str">
        <v>Te koop</v>
      </c>
      <c r="L409" t="str">
        <v>Onbekend</v>
      </c>
      <c r="M409" t="str">
        <v>Onbekend</v>
      </c>
      <c r="N409">
        <v>609500</v>
      </c>
      <c r="O409" t="str">
        <v>v.o.n.</v>
      </c>
      <c r="P409">
        <v>129</v>
      </c>
      <c r="Q409">
        <v>4725</v>
      </c>
      <c r="R409">
        <v>195</v>
      </c>
      <c r="S409" t="str">
        <v>A+++</v>
      </c>
      <c r="T409">
        <v>6</v>
      </c>
      <c r="U409">
        <v>5</v>
      </c>
      <c r="V409" t="str">
        <v>Grondgebonden</v>
      </c>
      <c r="W409" t="str">
        <v>Tussenwoning</v>
      </c>
      <c r="X409" t="str">
        <v>N.v.t.</v>
      </c>
      <c r="Y409" t="str">
        <v>Ja</v>
      </c>
      <c r="Z409" t="str">
        <v>eigen parkeerplaats</v>
      </c>
      <c r="AA409" t="str">
        <v>2026</v>
      </c>
      <c r="AB409" t="str">
        <v>Nee</v>
      </c>
      <c r="AC409" t="str">
        <v>NEE</v>
      </c>
      <c r="AD409" t="str">
        <v>JA</v>
      </c>
    </row>
    <row r="410">
      <c r="A410" t="str">
        <v>44429883</v>
      </c>
      <c r="B410" t="str">
        <v>https://www.funda.nl/detail/koop/maassluis/huis-tussenwoning-bouwnr-16/44429883/</v>
      </c>
      <c r="C410" t="str">
        <v>De Oevers - Wilgenrijk | IN VERKOOP</v>
      </c>
      <c r="D410" t="str">
        <v>Tussenwoning</v>
      </c>
      <c r="E410" t="str">
        <v>16</v>
      </c>
      <c r="F410" t="str">
        <v>3147 NA</v>
      </c>
      <c r="G410" t="str">
        <v>Maassluis</v>
      </c>
      <c r="H410" t="str">
        <v>Maassluis</v>
      </c>
      <c r="I410" t="str">
        <v>Zuid-Holland</v>
      </c>
      <c r="J410" t="str">
        <v>West-Nederland</v>
      </c>
      <c r="K410" t="str">
        <v>Te koop</v>
      </c>
      <c r="L410" t="str">
        <v>Onbekend</v>
      </c>
      <c r="M410" t="str">
        <v>Onbekend</v>
      </c>
      <c r="N410">
        <v>605000</v>
      </c>
      <c r="O410" t="str">
        <v>v.o.n.</v>
      </c>
      <c r="P410">
        <v>129</v>
      </c>
      <c r="Q410">
        <v>4690</v>
      </c>
      <c r="R410">
        <v>172</v>
      </c>
      <c r="S410" t="str">
        <v>A+++</v>
      </c>
      <c r="T410">
        <v>6</v>
      </c>
      <c r="U410">
        <v>5</v>
      </c>
      <c r="V410" t="str">
        <v>Grondgebonden</v>
      </c>
      <c r="W410" t="str">
        <v>Tussenwoning</v>
      </c>
      <c r="X410" t="str">
        <v>N.v.t.</v>
      </c>
      <c r="Y410" t="str">
        <v>Ja</v>
      </c>
      <c r="Z410" t="str">
        <v>eigen parkeerplaats</v>
      </c>
      <c r="AA410" t="str">
        <v>2026</v>
      </c>
      <c r="AB410" t="str">
        <v>Nee</v>
      </c>
      <c r="AC410" t="str">
        <v>NEE</v>
      </c>
      <c r="AD410" t="str">
        <v>JA</v>
      </c>
    </row>
    <row r="411">
      <c r="A411" t="str">
        <v>44429872</v>
      </c>
      <c r="B411" t="str">
        <v>https://www.funda.nl/detail/koop/maassluis/huis-tussenwoning-bouwnr-17/44429872/</v>
      </c>
      <c r="C411" t="str">
        <v>De Oevers - Wilgenrijk | IN VERKOOP</v>
      </c>
      <c r="D411" t="str">
        <v>Tussenwoning</v>
      </c>
      <c r="E411" t="str">
        <v>17</v>
      </c>
      <c r="F411" t="str">
        <v>3147 NA</v>
      </c>
      <c r="G411" t="str">
        <v>Maassluis</v>
      </c>
      <c r="H411" t="str">
        <v>Maassluis</v>
      </c>
      <c r="I411" t="str">
        <v>Zuid-Holland</v>
      </c>
      <c r="J411" t="str">
        <v>West-Nederland</v>
      </c>
      <c r="K411" t="str">
        <v>Te koop</v>
      </c>
      <c r="L411" t="str">
        <v>Onbekend</v>
      </c>
      <c r="M411" t="str">
        <v>Onbekend</v>
      </c>
      <c r="N411">
        <v>605000</v>
      </c>
      <c r="O411" t="str">
        <v>v.o.n.</v>
      </c>
      <c r="P411">
        <v>129</v>
      </c>
      <c r="Q411">
        <v>4690</v>
      </c>
      <c r="R411">
        <v>172</v>
      </c>
      <c r="S411" t="str">
        <v>A+++</v>
      </c>
      <c r="T411">
        <v>6</v>
      </c>
      <c r="U411">
        <v>5</v>
      </c>
      <c r="V411" t="str">
        <v>Grondgebonden</v>
      </c>
      <c r="W411" t="str">
        <v>Tussenwoning</v>
      </c>
      <c r="X411" t="str">
        <v>N.v.t.</v>
      </c>
      <c r="Y411" t="str">
        <v>Ja</v>
      </c>
      <c r="Z411" t="str">
        <v>eigen parkeerplaats</v>
      </c>
      <c r="AA411" t="str">
        <v>2026</v>
      </c>
      <c r="AB411" t="str">
        <v>Nee</v>
      </c>
      <c r="AC411" t="str">
        <v>NEE</v>
      </c>
      <c r="AD411" t="str">
        <v>JA</v>
      </c>
    </row>
    <row r="412">
      <c r="A412" t="str">
        <v>44429821</v>
      </c>
      <c r="B412" t="str">
        <v>https://www.funda.nl/detail/koop/maassluis/huis-twee-onder-een-kapwoning-type-2-bouwnr-43/44429821/</v>
      </c>
      <c r="C412" t="str">
        <v>De Oevers - Wilgenrijk | IN VERKOOP</v>
      </c>
      <c r="D412" t="str">
        <v>Twee-onder-een-kapwoning type 2</v>
      </c>
      <c r="E412" t="str">
        <v>43</v>
      </c>
      <c r="F412" t="str">
        <v>3147 NA</v>
      </c>
      <c r="G412" t="str">
        <v>Maassluis</v>
      </c>
      <c r="H412" t="str">
        <v>Maassluis</v>
      </c>
      <c r="I412" t="str">
        <v>Zuid-Holland</v>
      </c>
      <c r="J412" t="str">
        <v>West-Nederland</v>
      </c>
      <c r="K412" t="str">
        <v>Te koop</v>
      </c>
      <c r="L412" t="str">
        <v>Onbekend</v>
      </c>
      <c r="M412" t="str">
        <v>Onbekend</v>
      </c>
      <c r="N412">
        <v>885000</v>
      </c>
      <c r="O412" t="str">
        <v>v.o.n.</v>
      </c>
      <c r="P412">
        <v>181</v>
      </c>
      <c r="Q412">
        <v>4890</v>
      </c>
      <c r="R412">
        <v>355</v>
      </c>
      <c r="S412" t="str">
        <v>A+++</v>
      </c>
      <c r="T412">
        <v>6</v>
      </c>
      <c r="U412">
        <v>5</v>
      </c>
      <c r="V412" t="str">
        <v>Grondgebonden</v>
      </c>
      <c r="W412" t="str">
        <v>2-onder-1-kapwoning</v>
      </c>
      <c r="X412" t="str">
        <v>N.v.t.</v>
      </c>
      <c r="Y412" t="str">
        <v>Ja</v>
      </c>
      <c r="Z412" t="str">
        <v>eigen parkeerplaats</v>
      </c>
      <c r="AA412" t="str">
        <v>2026</v>
      </c>
      <c r="AB412" t="str">
        <v>Nee</v>
      </c>
      <c r="AC412" t="str">
        <v>NEE</v>
      </c>
      <c r="AD412" t="str">
        <v>JA</v>
      </c>
    </row>
    <row r="413">
      <c r="A413" t="str">
        <v>44429820</v>
      </c>
      <c r="B413" t="str">
        <v>https://www.funda.nl/detail/koop/maassluis/huis-twee-onder-een-kapwoning-type-2-bouwnr-45/44429820/</v>
      </c>
      <c r="C413" t="str">
        <v>De Oevers - Wilgenrijk | IN VERKOOP</v>
      </c>
      <c r="D413" t="str">
        <v>Twee-onder-een-kapwoning type 2</v>
      </c>
      <c r="E413" t="str">
        <v>45</v>
      </c>
      <c r="F413" t="str">
        <v>3147 NA</v>
      </c>
      <c r="G413" t="str">
        <v>Maassluis</v>
      </c>
      <c r="H413" t="str">
        <v>Maassluis</v>
      </c>
      <c r="I413" t="str">
        <v>Zuid-Holland</v>
      </c>
      <c r="J413" t="str">
        <v>West-Nederland</v>
      </c>
      <c r="K413" t="str">
        <v>Te koop</v>
      </c>
      <c r="L413" t="str">
        <v>Onbekend</v>
      </c>
      <c r="M413" t="str">
        <v>Onbekend</v>
      </c>
      <c r="N413">
        <v>887500</v>
      </c>
      <c r="O413" t="str">
        <v>v.o.n.</v>
      </c>
      <c r="P413">
        <v>181</v>
      </c>
      <c r="Q413">
        <v>4903</v>
      </c>
      <c r="R413">
        <v>349</v>
      </c>
      <c r="S413" t="str">
        <v>A+++</v>
      </c>
      <c r="T413">
        <v>6</v>
      </c>
      <c r="U413">
        <v>5</v>
      </c>
      <c r="V413" t="str">
        <v>Grondgebonden</v>
      </c>
      <c r="W413" t="str">
        <v>2-onder-1-kapwoning</v>
      </c>
      <c r="X413" t="str">
        <v>N.v.t.</v>
      </c>
      <c r="Y413" t="str">
        <v>Ja</v>
      </c>
      <c r="Z413" t="str">
        <v>eigen parkeerplaats</v>
      </c>
      <c r="AA413" t="str">
        <v>2026</v>
      </c>
      <c r="AB413" t="str">
        <v>Nee</v>
      </c>
      <c r="AC413" t="str">
        <v>NEE</v>
      </c>
      <c r="AD413" t="str">
        <v>JA</v>
      </c>
    </row>
    <row r="414">
      <c r="A414" t="str">
        <v>44429829</v>
      </c>
      <c r="B414" t="str">
        <v>https://www.funda.nl/detail/koop/maassluis/huis-twee-onder-een-kapwoning-type-2-bouwnr-42/44429829/</v>
      </c>
      <c r="C414" t="str">
        <v>De Oevers - Wilgenrijk | IN VERKOOP</v>
      </c>
      <c r="D414" t="str">
        <v>Twee-onder-een-kapwoning type 2</v>
      </c>
      <c r="E414" t="str">
        <v>42</v>
      </c>
      <c r="F414" t="str">
        <v>3147 NA</v>
      </c>
      <c r="G414" t="str">
        <v>Maassluis</v>
      </c>
      <c r="H414" t="str">
        <v>Maassluis</v>
      </c>
      <c r="I414" t="str">
        <v>Zuid-Holland</v>
      </c>
      <c r="J414" t="str">
        <v>West-Nederland</v>
      </c>
      <c r="K414" t="str">
        <v>Te koop</v>
      </c>
      <c r="L414" t="str">
        <v>Onbekend</v>
      </c>
      <c r="M414" t="str">
        <v>Onbekend</v>
      </c>
      <c r="N414">
        <v>885000</v>
      </c>
      <c r="O414" t="str">
        <v>v.o.n.</v>
      </c>
      <c r="P414">
        <v>179</v>
      </c>
      <c r="Q414">
        <v>4944</v>
      </c>
      <c r="R414">
        <v>345</v>
      </c>
      <c r="S414" t="str">
        <v>A+++</v>
      </c>
      <c r="T414">
        <v>6</v>
      </c>
      <c r="U414">
        <v>5</v>
      </c>
      <c r="V414" t="str">
        <v>Grondgebonden</v>
      </c>
      <c r="W414" t="str">
        <v>2-onder-1-kapwoning</v>
      </c>
      <c r="X414" t="str">
        <v>N.v.t.</v>
      </c>
      <c r="Y414" t="str">
        <v>Ja</v>
      </c>
      <c r="Z414" t="str">
        <v>eigen parkeerplaats</v>
      </c>
      <c r="AA414" t="str">
        <v>2026</v>
      </c>
      <c r="AB414" t="str">
        <v>Nee</v>
      </c>
      <c r="AC414" t="str">
        <v>NEE</v>
      </c>
      <c r="AD414" t="str">
        <v>JA</v>
      </c>
    </row>
    <row r="415">
      <c r="A415" t="str">
        <v>44429828</v>
      </c>
      <c r="B415" t="str">
        <v>https://www.funda.nl/detail/koop/maassluis/huis-twee-onder-een-kapwoning-type-3-bouwnr-52/44429828/</v>
      </c>
      <c r="C415" t="str">
        <v>De Oevers - Wilgenrijk | IN VERKOOP</v>
      </c>
      <c r="D415" t="str">
        <v>Twee-onder-een-kapwoning type 3</v>
      </c>
      <c r="E415" t="str">
        <v>52</v>
      </c>
      <c r="F415" t="str">
        <v>3147 NA</v>
      </c>
      <c r="G415" t="str">
        <v>Maassluis</v>
      </c>
      <c r="H415" t="str">
        <v>Maassluis</v>
      </c>
      <c r="I415" t="str">
        <v>Zuid-Holland</v>
      </c>
      <c r="J415" t="str">
        <v>West-Nederland</v>
      </c>
      <c r="K415" t="str">
        <v>Te koop</v>
      </c>
      <c r="L415" t="str">
        <v>Onbekend</v>
      </c>
      <c r="M415" t="str">
        <v>Onbekend</v>
      </c>
      <c r="N415">
        <v>930000</v>
      </c>
      <c r="O415" t="str">
        <v>v.o.n.</v>
      </c>
      <c r="P415">
        <v>170</v>
      </c>
      <c r="Q415">
        <v>5471</v>
      </c>
      <c r="R415">
        <v>569</v>
      </c>
      <c r="S415" t="str">
        <v>A+++</v>
      </c>
      <c r="T415">
        <v>6</v>
      </c>
      <c r="U415">
        <v>5</v>
      </c>
      <c r="V415" t="str">
        <v>Grondgebonden</v>
      </c>
      <c r="W415" t="str">
        <v>2-onder-1-kapwoning</v>
      </c>
      <c r="X415" t="str">
        <v>N.v.t.</v>
      </c>
      <c r="Y415" t="str">
        <v>Ja</v>
      </c>
      <c r="Z415" t="str">
        <v>eigen parkeerplaats</v>
      </c>
      <c r="AA415" t="str">
        <v>2026</v>
      </c>
      <c r="AB415" t="str">
        <v>Nee</v>
      </c>
      <c r="AC415" t="str">
        <v>NEE</v>
      </c>
      <c r="AD415" t="str">
        <v>JA</v>
      </c>
    </row>
    <row r="416">
      <c r="A416" t="str">
        <v>44429825</v>
      </c>
      <c r="B416" t="str">
        <v>https://www.funda.nl/detail/koop/maassluis/huis-twee-onder-een-kapwoning-type-2-bouwnr-50/44429825/</v>
      </c>
      <c r="C416" t="str">
        <v>De Oevers - Wilgenrijk | IN VERKOOP</v>
      </c>
      <c r="D416" t="str">
        <v>Twee-onder-een-kapwoning type 2</v>
      </c>
      <c r="E416" t="str">
        <v>50</v>
      </c>
      <c r="F416" t="str">
        <v>3147 NA</v>
      </c>
      <c r="G416" t="str">
        <v>Maassluis</v>
      </c>
      <c r="H416" t="str">
        <v>Maassluis</v>
      </c>
      <c r="I416" t="str">
        <v>Zuid-Holland</v>
      </c>
      <c r="J416" t="str">
        <v>West-Nederland</v>
      </c>
      <c r="K416" t="str">
        <v>Te koop</v>
      </c>
      <c r="L416" t="str">
        <v>2026-07-06</v>
      </c>
      <c r="M416">
        <v>7</v>
      </c>
      <c r="N416">
        <v>899500</v>
      </c>
      <c r="O416" t="str">
        <v>v.o.n.</v>
      </c>
      <c r="P416">
        <v>181</v>
      </c>
      <c r="Q416">
        <v>4970</v>
      </c>
      <c r="R416">
        <v>395</v>
      </c>
      <c r="S416" t="str">
        <v>A+++</v>
      </c>
      <c r="T416">
        <v>6</v>
      </c>
      <c r="U416">
        <v>5</v>
      </c>
      <c r="V416" t="str">
        <v>Grondgebonden</v>
      </c>
      <c r="W416" t="str">
        <v>2-onder-1-kapwoning</v>
      </c>
      <c r="X416" t="str">
        <v>N.v.t.</v>
      </c>
      <c r="Y416" t="str">
        <v>Ja</v>
      </c>
      <c r="Z416" t="str">
        <v>eigen parkeerplaats</v>
      </c>
      <c r="AA416" t="str">
        <v>2026</v>
      </c>
      <c r="AB416" t="str">
        <v>Nee</v>
      </c>
      <c r="AC416" t="str">
        <v>NEE</v>
      </c>
      <c r="AD416" t="str">
        <v>JA</v>
      </c>
    </row>
    <row r="417">
      <c r="A417" t="str">
        <v>44429824</v>
      </c>
      <c r="B417" t="str">
        <v>https://www.funda.nl/detail/koop/maassluis/huis-twee-onder-een-kapwoning-type-2-bouwnr-51/44429824/</v>
      </c>
      <c r="C417" t="str">
        <v>De Oevers - Wilgenrijk | IN VERKOOP</v>
      </c>
      <c r="D417" t="str">
        <v>Twee-onder-een-kapwoning type 2</v>
      </c>
      <c r="E417" t="str">
        <v>51</v>
      </c>
      <c r="F417" t="str">
        <v>3147 NA</v>
      </c>
      <c r="G417" t="str">
        <v>Maassluis</v>
      </c>
      <c r="H417" t="str">
        <v>Maassluis</v>
      </c>
      <c r="I417" t="str">
        <v>Zuid-Holland</v>
      </c>
      <c r="J417" t="str">
        <v>West-Nederland</v>
      </c>
      <c r="K417" t="str">
        <v>Te koop</v>
      </c>
      <c r="L417" t="str">
        <v>Onbekend</v>
      </c>
      <c r="M417" t="str">
        <v>Onbekend</v>
      </c>
      <c r="N417">
        <v>910000</v>
      </c>
      <c r="O417" t="str">
        <v>v.o.n.</v>
      </c>
      <c r="P417">
        <v>179</v>
      </c>
      <c r="Q417">
        <v>5084</v>
      </c>
      <c r="R417">
        <v>474</v>
      </c>
      <c r="S417" t="str">
        <v>A+++</v>
      </c>
      <c r="T417">
        <v>6</v>
      </c>
      <c r="U417">
        <v>5</v>
      </c>
      <c r="V417" t="str">
        <v>Grondgebonden</v>
      </c>
      <c r="W417" t="str">
        <v>2-onder-1-kapwoning</v>
      </c>
      <c r="X417" t="str">
        <v>N.v.t.</v>
      </c>
      <c r="Y417" t="str">
        <v>Ja</v>
      </c>
      <c r="Z417" t="str">
        <v>eigen parkeerplaats</v>
      </c>
      <c r="AA417" t="str">
        <v>2026</v>
      </c>
      <c r="AB417" t="str">
        <v>Nee</v>
      </c>
      <c r="AC417" t="str">
        <v>NEE</v>
      </c>
      <c r="AD417" t="str">
        <v>JA</v>
      </c>
    </row>
    <row r="418">
      <c r="A418" t="str">
        <v>44429823</v>
      </c>
      <c r="B418" t="str">
        <v>https://www.funda.nl/detail/koop/maassluis/huis-hoekwoning-type-2-bouwnr-40/44429823/</v>
      </c>
      <c r="C418" t="str">
        <v>De Oevers - Wilgenrijk | IN VERKOOP</v>
      </c>
      <c r="D418" t="str">
        <v>Hoekwoning type 2</v>
      </c>
      <c r="E418" t="str">
        <v>40</v>
      </c>
      <c r="F418" t="str">
        <v>3147 NA</v>
      </c>
      <c r="G418" t="str">
        <v>Maassluis</v>
      </c>
      <c r="H418" t="str">
        <v>Maassluis</v>
      </c>
      <c r="I418" t="str">
        <v>Zuid-Holland</v>
      </c>
      <c r="J418" t="str">
        <v>West-Nederland</v>
      </c>
      <c r="K418" t="str">
        <v>Te koop</v>
      </c>
      <c r="L418" t="str">
        <v>Onbekend</v>
      </c>
      <c r="M418" t="str">
        <v>Onbekend</v>
      </c>
      <c r="N418">
        <v>715000</v>
      </c>
      <c r="O418" t="str">
        <v>v.o.n.</v>
      </c>
      <c r="P418">
        <v>159</v>
      </c>
      <c r="Q418">
        <v>4497</v>
      </c>
      <c r="R418">
        <v>242</v>
      </c>
      <c r="S418" t="str">
        <v>A+++</v>
      </c>
      <c r="T418">
        <v>6</v>
      </c>
      <c r="U418">
        <v>5</v>
      </c>
      <c r="V418" t="str">
        <v>Grondgebonden</v>
      </c>
      <c r="W418" t="str">
        <v>Hoekwoning</v>
      </c>
      <c r="X418" t="str">
        <v>N.v.t.</v>
      </c>
      <c r="Y418" t="str">
        <v>Ja</v>
      </c>
      <c r="Z418" t="str">
        <v>eigen parkeerplaats</v>
      </c>
      <c r="AA418" t="str">
        <v>2026</v>
      </c>
      <c r="AB418" t="str">
        <v>Nee</v>
      </c>
      <c r="AC418" t="str">
        <v>NEE</v>
      </c>
      <c r="AD418" t="str">
        <v>JA</v>
      </c>
    </row>
    <row r="419">
      <c r="A419" t="str">
        <v>44429812</v>
      </c>
      <c r="B419" t="str">
        <v>https://www.funda.nl/detail/koop/maassluis/huis-hoekwoning-type-2-bouwnr-35/44429812/</v>
      </c>
      <c r="C419" t="str">
        <v>De Oevers - Wilgenrijk | IN VERKOOP</v>
      </c>
      <c r="D419" t="str">
        <v>Hoekwoning type 2</v>
      </c>
      <c r="E419" t="str">
        <v>35</v>
      </c>
      <c r="F419" t="str">
        <v>3147 NA</v>
      </c>
      <c r="G419" t="str">
        <v>Maassluis</v>
      </c>
      <c r="H419" t="str">
        <v>Maassluis</v>
      </c>
      <c r="I419" t="str">
        <v>Zuid-Holland</v>
      </c>
      <c r="J419" t="str">
        <v>West-Nederland</v>
      </c>
      <c r="K419" t="str">
        <v>Te koop</v>
      </c>
      <c r="L419" t="str">
        <v>Onbekend</v>
      </c>
      <c r="M419" t="str">
        <v>Onbekend</v>
      </c>
      <c r="N419">
        <v>740000</v>
      </c>
      <c r="O419" t="str">
        <v>v.o.n.</v>
      </c>
      <c r="P419">
        <v>164</v>
      </c>
      <c r="Q419">
        <v>4512</v>
      </c>
      <c r="R419">
        <v>264</v>
      </c>
      <c r="S419" t="str">
        <v>A+++</v>
      </c>
      <c r="T419">
        <v>6</v>
      </c>
      <c r="U419">
        <v>5</v>
      </c>
      <c r="V419" t="str">
        <v>Grondgebonden</v>
      </c>
      <c r="W419" t="str">
        <v>Hoekwoning</v>
      </c>
      <c r="X419" t="str">
        <v>N.v.t.</v>
      </c>
      <c r="Y419" t="str">
        <v>Ja</v>
      </c>
      <c r="Z419" t="str">
        <v>eigen parkeerplaats</v>
      </c>
      <c r="AA419" t="str">
        <v>2026</v>
      </c>
      <c r="AB419" t="str">
        <v>Nee</v>
      </c>
      <c r="AC419" t="str">
        <v>NEE</v>
      </c>
      <c r="AD419" t="str">
        <v>JA</v>
      </c>
    </row>
    <row r="420">
      <c r="A420" t="str">
        <v>44429811</v>
      </c>
      <c r="B420" t="str">
        <v>https://www.funda.nl/detail/koop/maassluis/huis-hoekwoning-type-2-bouwnr-19/44429811/</v>
      </c>
      <c r="C420" t="str">
        <v>De Oevers - Wilgenrijk | IN VERKOOP</v>
      </c>
      <c r="D420" t="str">
        <v>Hoekwoning type 2</v>
      </c>
      <c r="E420" t="str">
        <v>19</v>
      </c>
      <c r="F420" t="str">
        <v>3147 NA</v>
      </c>
      <c r="G420" t="str">
        <v>Maassluis</v>
      </c>
      <c r="H420" t="str">
        <v>Maassluis</v>
      </c>
      <c r="I420" t="str">
        <v>Zuid-Holland</v>
      </c>
      <c r="J420" t="str">
        <v>West-Nederland</v>
      </c>
      <c r="K420" t="str">
        <v>Te koop</v>
      </c>
      <c r="L420" t="str">
        <v>Onbekend</v>
      </c>
      <c r="M420" t="str">
        <v>Onbekend</v>
      </c>
      <c r="N420">
        <v>750000</v>
      </c>
      <c r="O420" t="str">
        <v>v.o.n.</v>
      </c>
      <c r="P420">
        <v>160</v>
      </c>
      <c r="Q420">
        <v>4688</v>
      </c>
      <c r="R420">
        <v>351</v>
      </c>
      <c r="S420" t="str">
        <v>A+++</v>
      </c>
      <c r="T420">
        <v>6</v>
      </c>
      <c r="U420">
        <v>5</v>
      </c>
      <c r="V420" t="str">
        <v>Grondgebonden</v>
      </c>
      <c r="W420" t="str">
        <v>Hoekwoning</v>
      </c>
      <c r="X420" t="str">
        <v>N.v.t.</v>
      </c>
      <c r="Y420" t="str">
        <v>Ja</v>
      </c>
      <c r="Z420" t="str">
        <v>eigen parkeerplaats</v>
      </c>
      <c r="AA420" t="str">
        <v>2026</v>
      </c>
      <c r="AB420" t="str">
        <v>Nee</v>
      </c>
      <c r="AC420" t="str">
        <v>NEE</v>
      </c>
      <c r="AD420" t="str">
        <v>JA</v>
      </c>
    </row>
    <row r="421">
      <c r="A421" t="str">
        <v>44429810</v>
      </c>
      <c r="B421" t="str">
        <v>https://www.funda.nl/detail/koop/maassluis/huis-hoekwoning-type-2-bouwnr-30/44429810/</v>
      </c>
      <c r="C421" t="str">
        <v>De Oevers - Wilgenrijk | IN VERKOOP</v>
      </c>
      <c r="D421" t="str">
        <v>Hoekwoning type 2</v>
      </c>
      <c r="E421" t="str">
        <v>30</v>
      </c>
      <c r="F421" t="str">
        <v>3147 NA</v>
      </c>
      <c r="G421" t="str">
        <v>Maassluis</v>
      </c>
      <c r="H421" t="str">
        <v>Maassluis</v>
      </c>
      <c r="I421" t="str">
        <v>Zuid-Holland</v>
      </c>
      <c r="J421" t="str">
        <v>West-Nederland</v>
      </c>
      <c r="K421" t="str">
        <v>Te koop</v>
      </c>
      <c r="L421" t="str">
        <v>Onbekend</v>
      </c>
      <c r="M421" t="str">
        <v>Onbekend</v>
      </c>
      <c r="N421">
        <v>735000</v>
      </c>
      <c r="O421" t="str">
        <v>v.o.n.</v>
      </c>
      <c r="P421">
        <v>163</v>
      </c>
      <c r="Q421">
        <v>4509</v>
      </c>
      <c r="R421">
        <v>280</v>
      </c>
      <c r="S421" t="str">
        <v>A+++</v>
      </c>
      <c r="T421">
        <v>6</v>
      </c>
      <c r="U421">
        <v>5</v>
      </c>
      <c r="V421" t="str">
        <v>Grondgebonden</v>
      </c>
      <c r="W421" t="str">
        <v>Hoekwoning</v>
      </c>
      <c r="X421" t="str">
        <v>N.v.t.</v>
      </c>
      <c r="Y421" t="str">
        <v>Ja</v>
      </c>
      <c r="Z421" t="str">
        <v>eigen parkeerplaats</v>
      </c>
      <c r="AA421" t="str">
        <v>2026</v>
      </c>
      <c r="AB421" t="str">
        <v>Nee</v>
      </c>
      <c r="AC421" t="str">
        <v>NEE</v>
      </c>
      <c r="AD421" t="str">
        <v>JA</v>
      </c>
    </row>
    <row r="422">
      <c r="A422" t="str">
        <v>44429819</v>
      </c>
      <c r="B422" t="str">
        <v>https://www.funda.nl/detail/koop/maassluis/huis-hoekwoning-type-2-bouwnr-20/44429819/</v>
      </c>
      <c r="C422" t="str">
        <v>De Oevers - Wilgenrijk | IN VERKOOP</v>
      </c>
      <c r="D422" t="str">
        <v>Hoekwoning type 2</v>
      </c>
      <c r="E422" t="str">
        <v>20</v>
      </c>
      <c r="F422" t="str">
        <v>3147 NA</v>
      </c>
      <c r="G422" t="str">
        <v>Maassluis</v>
      </c>
      <c r="H422" t="str">
        <v>Maassluis</v>
      </c>
      <c r="I422" t="str">
        <v>Zuid-Holland</v>
      </c>
      <c r="J422" t="str">
        <v>West-Nederland</v>
      </c>
      <c r="K422" t="str">
        <v>Te koop</v>
      </c>
      <c r="L422" t="str">
        <v>Onbekend</v>
      </c>
      <c r="M422" t="str">
        <v>Onbekend</v>
      </c>
      <c r="N422">
        <v>740000</v>
      </c>
      <c r="O422" t="str">
        <v>v.o.n.</v>
      </c>
      <c r="P422">
        <v>164</v>
      </c>
      <c r="Q422">
        <v>4512</v>
      </c>
      <c r="R422">
        <v>324</v>
      </c>
      <c r="S422" t="str">
        <v>A+++</v>
      </c>
      <c r="T422">
        <v>6</v>
      </c>
      <c r="U422">
        <v>5</v>
      </c>
      <c r="V422" t="str">
        <v>Grondgebonden</v>
      </c>
      <c r="W422" t="str">
        <v>Hoekwoning</v>
      </c>
      <c r="X422" t="str">
        <v>N.v.t.</v>
      </c>
      <c r="Y422" t="str">
        <v>Ja</v>
      </c>
      <c r="Z422" t="str">
        <v>eigen parkeerplaats</v>
      </c>
      <c r="AA422" t="str">
        <v>2026</v>
      </c>
      <c r="AB422" t="str">
        <v>Nee</v>
      </c>
      <c r="AC422" t="str">
        <v>NEE</v>
      </c>
      <c r="AD422" t="str">
        <v>JA</v>
      </c>
    </row>
    <row r="423">
      <c r="A423" t="str">
        <v>44429817</v>
      </c>
      <c r="B423" t="str">
        <v>https://www.funda.nl/detail/koop/maassluis/huis-hoekwoning-type-2-bouwnr-15/44429817/</v>
      </c>
      <c r="C423" t="str">
        <v>De Oevers - Wilgenrijk | IN VERKOOP</v>
      </c>
      <c r="D423" t="str">
        <v>Hoekwoning type 2</v>
      </c>
      <c r="E423" t="str">
        <v>15</v>
      </c>
      <c r="F423" t="str">
        <v>3147 NA</v>
      </c>
      <c r="G423" t="str">
        <v>Maassluis</v>
      </c>
      <c r="H423" t="str">
        <v>Maassluis</v>
      </c>
      <c r="I423" t="str">
        <v>Zuid-Holland</v>
      </c>
      <c r="J423" t="str">
        <v>West-Nederland</v>
      </c>
      <c r="K423" t="str">
        <v>Te koop</v>
      </c>
      <c r="L423" t="str">
        <v>Onbekend</v>
      </c>
      <c r="M423" t="str">
        <v>Onbekend</v>
      </c>
      <c r="N423">
        <v>725000</v>
      </c>
      <c r="O423" t="str">
        <v>v.o.n.</v>
      </c>
      <c r="P423">
        <v>154</v>
      </c>
      <c r="Q423">
        <v>4708</v>
      </c>
      <c r="R423">
        <v>225</v>
      </c>
      <c r="S423" t="str">
        <v>A+++</v>
      </c>
      <c r="T423">
        <v>6</v>
      </c>
      <c r="U423">
        <v>5</v>
      </c>
      <c r="V423" t="str">
        <v>Grondgebonden</v>
      </c>
      <c r="W423" t="str">
        <v>Hoekwoning</v>
      </c>
      <c r="X423" t="str">
        <v>N.v.t.</v>
      </c>
      <c r="Y423" t="str">
        <v>Ja</v>
      </c>
      <c r="Z423" t="str">
        <v>eigen parkeerplaats</v>
      </c>
      <c r="AA423" t="str">
        <v>2026</v>
      </c>
      <c r="AB423" t="str">
        <v>Nee</v>
      </c>
      <c r="AC423" t="str">
        <v>NEE</v>
      </c>
      <c r="AD423" t="str">
        <v>JA</v>
      </c>
    </row>
    <row r="424">
      <c r="A424" t="str">
        <v>44429816</v>
      </c>
      <c r="B424" t="str">
        <v>https://www.funda.nl/detail/koop/maassluis/huis-hoekwoning-type-2-bouwnr-29/44429816/</v>
      </c>
      <c r="C424" t="str">
        <v>De Oevers - Wilgenrijk | IN VERKOOP</v>
      </c>
      <c r="D424" t="str">
        <v>Hoekwoning type 2</v>
      </c>
      <c r="E424" t="str">
        <v>29</v>
      </c>
      <c r="F424" t="str">
        <v>3147 NA</v>
      </c>
      <c r="G424" t="str">
        <v>Maassluis</v>
      </c>
      <c r="H424" t="str">
        <v>Maassluis</v>
      </c>
      <c r="I424" t="str">
        <v>Zuid-Holland</v>
      </c>
      <c r="J424" t="str">
        <v>West-Nederland</v>
      </c>
      <c r="K424" t="str">
        <v>Te koop</v>
      </c>
      <c r="L424" t="str">
        <v>Onbekend</v>
      </c>
      <c r="M424" t="str">
        <v>Onbekend</v>
      </c>
      <c r="N424">
        <v>745000</v>
      </c>
      <c r="O424" t="str">
        <v>v.o.n.</v>
      </c>
      <c r="P424">
        <v>164</v>
      </c>
      <c r="Q424">
        <v>4543</v>
      </c>
      <c r="R424">
        <v>351</v>
      </c>
      <c r="S424" t="str">
        <v>A+++</v>
      </c>
      <c r="T424">
        <v>6</v>
      </c>
      <c r="U424">
        <v>5</v>
      </c>
      <c r="V424" t="str">
        <v>Grondgebonden</v>
      </c>
      <c r="W424" t="str">
        <v>Hoekwoning</v>
      </c>
      <c r="X424" t="str">
        <v>N.v.t.</v>
      </c>
      <c r="Y424" t="str">
        <v>Ja</v>
      </c>
      <c r="Z424" t="str">
        <v>eigen parkeerplaats</v>
      </c>
      <c r="AA424" t="str">
        <v>2026</v>
      </c>
      <c r="AB424" t="str">
        <v>Nee</v>
      </c>
      <c r="AC424" t="str">
        <v>NEE</v>
      </c>
      <c r="AD424" t="str">
        <v>JA</v>
      </c>
    </row>
    <row r="425">
      <c r="A425" t="str">
        <v>44429815</v>
      </c>
      <c r="B425" t="str">
        <v>https://www.funda.nl/detail/koop/maassluis/huis-hoekwoning-type-2-bouwnr-37/44429815/</v>
      </c>
      <c r="C425" t="str">
        <v>De Oevers - Wilgenrijk | IN VERKOOP</v>
      </c>
      <c r="D425" t="str">
        <v>Hoekwoning type 2</v>
      </c>
      <c r="E425" t="str">
        <v>37</v>
      </c>
      <c r="F425" t="str">
        <v>3147 NA</v>
      </c>
      <c r="G425" t="str">
        <v>Maassluis</v>
      </c>
      <c r="H425" t="str">
        <v>Maassluis</v>
      </c>
      <c r="I425" t="str">
        <v>Zuid-Holland</v>
      </c>
      <c r="J425" t="str">
        <v>West-Nederland</v>
      </c>
      <c r="K425" t="str">
        <v>Te koop</v>
      </c>
      <c r="L425" t="str">
        <v>Onbekend</v>
      </c>
      <c r="M425" t="str">
        <v>Onbekend</v>
      </c>
      <c r="N425">
        <v>750000</v>
      </c>
      <c r="O425" t="str">
        <v>v.o.n.</v>
      </c>
      <c r="P425">
        <v>166</v>
      </c>
      <c r="Q425">
        <v>4518</v>
      </c>
      <c r="R425">
        <v>308</v>
      </c>
      <c r="S425" t="str">
        <v>A+++</v>
      </c>
      <c r="T425">
        <v>6</v>
      </c>
      <c r="U425">
        <v>5</v>
      </c>
      <c r="V425" t="str">
        <v>Grondgebonden</v>
      </c>
      <c r="W425" t="str">
        <v>Hoekwoning</v>
      </c>
      <c r="X425" t="str">
        <v>N.v.t.</v>
      </c>
      <c r="Y425" t="str">
        <v>Ja</v>
      </c>
      <c r="Z425" t="str">
        <v>eigen parkeerplaats</v>
      </c>
      <c r="AA425" t="str">
        <v>2026</v>
      </c>
      <c r="AB425" t="str">
        <v>Nee</v>
      </c>
      <c r="AC425" t="str">
        <v>NEE</v>
      </c>
      <c r="AD425" t="str">
        <v>JA</v>
      </c>
    </row>
    <row r="426">
      <c r="A426" t="str">
        <v>44429813</v>
      </c>
      <c r="B426" t="str">
        <v>https://www.funda.nl/detail/koop/maassluis/huis-hoekwoning-type-2-bouwnr-12/44429813/</v>
      </c>
      <c r="C426" t="str">
        <v>De Oevers - Wilgenrijk | IN VERKOOP</v>
      </c>
      <c r="D426" t="str">
        <v>Hoekwoning type 2</v>
      </c>
      <c r="E426" t="str">
        <v>12</v>
      </c>
      <c r="F426" t="str">
        <v>3147 NA</v>
      </c>
      <c r="G426" t="str">
        <v>Maassluis</v>
      </c>
      <c r="H426" t="str">
        <v>Maassluis</v>
      </c>
      <c r="I426" t="str">
        <v>Zuid-Holland</v>
      </c>
      <c r="J426" t="str">
        <v>West-Nederland</v>
      </c>
      <c r="K426" t="str">
        <v>Te koop</v>
      </c>
      <c r="L426" t="str">
        <v>Onbekend</v>
      </c>
      <c r="M426" t="str">
        <v>Onbekend</v>
      </c>
      <c r="N426">
        <v>740000</v>
      </c>
      <c r="O426" t="str">
        <v>v.o.n.</v>
      </c>
      <c r="P426">
        <v>166</v>
      </c>
      <c r="Q426">
        <v>4458</v>
      </c>
      <c r="R426">
        <v>269</v>
      </c>
      <c r="S426" t="str">
        <v>A+++</v>
      </c>
      <c r="T426">
        <v>6</v>
      </c>
      <c r="U426">
        <v>5</v>
      </c>
      <c r="V426" t="str">
        <v>Grondgebonden</v>
      </c>
      <c r="W426" t="str">
        <v>Hoekwoning</v>
      </c>
      <c r="X426" t="str">
        <v>N.v.t.</v>
      </c>
      <c r="Y426" t="str">
        <v>Ja</v>
      </c>
      <c r="Z426" t="str">
        <v>eigen parkeerplaats</v>
      </c>
      <c r="AA426" t="str">
        <v>2026</v>
      </c>
      <c r="AB426" t="str">
        <v>Nee</v>
      </c>
      <c r="AC426" t="str">
        <v>NEE</v>
      </c>
      <c r="AD426" t="str">
        <v>JA</v>
      </c>
    </row>
    <row r="427">
      <c r="A427" t="str">
        <v>44429802</v>
      </c>
      <c r="B427" t="str">
        <v>https://www.funda.nl/detail/koop/maassluis/huis-hoekwoning-type-2-bouwnr-14/44429802/</v>
      </c>
      <c r="C427" t="str">
        <v>De Oevers - Wilgenrijk | IN VERKOOP</v>
      </c>
      <c r="D427" t="str">
        <v>Hoekwoning type 2</v>
      </c>
      <c r="E427" t="str">
        <v>14</v>
      </c>
      <c r="F427" t="str">
        <v>3147 NA</v>
      </c>
      <c r="G427" t="str">
        <v>Maassluis</v>
      </c>
      <c r="H427" t="str">
        <v>Maassluis</v>
      </c>
      <c r="I427" t="str">
        <v>Zuid-Holland</v>
      </c>
      <c r="J427" t="str">
        <v>West-Nederland</v>
      </c>
      <c r="K427" t="str">
        <v>Te koop</v>
      </c>
      <c r="L427" t="str">
        <v>Onbekend</v>
      </c>
      <c r="M427" t="str">
        <v>Onbekend</v>
      </c>
      <c r="N427">
        <v>755000</v>
      </c>
      <c r="O427" t="str">
        <v>v.o.n.</v>
      </c>
      <c r="P427">
        <v>164</v>
      </c>
      <c r="Q427">
        <v>4604</v>
      </c>
      <c r="R427">
        <v>324</v>
      </c>
      <c r="S427" t="str">
        <v>A+++</v>
      </c>
      <c r="T427">
        <v>6</v>
      </c>
      <c r="U427">
        <v>5</v>
      </c>
      <c r="V427" t="str">
        <v>Grondgebonden</v>
      </c>
      <c r="W427" t="str">
        <v>Hoekwoning</v>
      </c>
      <c r="X427" t="str">
        <v>N.v.t.</v>
      </c>
      <c r="Y427" t="str">
        <v>Ja</v>
      </c>
      <c r="Z427" t="str">
        <v>eigen parkeerplaats</v>
      </c>
      <c r="AA427" t="str">
        <v>2026</v>
      </c>
      <c r="AB427" t="str">
        <v>Nee</v>
      </c>
      <c r="AC427" t="str">
        <v>NEE</v>
      </c>
      <c r="AD427" t="str">
        <v>JA</v>
      </c>
    </row>
    <row r="428">
      <c r="A428" t="str">
        <v>44429801</v>
      </c>
      <c r="B428" t="str">
        <v>https://www.funda.nl/detail/koop/maassluis/huis-hoekwoning-type-2-bouwnr-11/44429801/</v>
      </c>
      <c r="C428" t="str">
        <v>De Oevers - Wilgenrijk | IN VERKOOP</v>
      </c>
      <c r="D428" t="str">
        <v>Hoekwoning type 2</v>
      </c>
      <c r="E428" t="str">
        <v>11</v>
      </c>
      <c r="F428" t="str">
        <v>3147 NA</v>
      </c>
      <c r="G428" t="str">
        <v>Maassluis</v>
      </c>
      <c r="H428" t="str">
        <v>Maassluis</v>
      </c>
      <c r="I428" t="str">
        <v>Zuid-Holland</v>
      </c>
      <c r="J428" t="str">
        <v>West-Nederland</v>
      </c>
      <c r="K428" t="str">
        <v>Te koop</v>
      </c>
      <c r="L428" t="str">
        <v>Onbekend</v>
      </c>
      <c r="M428" t="str">
        <v>Onbekend</v>
      </c>
      <c r="N428">
        <v>755000</v>
      </c>
      <c r="O428" t="str">
        <v>v.o.n.</v>
      </c>
      <c r="P428">
        <v>164</v>
      </c>
      <c r="Q428">
        <v>4604</v>
      </c>
      <c r="R428">
        <v>331</v>
      </c>
      <c r="S428" t="str">
        <v>A+++</v>
      </c>
      <c r="T428">
        <v>6</v>
      </c>
      <c r="U428">
        <v>5</v>
      </c>
      <c r="V428" t="str">
        <v>Grondgebonden</v>
      </c>
      <c r="W428" t="str">
        <v>Hoekwoning</v>
      </c>
      <c r="X428" t="str">
        <v>N.v.t.</v>
      </c>
      <c r="Y428" t="str">
        <v>Ja</v>
      </c>
      <c r="Z428" t="str">
        <v>eigen parkeerplaats</v>
      </c>
      <c r="AA428" t="str">
        <v>2026</v>
      </c>
      <c r="AB428" t="str">
        <v>Nee</v>
      </c>
      <c r="AC428" t="str">
        <v>NEE</v>
      </c>
      <c r="AD428" t="str">
        <v>JA</v>
      </c>
    </row>
    <row r="429">
      <c r="A429" t="str">
        <v>44429800</v>
      </c>
      <c r="B429" t="str">
        <v>https://www.funda.nl/detail/koop/maassluis/huis-hoekwoning-type-2-bouwnr-3/44429800/</v>
      </c>
      <c r="C429" t="str">
        <v>De Oevers - Wilgenrijk | IN VERKOOP</v>
      </c>
      <c r="D429" t="str">
        <v>Hoekwoning type 2</v>
      </c>
      <c r="E429" t="str">
        <v>3</v>
      </c>
      <c r="F429" t="str">
        <v>3147 NA</v>
      </c>
      <c r="G429" t="str">
        <v>Maassluis</v>
      </c>
      <c r="H429" t="str">
        <v>Maassluis</v>
      </c>
      <c r="I429" t="str">
        <v>Zuid-Holland</v>
      </c>
      <c r="J429" t="str">
        <v>West-Nederland</v>
      </c>
      <c r="K429" t="str">
        <v>Te koop</v>
      </c>
      <c r="L429" t="str">
        <v>Onbekend</v>
      </c>
      <c r="M429" t="str">
        <v>Onbekend</v>
      </c>
      <c r="N429">
        <v>750000</v>
      </c>
      <c r="O429" t="str">
        <v>v.o.n.</v>
      </c>
      <c r="P429">
        <v>164</v>
      </c>
      <c r="Q429">
        <v>4573</v>
      </c>
      <c r="R429">
        <v>330</v>
      </c>
      <c r="S429" t="str">
        <v>A+++</v>
      </c>
      <c r="T429">
        <v>6</v>
      </c>
      <c r="U429">
        <v>5</v>
      </c>
      <c r="V429" t="str">
        <v>Grondgebonden</v>
      </c>
      <c r="W429" t="str">
        <v>Hoekwoning</v>
      </c>
      <c r="X429" t="str">
        <v>N.v.t.</v>
      </c>
      <c r="Y429" t="str">
        <v>Ja</v>
      </c>
      <c r="Z429" t="str">
        <v>eigen parkeerplaats</v>
      </c>
      <c r="AA429" t="str">
        <v>2026</v>
      </c>
      <c r="AB429" t="str">
        <v>Nee</v>
      </c>
      <c r="AC429" t="str">
        <v>NEE</v>
      </c>
      <c r="AD429" t="str">
        <v>JA</v>
      </c>
    </row>
    <row r="430">
      <c r="A430" t="str">
        <v>44429809</v>
      </c>
      <c r="B430" t="str">
        <v>https://www.funda.nl/detail/koop/maassluis/huis-hoekwoning-type-2-bouwnr-4/44429809/</v>
      </c>
      <c r="C430" t="str">
        <v>De Oevers - Wilgenrijk | IN VERKOOP</v>
      </c>
      <c r="D430" t="str">
        <v>Hoekwoning type 2</v>
      </c>
      <c r="E430" t="str">
        <v>4</v>
      </c>
      <c r="F430" t="str">
        <v>3147 NA</v>
      </c>
      <c r="G430" t="str">
        <v>Maassluis</v>
      </c>
      <c r="H430" t="str">
        <v>Maassluis</v>
      </c>
      <c r="I430" t="str">
        <v>Zuid-Holland</v>
      </c>
      <c r="J430" t="str">
        <v>West-Nederland</v>
      </c>
      <c r="K430" t="str">
        <v>Te koop</v>
      </c>
      <c r="L430" t="str">
        <v>Onbekend</v>
      </c>
      <c r="M430" t="str">
        <v>Onbekend</v>
      </c>
      <c r="N430">
        <v>740000</v>
      </c>
      <c r="O430" t="str">
        <v>v.o.n.</v>
      </c>
      <c r="P430">
        <v>164</v>
      </c>
      <c r="Q430">
        <v>4512</v>
      </c>
      <c r="R430">
        <v>278</v>
      </c>
      <c r="S430" t="str">
        <v>A+++</v>
      </c>
      <c r="T430">
        <v>6</v>
      </c>
      <c r="U430">
        <v>5</v>
      </c>
      <c r="V430" t="str">
        <v>Grondgebonden</v>
      </c>
      <c r="W430" t="str">
        <v>Hoekwoning</v>
      </c>
      <c r="X430" t="str">
        <v>N.v.t.</v>
      </c>
      <c r="Y430" t="str">
        <v>Ja</v>
      </c>
      <c r="Z430" t="str">
        <v>eigen parkeerplaats</v>
      </c>
      <c r="AA430" t="str">
        <v>2026</v>
      </c>
      <c r="AB430" t="str">
        <v>Nee</v>
      </c>
      <c r="AC430" t="str">
        <v>NEE</v>
      </c>
      <c r="AD430" t="str">
        <v>JA</v>
      </c>
    </row>
    <row r="431">
      <c r="A431" t="str">
        <v>44429804</v>
      </c>
      <c r="B431" t="str">
        <v>https://www.funda.nl/detail/koop/maassluis/huis-tussenwoning-bouwnr-32/44429804/</v>
      </c>
      <c r="C431" t="str">
        <v>De Oevers - Wilgenrijk | IN VERKOOP</v>
      </c>
      <c r="D431" t="str">
        <v>Tussenwoning</v>
      </c>
      <c r="E431" t="str">
        <v>32</v>
      </c>
      <c r="F431" t="str">
        <v>3147 NA</v>
      </c>
      <c r="G431" t="str">
        <v>Maassluis</v>
      </c>
      <c r="H431" t="str">
        <v>Maassluis</v>
      </c>
      <c r="I431" t="str">
        <v>Zuid-Holland</v>
      </c>
      <c r="J431" t="str">
        <v>West-Nederland</v>
      </c>
      <c r="K431" t="str">
        <v>Te koop</v>
      </c>
      <c r="L431" t="str">
        <v>2026-07-06</v>
      </c>
      <c r="M431">
        <v>7</v>
      </c>
      <c r="N431">
        <v>592500</v>
      </c>
      <c r="O431" t="str">
        <v>v.o.n.</v>
      </c>
      <c r="P431">
        <v>129</v>
      </c>
      <c r="Q431">
        <v>4593</v>
      </c>
      <c r="R431">
        <v>157</v>
      </c>
      <c r="S431" t="str">
        <v>A+++</v>
      </c>
      <c r="T431">
        <v>6</v>
      </c>
      <c r="U431">
        <v>5</v>
      </c>
      <c r="V431" t="str">
        <v>Grondgebonden</v>
      </c>
      <c r="W431" t="str">
        <v>Tussenwoning</v>
      </c>
      <c r="X431" t="str">
        <v>N.v.t.</v>
      </c>
      <c r="Y431" t="str">
        <v>Onbekend</v>
      </c>
      <c r="Z431" t="str">
        <v>onbekend</v>
      </c>
      <c r="AA431" t="str">
        <v>2026</v>
      </c>
      <c r="AB431" t="str">
        <v>Nee</v>
      </c>
      <c r="AC431" t="str">
        <v>NEE</v>
      </c>
      <c r="AD431" t="str">
        <v>JA</v>
      </c>
    </row>
    <row r="432">
      <c r="A432" t="str">
        <v>44429899</v>
      </c>
      <c r="B432" t="str">
        <v>https://www.funda.nl/detail/koop/maassluis/huis-tussenwoning-bouwnr-31/44429899/</v>
      </c>
      <c r="C432" t="str">
        <v>De Oevers - Wilgenrijk | IN VERKOOP</v>
      </c>
      <c r="D432" t="str">
        <v>Tussenwoning</v>
      </c>
      <c r="E432" t="str">
        <v>31</v>
      </c>
      <c r="F432" t="str">
        <v>3147 NA</v>
      </c>
      <c r="G432" t="str">
        <v>Maassluis</v>
      </c>
      <c r="H432" t="str">
        <v>Maassluis</v>
      </c>
      <c r="I432" t="str">
        <v>Zuid-Holland</v>
      </c>
      <c r="J432" t="str">
        <v>West-Nederland</v>
      </c>
      <c r="K432" t="str">
        <v>Te koop</v>
      </c>
      <c r="L432" t="str">
        <v>Onbekend</v>
      </c>
      <c r="M432" t="str">
        <v>Onbekend</v>
      </c>
      <c r="N432">
        <v>592500</v>
      </c>
      <c r="O432" t="str">
        <v>v.o.n.</v>
      </c>
      <c r="P432">
        <v>129</v>
      </c>
      <c r="Q432">
        <v>4593</v>
      </c>
      <c r="R432">
        <v>161</v>
      </c>
      <c r="S432" t="str">
        <v>A+++</v>
      </c>
      <c r="T432">
        <v>6</v>
      </c>
      <c r="U432">
        <v>5</v>
      </c>
      <c r="V432" t="str">
        <v>Grondgebonden</v>
      </c>
      <c r="W432" t="str">
        <v>Tussenwoning</v>
      </c>
      <c r="X432" t="str">
        <v>N.v.t.</v>
      </c>
      <c r="Y432" t="str">
        <v>Onbekend</v>
      </c>
      <c r="Z432" t="str">
        <v>onbekend</v>
      </c>
      <c r="AA432" t="str">
        <v>2026</v>
      </c>
      <c r="AB432" t="str">
        <v>Nee</v>
      </c>
      <c r="AC432" t="str">
        <v>NEE</v>
      </c>
      <c r="AD432" t="str">
        <v>JA</v>
      </c>
    </row>
    <row r="433">
      <c r="A433" t="str">
        <v>44429888</v>
      </c>
      <c r="B433" t="str">
        <v>https://www.funda.nl/detail/koop/maassluis/huis-tussenwoning-bouwnr-13/44429888/</v>
      </c>
      <c r="C433" t="str">
        <v>De Oevers - Wilgenrijk | IN VERKOOP</v>
      </c>
      <c r="D433" t="str">
        <v>Tussenwoning</v>
      </c>
      <c r="E433" t="str">
        <v>13</v>
      </c>
      <c r="F433" t="str">
        <v>3147 NA</v>
      </c>
      <c r="G433" t="str">
        <v>Maassluis</v>
      </c>
      <c r="H433" t="str">
        <v>Maassluis</v>
      </c>
      <c r="I433" t="str">
        <v>Zuid-Holland</v>
      </c>
      <c r="J433" t="str">
        <v>West-Nederland</v>
      </c>
      <c r="K433" t="str">
        <v>Te koop</v>
      </c>
      <c r="L433" t="str">
        <v>Onbekend</v>
      </c>
      <c r="M433" t="str">
        <v>Onbekend</v>
      </c>
      <c r="N433">
        <v>599500</v>
      </c>
      <c r="O433" t="str">
        <v>v.o.n.</v>
      </c>
      <c r="P433">
        <v>129</v>
      </c>
      <c r="Q433">
        <v>4647</v>
      </c>
      <c r="R433">
        <v>224</v>
      </c>
      <c r="S433" t="str">
        <v>A+++</v>
      </c>
      <c r="T433">
        <v>6</v>
      </c>
      <c r="U433">
        <v>5</v>
      </c>
      <c r="V433" t="str">
        <v>Grondgebonden</v>
      </c>
      <c r="W433" t="str">
        <v>Tussenwoning</v>
      </c>
      <c r="X433" t="str">
        <v>N.v.t.</v>
      </c>
      <c r="Y433" t="str">
        <v>Onbekend</v>
      </c>
      <c r="Z433" t="str">
        <v>onbekend</v>
      </c>
      <c r="AA433" t="str">
        <v>2026</v>
      </c>
      <c r="AB433" t="str">
        <v>Nee</v>
      </c>
      <c r="AC433" t="str">
        <v>NEE</v>
      </c>
      <c r="AD433" t="str">
        <v>JA</v>
      </c>
    </row>
    <row r="434">
      <c r="A434" t="str">
        <v>44429884</v>
      </c>
      <c r="B434" t="str">
        <v>https://www.funda.nl/detail/koop/maassluis/huis-tussenwoning-bouwnr-2/44429884/</v>
      </c>
      <c r="C434" t="str">
        <v>De Oevers - Wilgenrijk | IN VERKOOP</v>
      </c>
      <c r="D434" t="str">
        <v>Tussenwoning</v>
      </c>
      <c r="E434" t="str">
        <v>2</v>
      </c>
      <c r="F434" t="str">
        <v>3147 NA</v>
      </c>
      <c r="G434" t="str">
        <v>Maassluis</v>
      </c>
      <c r="H434" t="str">
        <v>Maassluis</v>
      </c>
      <c r="I434" t="str">
        <v>Zuid-Holland</v>
      </c>
      <c r="J434" t="str">
        <v>West-Nederland</v>
      </c>
      <c r="K434" t="str">
        <v>Te koop</v>
      </c>
      <c r="L434" t="str">
        <v>Onbekend</v>
      </c>
      <c r="M434" t="str">
        <v>Onbekend</v>
      </c>
      <c r="N434">
        <v>599500</v>
      </c>
      <c r="O434" t="str">
        <v>v.o.n.</v>
      </c>
      <c r="P434">
        <v>129</v>
      </c>
      <c r="Q434">
        <v>4647</v>
      </c>
      <c r="R434">
        <v>189</v>
      </c>
      <c r="S434" t="str">
        <v>A+++</v>
      </c>
      <c r="T434">
        <v>6</v>
      </c>
      <c r="U434">
        <v>5</v>
      </c>
      <c r="V434" t="str">
        <v>Grondgebonden</v>
      </c>
      <c r="W434" t="str">
        <v>Tussenwoning</v>
      </c>
      <c r="X434" t="str">
        <v>N.v.t.</v>
      </c>
      <c r="Y434" t="str">
        <v>Onbekend</v>
      </c>
      <c r="Z434" t="str">
        <v>onbekend</v>
      </c>
      <c r="AA434" t="str">
        <v>2026</v>
      </c>
      <c r="AB434" t="str">
        <v>Nee</v>
      </c>
      <c r="AC434" t="str">
        <v>NEE</v>
      </c>
      <c r="AD434" t="str">
        <v>JA</v>
      </c>
    </row>
    <row r="435">
      <c r="A435" t="str">
        <v>44429818</v>
      </c>
      <c r="B435" t="str">
        <v>https://www.funda.nl/detail/koop/maassluis/huis-hoekwoning-type-2-bouwnr-34/44429818/</v>
      </c>
      <c r="C435" t="str">
        <v>De Oevers - Wilgenrijk | IN VERKOOP</v>
      </c>
      <c r="D435" t="str">
        <v>Hoekwoning type 2</v>
      </c>
      <c r="E435" t="str">
        <v>34</v>
      </c>
      <c r="F435" t="str">
        <v>3147 NA</v>
      </c>
      <c r="G435" t="str">
        <v>Maassluis</v>
      </c>
      <c r="H435" t="str">
        <v>Maassluis</v>
      </c>
      <c r="I435" t="str">
        <v>Zuid-Holland</v>
      </c>
      <c r="J435" t="str">
        <v>West-Nederland</v>
      </c>
      <c r="K435" t="str">
        <v>Te koop</v>
      </c>
      <c r="L435" t="str">
        <v>Onbekend</v>
      </c>
      <c r="M435" t="str">
        <v>Onbekend</v>
      </c>
      <c r="N435">
        <v>715000</v>
      </c>
      <c r="O435" t="str">
        <v>v.o.n.</v>
      </c>
      <c r="P435">
        <v>161</v>
      </c>
      <c r="Q435">
        <v>4441</v>
      </c>
      <c r="R435">
        <v>272</v>
      </c>
      <c r="S435" t="str">
        <v>A+++</v>
      </c>
      <c r="T435">
        <v>6</v>
      </c>
      <c r="U435">
        <v>5</v>
      </c>
      <c r="V435" t="str">
        <v>Grondgebonden</v>
      </c>
      <c r="W435" t="str">
        <v>Hoekwoning</v>
      </c>
      <c r="X435" t="str">
        <v>N.v.t.</v>
      </c>
      <c r="Y435" t="str">
        <v>Onbekend</v>
      </c>
      <c r="Z435" t="str">
        <v>onbekend</v>
      </c>
      <c r="AA435" t="str">
        <v>2026</v>
      </c>
      <c r="AB435" t="str">
        <v>Nee</v>
      </c>
      <c r="AC435" t="str">
        <v>NEE</v>
      </c>
      <c r="AD435" t="str">
        <v>JA</v>
      </c>
    </row>
    <row r="436">
      <c r="A436" t="str">
        <v>44429808</v>
      </c>
      <c r="B436" t="str">
        <v>https://www.funda.nl/detail/koop/maassluis/huis-hoekwoning-type-2-bouwnr-1/44429808/</v>
      </c>
      <c r="C436" t="str">
        <v>De Oevers - Wilgenrijk | IN VERKOOP</v>
      </c>
      <c r="D436" t="str">
        <v>Hoekwoning type 2</v>
      </c>
      <c r="E436" t="str">
        <v>1</v>
      </c>
      <c r="F436" t="str">
        <v>3147 NA</v>
      </c>
      <c r="G436" t="str">
        <v>Maassluis</v>
      </c>
      <c r="H436" t="str">
        <v>Maassluis</v>
      </c>
      <c r="I436" t="str">
        <v>Zuid-Holland</v>
      </c>
      <c r="J436" t="str">
        <v>West-Nederland</v>
      </c>
      <c r="K436" t="str">
        <v>Te koop</v>
      </c>
      <c r="L436" t="str">
        <v>Onbekend</v>
      </c>
      <c r="M436" t="str">
        <v>Onbekend</v>
      </c>
      <c r="N436">
        <v>730000</v>
      </c>
      <c r="O436" t="str">
        <v>v.o.n.</v>
      </c>
      <c r="P436">
        <v>164</v>
      </c>
      <c r="Q436">
        <v>4451</v>
      </c>
      <c r="R436">
        <v>272</v>
      </c>
      <c r="S436" t="str">
        <v>A+++</v>
      </c>
      <c r="T436">
        <v>6</v>
      </c>
      <c r="U436">
        <v>5</v>
      </c>
      <c r="V436" t="str">
        <v>Grondgebonden</v>
      </c>
      <c r="W436" t="str">
        <v>Hoekwoning</v>
      </c>
      <c r="X436" t="str">
        <v>N.v.t.</v>
      </c>
      <c r="Y436" t="str">
        <v>Onbekend</v>
      </c>
      <c r="Z436" t="str">
        <v>onbekend</v>
      </c>
      <c r="AA436" t="str">
        <v>2026</v>
      </c>
      <c r="AB436" t="str">
        <v>Nee</v>
      </c>
      <c r="AC436" t="str">
        <v>NEE</v>
      </c>
      <c r="AD436" t="str">
        <v>JA</v>
      </c>
    </row>
    <row r="437">
      <c r="A437" t="str">
        <v>44429834</v>
      </c>
      <c r="B437" t="str">
        <v>https://www.funda.nl/detail/koop/amsterdam/appartement-waterfront-95-100-bouwnr-508/44429834/</v>
      </c>
      <c r="C437" t="str">
        <v>ACE Amsterdam fase 2</v>
      </c>
      <c r="D437" t="str">
        <v>Waterfront 95-100</v>
      </c>
      <c r="E437" t="str">
        <v>508*</v>
      </c>
      <c r="F437" t="str">
        <v>1064 AB</v>
      </c>
      <c r="G437" t="str">
        <v>Amsterdam</v>
      </c>
      <c r="H437" t="str">
        <v>Amsterdam</v>
      </c>
      <c r="I437" t="str">
        <v>Noord-Holland</v>
      </c>
      <c r="J437" t="str">
        <v>West-Nederland</v>
      </c>
      <c r="K437" t="str">
        <v>Te koop</v>
      </c>
      <c r="L437" t="str">
        <v>Onbekend</v>
      </c>
      <c r="M437" t="str">
        <v>Onbekend</v>
      </c>
      <c r="N437">
        <v>689000</v>
      </c>
      <c r="O437" t="str">
        <v>v.o.n.</v>
      </c>
      <c r="P437">
        <v>91</v>
      </c>
      <c r="Q437">
        <v>7571</v>
      </c>
      <c r="R437" t="str">
        <v>Onbekend</v>
      </c>
      <c r="S437" t="str">
        <v>A++</v>
      </c>
      <c r="T437">
        <v>3</v>
      </c>
      <c r="U437">
        <v>2</v>
      </c>
      <c r="V437" t="str">
        <v>Appartement</v>
      </c>
      <c r="W437" t="str">
        <v>Appartement</v>
      </c>
      <c r="X437" t="str">
        <v>Appartement 75-100 m²</v>
      </c>
      <c r="Y437" t="str">
        <v>Ja</v>
      </c>
      <c r="Z437" t="str">
        <v>garage</v>
      </c>
      <c r="AA437" t="str">
        <v>2028</v>
      </c>
      <c r="AB437" t="str">
        <v>Nee</v>
      </c>
      <c r="AC437" t="str">
        <v>NEE</v>
      </c>
      <c r="AD437" t="str">
        <v>JA</v>
      </c>
    </row>
    <row r="438">
      <c r="A438" t="str">
        <v>44429302</v>
      </c>
      <c r="B438" t="str">
        <v>https://www.funda.nl/detail/koop/amsterdam/huis-van-moerkerkenstraat-37/44429302/</v>
      </c>
      <c r="C438" t="str">
        <v>Onbekend</v>
      </c>
      <c r="D438" t="str">
        <v>Van Moerkerkenstraat 37</v>
      </c>
      <c r="E438" t="str">
        <v>Onbekend</v>
      </c>
      <c r="F438" t="str">
        <v>1064 KC</v>
      </c>
      <c r="G438" t="str">
        <v>Amsterdam</v>
      </c>
      <c r="H438" t="str">
        <v>Amsterdam</v>
      </c>
      <c r="I438" t="str">
        <v>Noord-Holland</v>
      </c>
      <c r="J438" t="str">
        <v>West-Nederland</v>
      </c>
      <c r="K438" t="str">
        <v>Te koop</v>
      </c>
      <c r="L438" t="str">
        <v>Onbekend</v>
      </c>
      <c r="M438" t="str">
        <v>Onbekend</v>
      </c>
      <c r="N438">
        <v>450000</v>
      </c>
      <c r="O438" t="str">
        <v>v.o.n.</v>
      </c>
      <c r="P438">
        <v>83</v>
      </c>
      <c r="Q438">
        <v>5422</v>
      </c>
      <c r="R438">
        <v>45</v>
      </c>
      <c r="S438" t="str">
        <v>A++</v>
      </c>
      <c r="T438">
        <v>4</v>
      </c>
      <c r="U438">
        <v>3</v>
      </c>
      <c r="V438" t="str">
        <v>Grondgebonden</v>
      </c>
      <c r="W438" t="str">
        <v>Hoekwoning</v>
      </c>
      <c r="X438" t="str">
        <v>N.v.t.</v>
      </c>
      <c r="Y438" t="str">
        <v>Ja</v>
      </c>
      <c r="Z438" t="str">
        <v>openbare parkeerplaats</v>
      </c>
      <c r="AA438" t="str">
        <v>2026</v>
      </c>
      <c r="AB438" t="str">
        <v>Nee</v>
      </c>
      <c r="AC438" t="str">
        <v>NEE</v>
      </c>
      <c r="AD438" t="str">
        <v>JA</v>
      </c>
    </row>
    <row r="439">
      <c r="A439" t="str">
        <v>44429647</v>
      </c>
      <c r="B439" t="str">
        <v>https://www.funda.nl/detail/koop/geleen/huis-bovenste-craveldweg-10/44429647/</v>
      </c>
      <c r="C439" t="str">
        <v>Onbekend</v>
      </c>
      <c r="D439" t="str">
        <v>Bovenste Craveldweg 10</v>
      </c>
      <c r="E439" t="str">
        <v>Onbekend</v>
      </c>
      <c r="F439" t="str">
        <v>6166 LE</v>
      </c>
      <c r="G439" t="str">
        <v>Geleen</v>
      </c>
      <c r="H439" t="str">
        <v>Sittard-Geleen</v>
      </c>
      <c r="I439" t="str">
        <v>Limburg</v>
      </c>
      <c r="J439" t="str">
        <v>Zuid-Nederland</v>
      </c>
      <c r="K439" t="str">
        <v>Te koop</v>
      </c>
      <c r="L439" t="str">
        <v>Onbekend</v>
      </c>
      <c r="M439" t="str">
        <v>Onbekend</v>
      </c>
      <c r="N439">
        <v>465000</v>
      </c>
      <c r="O439" t="str">
        <v>v.o.n.</v>
      </c>
      <c r="P439">
        <v>123</v>
      </c>
      <c r="Q439">
        <v>3780</v>
      </c>
      <c r="R439">
        <v>182</v>
      </c>
      <c r="S439" t="str">
        <v>A++++</v>
      </c>
      <c r="T439">
        <v>5</v>
      </c>
      <c r="U439">
        <v>4</v>
      </c>
      <c r="V439" t="str">
        <v>Grondgebonden</v>
      </c>
      <c r="W439" t="str">
        <v>Hoekwoning</v>
      </c>
      <c r="X439" t="str">
        <v>N.v.t.</v>
      </c>
      <c r="Y439" t="str">
        <v>Ja</v>
      </c>
      <c r="Z439" t="str">
        <v>openbare parkeerplaats</v>
      </c>
      <c r="AA439" t="str">
        <v>2026</v>
      </c>
      <c r="AB439" t="str">
        <v>Nee</v>
      </c>
      <c r="AC439" t="str">
        <v>NEE</v>
      </c>
      <c r="AD439" t="str">
        <v>JA</v>
      </c>
    </row>
    <row r="440">
      <c r="A440" t="str">
        <v>44429650</v>
      </c>
      <c r="B440" t="str">
        <v>https://www.funda.nl/detail/koop/diemen/huis-eli-heimanspad-35/44429650/</v>
      </c>
      <c r="C440" t="str">
        <v>Onbekend</v>
      </c>
      <c r="D440" t="str">
        <v>Eli Heimanspad 35</v>
      </c>
      <c r="E440" t="str">
        <v>Onbekend</v>
      </c>
      <c r="F440" t="str">
        <v>1112 ZM</v>
      </c>
      <c r="G440" t="str">
        <v>Diemen</v>
      </c>
      <c r="H440" t="str">
        <v>Diemen</v>
      </c>
      <c r="I440" t="str">
        <v>Noord-Holland</v>
      </c>
      <c r="J440" t="str">
        <v>West-Nederland</v>
      </c>
      <c r="K440" t="str">
        <v>Te koop</v>
      </c>
      <c r="L440" t="str">
        <v>Onbekend</v>
      </c>
      <c r="M440" t="str">
        <v>Onbekend</v>
      </c>
      <c r="N440">
        <v>1085995</v>
      </c>
      <c r="O440" t="str">
        <v>v.o.n.</v>
      </c>
      <c r="P440">
        <v>165</v>
      </c>
      <c r="Q440">
        <v>6582</v>
      </c>
      <c r="R440" t="str">
        <v>Onbekend</v>
      </c>
      <c r="S440" t="str">
        <v>A++++</v>
      </c>
      <c r="T440">
        <v>7</v>
      </c>
      <c r="U440">
        <v>6</v>
      </c>
      <c r="V440" t="str">
        <v>Grondgebonden</v>
      </c>
      <c r="W440" t="str">
        <v>Tussenwoning</v>
      </c>
      <c r="X440" t="str">
        <v>N.v.t.</v>
      </c>
      <c r="Y440" t="str">
        <v>Ja</v>
      </c>
      <c r="Z440" t="str">
        <v>garage</v>
      </c>
      <c r="AA440" t="str">
        <v>Na 2020</v>
      </c>
      <c r="AB440" t="str">
        <v>Nee</v>
      </c>
      <c r="AC440" t="str">
        <v>NEE</v>
      </c>
      <c r="AD440" t="str">
        <v>JA</v>
      </c>
    </row>
    <row r="441">
      <c r="A441" t="str">
        <v>80883621</v>
      </c>
      <c r="B441" t="str">
        <v>https://www.funda.nl/detail/koop/echt/huis-dijkveldstraat-36/80883621/</v>
      </c>
      <c r="C441" t="str">
        <v>Onbekend</v>
      </c>
      <c r="D441" t="str">
        <v>Dijkveldstraat 36</v>
      </c>
      <c r="E441" t="str">
        <v>Onbekend</v>
      </c>
      <c r="F441" t="str">
        <v>6102 VR</v>
      </c>
      <c r="G441" t="str">
        <v>Echt</v>
      </c>
      <c r="H441" t="str">
        <v>Echt-Susteren</v>
      </c>
      <c r="I441" t="str">
        <v>Limburg</v>
      </c>
      <c r="J441" t="str">
        <v>Zuid-Nederland</v>
      </c>
      <c r="K441" t="str">
        <v>Te koop</v>
      </c>
      <c r="L441" t="str">
        <v>Onbekend</v>
      </c>
      <c r="M441" t="str">
        <v>Onbekend</v>
      </c>
      <c r="N441">
        <v>420000</v>
      </c>
      <c r="O441" t="str">
        <v>v.o.n.</v>
      </c>
      <c r="P441">
        <v>105</v>
      </c>
      <c r="Q441">
        <v>4000</v>
      </c>
      <c r="R441">
        <v>205</v>
      </c>
      <c r="S441" t="str">
        <v>A+++</v>
      </c>
      <c r="T441">
        <v>4</v>
      </c>
      <c r="U441">
        <v>3</v>
      </c>
      <c r="V441" t="str">
        <v>Grondgebonden</v>
      </c>
      <c r="W441" t="str">
        <v>2-onder-1-kapwoning</v>
      </c>
      <c r="X441" t="str">
        <v>N.v.t.</v>
      </c>
      <c r="Y441" t="str">
        <v>Ja</v>
      </c>
      <c r="Z441" t="str">
        <v>openbare parkeerplaats</v>
      </c>
      <c r="AA441" t="str">
        <v>2026</v>
      </c>
      <c r="AB441" t="str">
        <v>Nee</v>
      </c>
      <c r="AC441" t="str">
        <v>NEE</v>
      </c>
      <c r="AD441" t="str">
        <v>JA</v>
      </c>
    </row>
    <row r="442">
      <c r="A442" t="str">
        <v>80883760</v>
      </c>
      <c r="B442" t="str">
        <v>https://www.funda.nl/detail/koop/son-en-breugel/appartement-larikslaan-28/80883760/</v>
      </c>
      <c r="C442" t="str">
        <v>Onbekend</v>
      </c>
      <c r="D442" t="str">
        <v>Larikslaan 28</v>
      </c>
      <c r="E442" t="str">
        <v>Onbekend</v>
      </c>
      <c r="F442" t="str">
        <v>5691 CL</v>
      </c>
      <c r="G442" t="str">
        <v>Son en Breugel</v>
      </c>
      <c r="H442" t="str">
        <v>Son en Breugel</v>
      </c>
      <c r="I442" t="str">
        <v>Noord-Brabant</v>
      </c>
      <c r="J442" t="str">
        <v>Zuid-Nederland</v>
      </c>
      <c r="K442" t="str">
        <v>Te koop</v>
      </c>
      <c r="L442" t="str">
        <v>Onbekend</v>
      </c>
      <c r="M442" t="str">
        <v>Onbekend</v>
      </c>
      <c r="N442">
        <v>2390000</v>
      </c>
      <c r="O442" t="str">
        <v>v.o.n.</v>
      </c>
      <c r="P442" t="str">
        <v>Onbekend</v>
      </c>
      <c r="Q442">
        <v>8505</v>
      </c>
      <c r="R442" t="str">
        <v>Onbekend</v>
      </c>
      <c r="S442" t="str">
        <v>Niet beschikbaar</v>
      </c>
      <c r="T442">
        <v>8</v>
      </c>
      <c r="U442">
        <v>3</v>
      </c>
      <c r="V442" t="str">
        <v>Appartement</v>
      </c>
      <c r="W442" t="str">
        <v>Appartement</v>
      </c>
      <c r="X442" t="str">
        <v>Onbekend</v>
      </c>
      <c r="Y442" t="str">
        <v>Onbekend</v>
      </c>
      <c r="Z442" t="str">
        <v>onbekend</v>
      </c>
      <c r="AA442" t="str">
        <v>2028</v>
      </c>
      <c r="AB442" t="str">
        <v>Nee</v>
      </c>
      <c r="AC442" t="str">
        <v>NEE</v>
      </c>
      <c r="AD442" t="str">
        <v>JA</v>
      </c>
    </row>
    <row r="443">
      <c r="A443" t="str">
        <v>80883608</v>
      </c>
      <c r="B443" t="str">
        <v>https://www.funda.nl/detail/koop/son-en-breugel/appartement-larikslaan-10/80883608/</v>
      </c>
      <c r="C443" t="str">
        <v>Onbekend</v>
      </c>
      <c r="D443" t="str">
        <v>Larikslaan 10</v>
      </c>
      <c r="E443" t="str">
        <v>Onbekend</v>
      </c>
      <c r="F443" t="str">
        <v>5691 CL</v>
      </c>
      <c r="G443" t="str">
        <v>Son en Breugel</v>
      </c>
      <c r="H443" t="str">
        <v>Son en Breugel</v>
      </c>
      <c r="I443" t="str">
        <v>Noord-Brabant</v>
      </c>
      <c r="J443" t="str">
        <v>Zuid-Nederland</v>
      </c>
      <c r="K443" t="str">
        <v>Te koop</v>
      </c>
      <c r="L443" t="str">
        <v>Onbekend</v>
      </c>
      <c r="M443" t="str">
        <v>Onbekend</v>
      </c>
      <c r="N443">
        <v>1400000</v>
      </c>
      <c r="O443" t="str">
        <v>v.o.n.</v>
      </c>
      <c r="P443" t="str">
        <v>Onbekend</v>
      </c>
      <c r="Q443">
        <v>7910</v>
      </c>
      <c r="R443" t="str">
        <v>Onbekend</v>
      </c>
      <c r="S443" t="str">
        <v>Niet beschikbaar</v>
      </c>
      <c r="T443">
        <v>4</v>
      </c>
      <c r="U443">
        <v>3</v>
      </c>
      <c r="V443" t="str">
        <v>Appartement</v>
      </c>
      <c r="W443" t="str">
        <v>Appartement</v>
      </c>
      <c r="X443" t="str">
        <v>Onbekend</v>
      </c>
      <c r="Y443" t="str">
        <v>Onbekend</v>
      </c>
      <c r="Z443" t="str">
        <v>onbekend</v>
      </c>
      <c r="AA443" t="str">
        <v>2028</v>
      </c>
      <c r="AB443" t="str">
        <v>Nee</v>
      </c>
      <c r="AC443" t="str">
        <v>NEE</v>
      </c>
      <c r="AD443" t="str">
        <v>JA</v>
      </c>
    </row>
    <row r="444">
      <c r="A444" t="str">
        <v>44429984</v>
      </c>
      <c r="B444" t="str">
        <v>https://www.funda.nl/detail/koop/rotterdam/appartement-hoofdweg-302-b/44429984/</v>
      </c>
      <c r="C444" t="str">
        <v>Onbekend</v>
      </c>
      <c r="D444" t="str">
        <v>Hoofdweg 302-B</v>
      </c>
      <c r="E444" t="str">
        <v>Onbekend</v>
      </c>
      <c r="F444" t="str">
        <v>3067 GJ</v>
      </c>
      <c r="G444" t="str">
        <v>Rotterdam</v>
      </c>
      <c r="H444" t="str">
        <v>Rotterdam</v>
      </c>
      <c r="I444" t="str">
        <v>Zuid-Holland</v>
      </c>
      <c r="J444" t="str">
        <v>West-Nederland</v>
      </c>
      <c r="K444" t="str">
        <v>Te koop</v>
      </c>
      <c r="L444" t="str">
        <v>Onbekend</v>
      </c>
      <c r="M444" t="str">
        <v>Onbekend</v>
      </c>
      <c r="N444">
        <v>355000</v>
      </c>
      <c r="O444" t="str">
        <v>v.o.n.</v>
      </c>
      <c r="P444">
        <v>50</v>
      </c>
      <c r="Q444">
        <v>7100</v>
      </c>
      <c r="R444" t="str">
        <v>Onbekend</v>
      </c>
      <c r="S444" t="str">
        <v>A+</v>
      </c>
      <c r="T444">
        <v>2</v>
      </c>
      <c r="U444">
        <v>1</v>
      </c>
      <c r="V444" t="str">
        <v>Appartement</v>
      </c>
      <c r="W444" t="str">
        <v>Appartement</v>
      </c>
      <c r="X444" t="str">
        <v>Appartement 50-75 m²</v>
      </c>
      <c r="Y444" t="str">
        <v>Ja</v>
      </c>
      <c r="Z444" t="str">
        <v>garage</v>
      </c>
      <c r="AA444" t="str">
        <v>Na 2020</v>
      </c>
      <c r="AB444" t="str">
        <v>Nee</v>
      </c>
      <c r="AC444" t="str">
        <v>NEE</v>
      </c>
      <c r="AD444" t="str">
        <v>JA</v>
      </c>
    </row>
    <row r="445">
      <c r="A445" t="str">
        <v>80882252</v>
      </c>
      <c r="B445" t="str">
        <v>https://www.funda.nl/detail/koop/overdinkel/huis-schaddenven-6-kavel-b5/80882252/</v>
      </c>
      <c r="C445" t="str">
        <v>Onbekend</v>
      </c>
      <c r="D445" t="str">
        <v>Schaddenven 6 (Kavel B5)</v>
      </c>
      <c r="E445" t="str">
        <v>Onbekend</v>
      </c>
      <c r="F445" t="str">
        <v>7586 DS</v>
      </c>
      <c r="G445" t="str">
        <v>Overdinkel</v>
      </c>
      <c r="H445" t="str">
        <v>Losser</v>
      </c>
      <c r="I445" t="str">
        <v>Overijssel</v>
      </c>
      <c r="J445" t="str">
        <v>Oost-Nederland</v>
      </c>
      <c r="K445" t="str">
        <v>Te koop</v>
      </c>
      <c r="L445" t="str">
        <v>2026-07-06</v>
      </c>
      <c r="M445">
        <v>7</v>
      </c>
      <c r="N445">
        <v>375000</v>
      </c>
      <c r="O445" t="str">
        <v>v.o.n.</v>
      </c>
      <c r="P445" t="str">
        <v>Onbekend</v>
      </c>
      <c r="Q445">
        <v>3676</v>
      </c>
      <c r="R445" t="str">
        <v>Onbekend</v>
      </c>
      <c r="S445" t="str">
        <v>A++</v>
      </c>
      <c r="T445">
        <v>4</v>
      </c>
      <c r="U445">
        <v>3</v>
      </c>
      <c r="V445" t="str">
        <v>Grondgebonden</v>
      </c>
      <c r="W445" t="str">
        <v>Tussenwoning</v>
      </c>
      <c r="X445" t="str">
        <v>N.v.t.</v>
      </c>
      <c r="Y445" t="str">
        <v>Onbekend</v>
      </c>
      <c r="Z445" t="str">
        <v>onbekend</v>
      </c>
      <c r="AA445" t="str">
        <v>Na 2020</v>
      </c>
      <c r="AB445" t="str">
        <v>Nee</v>
      </c>
      <c r="AC445" t="str">
        <v>NEE</v>
      </c>
      <c r="AD445" t="str">
        <v>JA</v>
      </c>
    </row>
    <row r="446">
      <c r="A446" t="str">
        <v>80882254</v>
      </c>
      <c r="B446" t="str">
        <v>https://www.funda.nl/detail/koop/overdinkel/huis-schaddenven-12-kavel-b2/80882254/</v>
      </c>
      <c r="C446" t="str">
        <v>Onbekend</v>
      </c>
      <c r="D446" t="str">
        <v>Schaddenven 12 (Kavel B2)</v>
      </c>
      <c r="E446" t="str">
        <v>Onbekend</v>
      </c>
      <c r="F446" t="str">
        <v>7586 DS</v>
      </c>
      <c r="G446" t="str">
        <v>Overdinkel</v>
      </c>
      <c r="H446" t="str">
        <v>Losser</v>
      </c>
      <c r="I446" t="str">
        <v>Overijssel</v>
      </c>
      <c r="J446" t="str">
        <v>Oost-Nederland</v>
      </c>
      <c r="K446" t="str">
        <v>Te koop</v>
      </c>
      <c r="L446" t="str">
        <v>Onbekend</v>
      </c>
      <c r="M446" t="str">
        <v>Onbekend</v>
      </c>
      <c r="N446">
        <v>398500</v>
      </c>
      <c r="O446" t="str">
        <v>v.o.n.</v>
      </c>
      <c r="P446" t="str">
        <v>Onbekend</v>
      </c>
      <c r="Q446">
        <v>3349</v>
      </c>
      <c r="R446" t="str">
        <v>Onbekend</v>
      </c>
      <c r="S446" t="str">
        <v>A++</v>
      </c>
      <c r="T446">
        <v>4</v>
      </c>
      <c r="U446">
        <v>3</v>
      </c>
      <c r="V446" t="str">
        <v>Grondgebonden</v>
      </c>
      <c r="W446" t="str">
        <v>Tussenwoning</v>
      </c>
      <c r="X446" t="str">
        <v>N.v.t.</v>
      </c>
      <c r="Y446" t="str">
        <v>Onbekend</v>
      </c>
      <c r="Z446" t="str">
        <v>onbekend</v>
      </c>
      <c r="AA446" t="str">
        <v>Na 2020</v>
      </c>
      <c r="AB446" t="str">
        <v>Nee</v>
      </c>
      <c r="AC446" t="str">
        <v>NEE</v>
      </c>
      <c r="AD446" t="str">
        <v>JA</v>
      </c>
    </row>
    <row r="447">
      <c r="A447" t="str">
        <v>80882253</v>
      </c>
      <c r="B447" t="str">
        <v>https://www.funda.nl/detail/koop/overdinkel/huis-schaddenven-10-kavel-b3/80882253/</v>
      </c>
      <c r="C447" t="str">
        <v>Onbekend</v>
      </c>
      <c r="D447" t="str">
        <v>Schaddenven 10 (Kavel B3)</v>
      </c>
      <c r="E447" t="str">
        <v>Onbekend</v>
      </c>
      <c r="F447" t="str">
        <v>7586 DS</v>
      </c>
      <c r="G447" t="str">
        <v>Overdinkel</v>
      </c>
      <c r="H447" t="str">
        <v>Losser</v>
      </c>
      <c r="I447" t="str">
        <v>Overijssel</v>
      </c>
      <c r="J447" t="str">
        <v>Oost-Nederland</v>
      </c>
      <c r="K447" t="str">
        <v>Te koop</v>
      </c>
      <c r="L447" t="str">
        <v>Onbekend</v>
      </c>
      <c r="M447" t="str">
        <v>Onbekend</v>
      </c>
      <c r="N447">
        <v>375000</v>
      </c>
      <c r="O447" t="str">
        <v>v.o.n.</v>
      </c>
      <c r="P447" t="str">
        <v>Onbekend</v>
      </c>
      <c r="Q447">
        <v>3676</v>
      </c>
      <c r="R447" t="str">
        <v>Onbekend</v>
      </c>
      <c r="S447" t="str">
        <v>A++</v>
      </c>
      <c r="T447">
        <v>4</v>
      </c>
      <c r="U447">
        <v>3</v>
      </c>
      <c r="V447" t="str">
        <v>Grondgebonden</v>
      </c>
      <c r="W447" t="str">
        <v>Tussenwoning</v>
      </c>
      <c r="X447" t="str">
        <v>N.v.t.</v>
      </c>
      <c r="Y447" t="str">
        <v>Onbekend</v>
      </c>
      <c r="Z447" t="str">
        <v>onbekend</v>
      </c>
      <c r="AA447" t="str">
        <v>Na 2020</v>
      </c>
      <c r="AB447" t="str">
        <v>Nee</v>
      </c>
      <c r="AC447" t="str">
        <v>NEE</v>
      </c>
      <c r="AD447" t="str">
        <v>JA</v>
      </c>
    </row>
    <row r="448">
      <c r="A448" t="str">
        <v>44428396</v>
      </c>
      <c r="B448" t="str">
        <v>https://www.funda.nl/detail/koop/alkmaar/appartement-schermerweg-94-a7/44428396/</v>
      </c>
      <c r="C448" t="str">
        <v>Jaagpad</v>
      </c>
      <c r="D448" t="str">
        <v>Schermerweg 94-A7</v>
      </c>
      <c r="E448" t="str">
        <v>Onbekend</v>
      </c>
      <c r="F448" t="str">
        <v>1821 BJ</v>
      </c>
      <c r="G448" t="str">
        <v>Alkmaar</v>
      </c>
      <c r="H448" t="str">
        <v>Alkmaar</v>
      </c>
      <c r="I448" t="str">
        <v>Noord-Holland</v>
      </c>
      <c r="J448" t="str">
        <v>West-Nederland</v>
      </c>
      <c r="K448" t="str">
        <v>V.O.V.</v>
      </c>
      <c r="L448" t="str">
        <v>Onbekend</v>
      </c>
      <c r="M448" t="str">
        <v>Onbekend</v>
      </c>
      <c r="N448">
        <v>425000</v>
      </c>
      <c r="O448" t="str">
        <v>v.o.n.</v>
      </c>
      <c r="P448">
        <v>69</v>
      </c>
      <c r="Q448">
        <v>6159</v>
      </c>
      <c r="R448" t="str">
        <v>Onbekend</v>
      </c>
      <c r="S448" t="str">
        <v>Niet beschikbaar</v>
      </c>
      <c r="T448">
        <v>1</v>
      </c>
      <c r="U448" t="str">
        <v>Onbekend</v>
      </c>
      <c r="V448" t="str">
        <v>Appartement</v>
      </c>
      <c r="W448" t="str">
        <v>Appartement</v>
      </c>
      <c r="X448" t="str">
        <v>Appartement 50-75 m²</v>
      </c>
      <c r="Y448" t="str">
        <v>Onbekend</v>
      </c>
      <c r="Z448" t="str">
        <v>onbekend</v>
      </c>
      <c r="AA448" t="str">
        <v>2027</v>
      </c>
      <c r="AB448" t="str">
        <v>Nee</v>
      </c>
      <c r="AC448" t="str">
        <v>NEE</v>
      </c>
      <c r="AD448" t="str">
        <v>JA</v>
      </c>
    </row>
    <row r="449">
      <c r="A449" t="str">
        <v>44428393</v>
      </c>
      <c r="B449" t="str">
        <v>https://www.funda.nl/detail/koop/alkmaar/appartement-schermerweg-94-d6/44428393/</v>
      </c>
      <c r="C449" t="str">
        <v>Jaagpad</v>
      </c>
      <c r="D449" t="str">
        <v>Schermerweg 94-D6</v>
      </c>
      <c r="E449" t="str">
        <v>Onbekend</v>
      </c>
      <c r="F449" t="str">
        <v>1821 BJ</v>
      </c>
      <c r="G449" t="str">
        <v>Alkmaar</v>
      </c>
      <c r="H449" t="str">
        <v>Alkmaar</v>
      </c>
      <c r="I449" t="str">
        <v>Noord-Holland</v>
      </c>
      <c r="J449" t="str">
        <v>West-Nederland</v>
      </c>
      <c r="K449" t="str">
        <v>V.O.V.</v>
      </c>
      <c r="L449" t="str">
        <v>Onbekend</v>
      </c>
      <c r="M449" t="str">
        <v>Onbekend</v>
      </c>
      <c r="N449">
        <v>455000</v>
      </c>
      <c r="O449" t="str">
        <v>v.o.n.</v>
      </c>
      <c r="P449">
        <v>80</v>
      </c>
      <c r="Q449">
        <v>5688</v>
      </c>
      <c r="R449" t="str">
        <v>Onbekend</v>
      </c>
      <c r="S449" t="str">
        <v>Niet beschikbaar</v>
      </c>
      <c r="T449">
        <v>1</v>
      </c>
      <c r="U449" t="str">
        <v>Onbekend</v>
      </c>
      <c r="V449" t="str">
        <v>Appartement</v>
      </c>
      <c r="W449" t="str">
        <v>Appartement</v>
      </c>
      <c r="X449" t="str">
        <v>Appartement 75-100 m²</v>
      </c>
      <c r="Y449" t="str">
        <v>Onbekend</v>
      </c>
      <c r="Z449" t="str">
        <v>onbekend</v>
      </c>
      <c r="AA449" t="str">
        <v>2027</v>
      </c>
      <c r="AB449" t="str">
        <v>Nee</v>
      </c>
      <c r="AC449" t="str">
        <v>NEE</v>
      </c>
      <c r="AD449" t="str">
        <v>JA</v>
      </c>
    </row>
    <row r="450">
      <c r="A450" t="str">
        <v>80883303</v>
      </c>
      <c r="B450" t="str">
        <v>https://www.funda.nl/detail/koop/son-en-breugel/appartement-larikslaan-12/80883303/</v>
      </c>
      <c r="C450" t="str">
        <v>Onbekend</v>
      </c>
      <c r="D450" t="str">
        <v>Larikslaan 12</v>
      </c>
      <c r="E450" t="str">
        <v>Onbekend</v>
      </c>
      <c r="F450" t="str">
        <v>5691 CL</v>
      </c>
      <c r="G450" t="str">
        <v>Son en Breugel</v>
      </c>
      <c r="H450" t="str">
        <v>Son en Breugel</v>
      </c>
      <c r="I450" t="str">
        <v>Noord-Brabant</v>
      </c>
      <c r="J450" t="str">
        <v>Zuid-Nederland</v>
      </c>
      <c r="K450" t="str">
        <v>Te koop</v>
      </c>
      <c r="L450" t="str">
        <v>Onbekend</v>
      </c>
      <c r="M450" t="str">
        <v>Onbekend</v>
      </c>
      <c r="N450">
        <v>1460000</v>
      </c>
      <c r="O450" t="str">
        <v>v.o.n.</v>
      </c>
      <c r="P450" t="str">
        <v>Onbekend</v>
      </c>
      <c r="Q450">
        <v>7978</v>
      </c>
      <c r="R450" t="str">
        <v>Onbekend</v>
      </c>
      <c r="S450" t="str">
        <v>Niet beschikbaar</v>
      </c>
      <c r="T450">
        <v>4</v>
      </c>
      <c r="U450">
        <v>3</v>
      </c>
      <c r="V450" t="str">
        <v>Appartement</v>
      </c>
      <c r="W450" t="str">
        <v>Appartement</v>
      </c>
      <c r="X450" t="str">
        <v>Onbekend</v>
      </c>
      <c r="Y450" t="str">
        <v>Onbekend</v>
      </c>
      <c r="Z450" t="str">
        <v>onbekend</v>
      </c>
      <c r="AA450" t="str">
        <v>2028</v>
      </c>
      <c r="AB450" t="str">
        <v>Nee</v>
      </c>
      <c r="AC450" t="str">
        <v>NEE</v>
      </c>
      <c r="AD450" t="str">
        <v>JA</v>
      </c>
    </row>
    <row r="451">
      <c r="A451" t="str">
        <v>44427099</v>
      </c>
      <c r="B451" t="str">
        <v>https://www.funda.nl/detail/koop/hoorn-nh/appartement-trigallezhof-7/44427099/</v>
      </c>
      <c r="C451" t="str">
        <v>Onbekend</v>
      </c>
      <c r="D451" t="str">
        <v>Trigallezhof 7</v>
      </c>
      <c r="E451" t="str">
        <v>Onbekend</v>
      </c>
      <c r="F451" t="str">
        <v>1622 NN</v>
      </c>
      <c r="G451" t="str">
        <v>Hoorn (NH)</v>
      </c>
      <c r="H451" t="str">
        <v>Hoorn</v>
      </c>
      <c r="I451" t="str">
        <v>Noord-Holland</v>
      </c>
      <c r="J451" t="str">
        <v>West-Nederland</v>
      </c>
      <c r="K451" t="str">
        <v>Te koop</v>
      </c>
      <c r="L451" t="str">
        <v>Onbekend</v>
      </c>
      <c r="M451" t="str">
        <v>Onbekend</v>
      </c>
      <c r="N451">
        <v>434250</v>
      </c>
      <c r="O451" t="str">
        <v>v.o.n.</v>
      </c>
      <c r="P451">
        <v>80</v>
      </c>
      <c r="Q451">
        <v>5428</v>
      </c>
      <c r="R451" t="str">
        <v>Onbekend</v>
      </c>
      <c r="S451" t="str">
        <v>A+++</v>
      </c>
      <c r="T451">
        <v>3</v>
      </c>
      <c r="U451">
        <v>2</v>
      </c>
      <c r="V451" t="str">
        <v>Appartement</v>
      </c>
      <c r="W451" t="str">
        <v>Appartement</v>
      </c>
      <c r="X451" t="str">
        <v>Appartement 75-100 m²</v>
      </c>
      <c r="Y451" t="str">
        <v>Ja</v>
      </c>
      <c r="Z451" t="str">
        <v>garage</v>
      </c>
      <c r="AA451" t="str">
        <v>Na 2020</v>
      </c>
      <c r="AB451" t="str">
        <v>Nee</v>
      </c>
      <c r="AC451" t="str">
        <v>NEE</v>
      </c>
      <c r="AD451" t="str">
        <v>JA</v>
      </c>
    </row>
    <row r="452">
      <c r="A452" t="str">
        <v>44429432</v>
      </c>
      <c r="B452" t="str">
        <v>https://www.funda.nl/detail/koop/gendt/appartement-dorpstraat-58-m/44429432/</v>
      </c>
      <c r="C452" t="str">
        <v>Onbekend</v>
      </c>
      <c r="D452" t="str">
        <v>Dorpstraat 58-m</v>
      </c>
      <c r="E452" t="str">
        <v>Onbekend</v>
      </c>
      <c r="F452" t="str">
        <v>6691 BA</v>
      </c>
      <c r="G452" t="str">
        <v>Gendt</v>
      </c>
      <c r="H452" t="str">
        <v>Lingewaard</v>
      </c>
      <c r="I452" t="str">
        <v>Gelderland</v>
      </c>
      <c r="J452" t="str">
        <v>Oost-Nederland</v>
      </c>
      <c r="K452" t="str">
        <v>Te koop</v>
      </c>
      <c r="L452" t="str">
        <v>Onbekend</v>
      </c>
      <c r="M452" t="str">
        <v>Onbekend</v>
      </c>
      <c r="N452">
        <v>398000</v>
      </c>
      <c r="O452" t="str">
        <v>v.o.n.</v>
      </c>
      <c r="P452">
        <v>70</v>
      </c>
      <c r="Q452">
        <v>5686</v>
      </c>
      <c r="R452" t="str">
        <v>Onbekend</v>
      </c>
      <c r="S452" t="str">
        <v>A+++</v>
      </c>
      <c r="T452">
        <v>3</v>
      </c>
      <c r="U452">
        <v>2</v>
      </c>
      <c r="V452" t="str">
        <v>Appartement</v>
      </c>
      <c r="W452" t="str">
        <v>Appartement</v>
      </c>
      <c r="X452" t="str">
        <v>Appartement 50-75 m²</v>
      </c>
      <c r="Y452" t="str">
        <v>Onbekend</v>
      </c>
      <c r="Z452" t="str">
        <v>onbekend</v>
      </c>
      <c r="AA452" t="str">
        <v>2027</v>
      </c>
      <c r="AB452" t="str">
        <v>Nee</v>
      </c>
      <c r="AC452" t="str">
        <v>NEE</v>
      </c>
      <c r="AD452" t="str">
        <v>JA</v>
      </c>
    </row>
    <row r="453">
      <c r="A453" t="str">
        <v>44428387</v>
      </c>
      <c r="B453" t="str">
        <v>https://www.funda.nl/detail/koop/valkenswaard/huis-de-vlasroot-2/44428387/</v>
      </c>
      <c r="C453" t="str">
        <v>Onbekend</v>
      </c>
      <c r="D453" t="str">
        <v>De Vlasroot 2</v>
      </c>
      <c r="E453" t="str">
        <v>Onbekend</v>
      </c>
      <c r="F453" t="str">
        <v>5555 KR</v>
      </c>
      <c r="G453" t="str">
        <v>Valkenswaard</v>
      </c>
      <c r="H453" t="str">
        <v>Valkenswaard</v>
      </c>
      <c r="I453" t="str">
        <v>Noord-Brabant</v>
      </c>
      <c r="J453" t="str">
        <v>Zuid-Nederland</v>
      </c>
      <c r="K453" t="str">
        <v>Te koop</v>
      </c>
      <c r="L453" t="str">
        <v>Onbekend</v>
      </c>
      <c r="M453" t="str">
        <v>Onbekend</v>
      </c>
      <c r="N453">
        <v>420000</v>
      </c>
      <c r="O453" t="str">
        <v>v.o.n.</v>
      </c>
      <c r="P453">
        <v>97</v>
      </c>
      <c r="Q453">
        <v>4330</v>
      </c>
      <c r="R453">
        <v>101</v>
      </c>
      <c r="S453" t="str">
        <v>A+++</v>
      </c>
      <c r="T453">
        <v>4</v>
      </c>
      <c r="U453">
        <v>3</v>
      </c>
      <c r="V453" t="str">
        <v>Grondgebonden</v>
      </c>
      <c r="W453" t="str">
        <v>Tussenwoning</v>
      </c>
      <c r="X453" t="str">
        <v>N.v.t.</v>
      </c>
      <c r="Y453" t="str">
        <v>Ja</v>
      </c>
      <c r="Z453" t="str">
        <v>openbare parkeerplaats</v>
      </c>
      <c r="AA453" t="str">
        <v>2027</v>
      </c>
      <c r="AB453" t="str">
        <v>Nee</v>
      </c>
      <c r="AC453" t="str">
        <v>NEE</v>
      </c>
      <c r="AD453" t="str">
        <v>JA</v>
      </c>
    </row>
    <row r="454">
      <c r="A454" t="str">
        <v>44428301</v>
      </c>
      <c r="B454" t="str">
        <v>https://www.funda.nl/detail/koop/geleen/huis-craveldweg-26/44428301/</v>
      </c>
      <c r="C454" t="str">
        <v>Onbekend</v>
      </c>
      <c r="D454" t="str">
        <v>Craveldweg 26</v>
      </c>
      <c r="E454" t="str">
        <v>Onbekend</v>
      </c>
      <c r="F454" t="str">
        <v>6166 LG</v>
      </c>
      <c r="G454" t="str">
        <v>Geleen</v>
      </c>
      <c r="H454" t="str">
        <v>Sittard-Geleen</v>
      </c>
      <c r="I454" t="str">
        <v>Limburg</v>
      </c>
      <c r="J454" t="str">
        <v>Zuid-Nederland</v>
      </c>
      <c r="K454" t="str">
        <v>Te koop</v>
      </c>
      <c r="L454" t="str">
        <v>Onbekend</v>
      </c>
      <c r="M454" t="str">
        <v>Onbekend</v>
      </c>
      <c r="N454">
        <v>398000</v>
      </c>
      <c r="O454" t="str">
        <v>k.k.</v>
      </c>
      <c r="P454">
        <v>105</v>
      </c>
      <c r="Q454">
        <v>3790</v>
      </c>
      <c r="R454">
        <v>140</v>
      </c>
      <c r="S454" t="str">
        <v>A++++</v>
      </c>
      <c r="T454">
        <v>4</v>
      </c>
      <c r="U454">
        <v>3</v>
      </c>
      <c r="V454" t="str">
        <v>Grondgebonden</v>
      </c>
      <c r="W454" t="str">
        <v>Tussenwoning</v>
      </c>
      <c r="X454" t="str">
        <v>N.v.t.</v>
      </c>
      <c r="Y454" t="str">
        <v>Ja</v>
      </c>
      <c r="Z454" t="str">
        <v>openbare parkeerplaats</v>
      </c>
      <c r="AA454" t="str">
        <v>2026</v>
      </c>
      <c r="AB454" t="str">
        <v>Nee</v>
      </c>
      <c r="AC454" t="str">
        <v>NEE</v>
      </c>
      <c r="AD454" t="str">
        <v>JA</v>
      </c>
    </row>
    <row r="455">
      <c r="A455" t="str">
        <v>80882869</v>
      </c>
      <c r="B455" t="str">
        <v>https://www.funda.nl/detail/koop/bergen-op-zoom/appartement-van-der-rijtstraat-bouwnr-3/80882869/</v>
      </c>
      <c r="C455" t="str">
        <v>Citylofts ANNO52</v>
      </c>
      <c r="D455" t="str">
        <v>Van der Rijtstraat</v>
      </c>
      <c r="E455" t="str">
        <v>3</v>
      </c>
      <c r="F455" t="str">
        <v>4611 PR</v>
      </c>
      <c r="G455" t="str">
        <v>Bergen op Zoom</v>
      </c>
      <c r="H455" t="str">
        <v>Bergen op Zoom</v>
      </c>
      <c r="I455" t="str">
        <v>Noord-Brabant</v>
      </c>
      <c r="J455" t="str">
        <v>Zuid-Nederland</v>
      </c>
      <c r="K455" t="str">
        <v>Te koop</v>
      </c>
      <c r="L455" t="str">
        <v>2026-07-05</v>
      </c>
      <c r="M455">
        <v>8</v>
      </c>
      <c r="N455">
        <v>250000</v>
      </c>
      <c r="O455" t="str">
        <v>v.o.n.</v>
      </c>
      <c r="P455">
        <v>57</v>
      </c>
      <c r="Q455">
        <v>4386</v>
      </c>
      <c r="R455" t="str">
        <v>Onbekend</v>
      </c>
      <c r="S455" t="str">
        <v>A+</v>
      </c>
      <c r="T455">
        <v>1</v>
      </c>
      <c r="U455" t="str">
        <v>Onbekend</v>
      </c>
      <c r="V455" t="str">
        <v>Appartement</v>
      </c>
      <c r="W455" t="str">
        <v>Appartement</v>
      </c>
      <c r="X455" t="str">
        <v>Appartement 50-75 m²</v>
      </c>
      <c r="Y455" t="str">
        <v>Ja</v>
      </c>
      <c r="Z455" t="str">
        <v>garage</v>
      </c>
      <c r="AA455" t="str">
        <v>2026</v>
      </c>
      <c r="AB455" t="str">
        <v>Nee</v>
      </c>
      <c r="AC455" t="str">
        <v>NEE</v>
      </c>
      <c r="AD455" t="str">
        <v>JA</v>
      </c>
    </row>
    <row r="456">
      <c r="A456" t="str">
        <v>44428194</v>
      </c>
      <c r="B456" t="str">
        <v>https://www.funda.nl/detail/koop/hoogeveen/appartement-type-d-bouwnr-8/44428194/</v>
      </c>
      <c r="C456" t="str">
        <v>De Rechters van Park Dwingeland</v>
      </c>
      <c r="D456" t="str">
        <v>Type D</v>
      </c>
      <c r="E456" t="str">
        <v>8</v>
      </c>
      <c r="F456" t="str">
        <v>7902 HM</v>
      </c>
      <c r="G456" t="str">
        <v>Hoogeveen</v>
      </c>
      <c r="H456" t="str">
        <v>Hoogeveen</v>
      </c>
      <c r="I456" t="str">
        <v>Drenthe</v>
      </c>
      <c r="J456" t="str">
        <v>Noord-Nederland</v>
      </c>
      <c r="K456" t="str">
        <v>Te koop</v>
      </c>
      <c r="L456" t="str">
        <v>Onbekend</v>
      </c>
      <c r="M456" t="str">
        <v>Onbekend</v>
      </c>
      <c r="N456">
        <v>935000</v>
      </c>
      <c r="O456" t="str">
        <v>v.o.n.</v>
      </c>
      <c r="P456">
        <v>147</v>
      </c>
      <c r="Q456">
        <v>6361</v>
      </c>
      <c r="R456" t="str">
        <v>Onbekend</v>
      </c>
      <c r="S456" t="str">
        <v>A+++</v>
      </c>
      <c r="T456">
        <v>4</v>
      </c>
      <c r="U456">
        <v>3</v>
      </c>
      <c r="V456" t="str">
        <v>Appartement</v>
      </c>
      <c r="W456" t="str">
        <v>Appartement</v>
      </c>
      <c r="X456" t="str">
        <v>Appartement &gt;100 m²</v>
      </c>
      <c r="Y456" t="str">
        <v>Ja</v>
      </c>
      <c r="Z456" t="str">
        <v>garage</v>
      </c>
      <c r="AA456" t="str">
        <v>2027</v>
      </c>
      <c r="AB456" t="str">
        <v>Nee</v>
      </c>
      <c r="AC456" t="str">
        <v>NEE</v>
      </c>
      <c r="AD456" t="str">
        <v>JA</v>
      </c>
    </row>
    <row r="457">
      <c r="A457" t="str">
        <v>44428193</v>
      </c>
      <c r="B457" t="str">
        <v>https://www.funda.nl/detail/koop/hoogeveen/appartement-type-b-bouwnr-1/44428193/</v>
      </c>
      <c r="C457" t="str">
        <v>De Rechters van Park Dwingeland</v>
      </c>
      <c r="D457" t="str">
        <v>Type B</v>
      </c>
      <c r="E457" t="str">
        <v>1</v>
      </c>
      <c r="F457" t="str">
        <v>7902 HM</v>
      </c>
      <c r="G457" t="str">
        <v>Hoogeveen</v>
      </c>
      <c r="H457" t="str">
        <v>Hoogeveen</v>
      </c>
      <c r="I457" t="str">
        <v>Drenthe</v>
      </c>
      <c r="J457" t="str">
        <v>Noord-Nederland</v>
      </c>
      <c r="K457" t="str">
        <v>Te koop</v>
      </c>
      <c r="L457" t="str">
        <v>Onbekend</v>
      </c>
      <c r="M457" t="str">
        <v>Onbekend</v>
      </c>
      <c r="N457">
        <v>675000</v>
      </c>
      <c r="O457" t="str">
        <v>v.o.n.</v>
      </c>
      <c r="P457">
        <v>112</v>
      </c>
      <c r="Q457">
        <v>6027</v>
      </c>
      <c r="R457" t="str">
        <v>Onbekend</v>
      </c>
      <c r="S457" t="str">
        <v>A+++</v>
      </c>
      <c r="T457">
        <v>3</v>
      </c>
      <c r="U457">
        <v>2</v>
      </c>
      <c r="V457" t="str">
        <v>Appartement</v>
      </c>
      <c r="W457" t="str">
        <v>Appartement</v>
      </c>
      <c r="X457" t="str">
        <v>Appartement &gt;100 m²</v>
      </c>
      <c r="Y457" t="str">
        <v>Ja</v>
      </c>
      <c r="Z457" t="str">
        <v>garage</v>
      </c>
      <c r="AA457" t="str">
        <v>2027</v>
      </c>
      <c r="AB457" t="str">
        <v>Nee</v>
      </c>
      <c r="AC457" t="str">
        <v>NEE</v>
      </c>
      <c r="AD457" t="str">
        <v>JA</v>
      </c>
    </row>
    <row r="458">
      <c r="A458" t="str">
        <v>44428181</v>
      </c>
      <c r="B458" t="str">
        <v>https://www.funda.nl/detail/koop/hoogeveen/appartement-type-b-bouwnr-12/44428181/</v>
      </c>
      <c r="C458" t="str">
        <v>De Rechters van Park Dwingeland</v>
      </c>
      <c r="D458" t="str">
        <v>Type B</v>
      </c>
      <c r="E458" t="str">
        <v>12</v>
      </c>
      <c r="F458" t="str">
        <v>7902 HM</v>
      </c>
      <c r="G458" t="str">
        <v>Hoogeveen</v>
      </c>
      <c r="H458" t="str">
        <v>Hoogeveen</v>
      </c>
      <c r="I458" t="str">
        <v>Drenthe</v>
      </c>
      <c r="J458" t="str">
        <v>Noord-Nederland</v>
      </c>
      <c r="K458" t="str">
        <v>Te koop</v>
      </c>
      <c r="L458" t="str">
        <v>Onbekend</v>
      </c>
      <c r="M458" t="str">
        <v>Onbekend</v>
      </c>
      <c r="N458">
        <v>695000</v>
      </c>
      <c r="O458" t="str">
        <v>v.o.n.</v>
      </c>
      <c r="P458">
        <v>112</v>
      </c>
      <c r="Q458">
        <v>6205</v>
      </c>
      <c r="R458" t="str">
        <v>Onbekend</v>
      </c>
      <c r="S458" t="str">
        <v>A+++</v>
      </c>
      <c r="T458">
        <v>3</v>
      </c>
      <c r="U458">
        <v>2</v>
      </c>
      <c r="V458" t="str">
        <v>Appartement</v>
      </c>
      <c r="W458" t="str">
        <v>Appartement</v>
      </c>
      <c r="X458" t="str">
        <v>Appartement &gt;100 m²</v>
      </c>
      <c r="Y458" t="str">
        <v>Ja</v>
      </c>
      <c r="Z458" t="str">
        <v>garage</v>
      </c>
      <c r="AA458" t="str">
        <v>2027</v>
      </c>
      <c r="AB458" t="str">
        <v>Nee</v>
      </c>
      <c r="AC458" t="str">
        <v>NEE</v>
      </c>
      <c r="AD458" t="str">
        <v>JA</v>
      </c>
    </row>
    <row r="459">
      <c r="A459" t="str">
        <v>44428184</v>
      </c>
      <c r="B459" t="str">
        <v>https://www.funda.nl/detail/koop/hoogeveen/appartement-type-b-bouwnr-9/44428184/</v>
      </c>
      <c r="C459" t="str">
        <v>De Rechters van Park Dwingeland</v>
      </c>
      <c r="D459" t="str">
        <v>Type B</v>
      </c>
      <c r="E459" t="str">
        <v>9</v>
      </c>
      <c r="F459" t="str">
        <v>7902 HM</v>
      </c>
      <c r="G459" t="str">
        <v>Hoogeveen</v>
      </c>
      <c r="H459" t="str">
        <v>Hoogeveen</v>
      </c>
      <c r="I459" t="str">
        <v>Drenthe</v>
      </c>
      <c r="J459" t="str">
        <v>Noord-Nederland</v>
      </c>
      <c r="K459" t="str">
        <v>Te koop</v>
      </c>
      <c r="L459" t="str">
        <v>Onbekend</v>
      </c>
      <c r="M459" t="str">
        <v>Onbekend</v>
      </c>
      <c r="N459">
        <v>675000</v>
      </c>
      <c r="O459" t="str">
        <v>v.o.n.</v>
      </c>
      <c r="P459">
        <v>112</v>
      </c>
      <c r="Q459">
        <v>6027</v>
      </c>
      <c r="R459" t="str">
        <v>Onbekend</v>
      </c>
      <c r="S459" t="str">
        <v>A+++</v>
      </c>
      <c r="T459">
        <v>3</v>
      </c>
      <c r="U459">
        <v>2</v>
      </c>
      <c r="V459" t="str">
        <v>Appartement</v>
      </c>
      <c r="W459" t="str">
        <v>Appartement</v>
      </c>
      <c r="X459" t="str">
        <v>Appartement &gt;100 m²</v>
      </c>
      <c r="Y459" t="str">
        <v>Ja</v>
      </c>
      <c r="Z459" t="str">
        <v>garage</v>
      </c>
      <c r="AA459" t="str">
        <v>2027</v>
      </c>
      <c r="AB459" t="str">
        <v>Nee</v>
      </c>
      <c r="AC459" t="str">
        <v>NEE</v>
      </c>
      <c r="AD459" t="str">
        <v>JA</v>
      </c>
    </row>
    <row r="460">
      <c r="A460" t="str">
        <v>44428171</v>
      </c>
      <c r="B460" t="str">
        <v>https://www.funda.nl/detail/koop/hoogeveen/appartement-type-d-bouwnr-16/44428171/</v>
      </c>
      <c r="C460" t="str">
        <v>De Rechters van Park Dwingeland</v>
      </c>
      <c r="D460" t="str">
        <v>Type D</v>
      </c>
      <c r="E460" t="str">
        <v>16</v>
      </c>
      <c r="F460" t="str">
        <v>7902 HM</v>
      </c>
      <c r="G460" t="str">
        <v>Hoogeveen</v>
      </c>
      <c r="H460" t="str">
        <v>Hoogeveen</v>
      </c>
      <c r="I460" t="str">
        <v>Drenthe</v>
      </c>
      <c r="J460" t="str">
        <v>Noord-Nederland</v>
      </c>
      <c r="K460" t="str">
        <v>Te koop</v>
      </c>
      <c r="L460" t="str">
        <v>2026-07-05</v>
      </c>
      <c r="M460">
        <v>8</v>
      </c>
      <c r="N460">
        <v>935000</v>
      </c>
      <c r="O460" t="str">
        <v>v.o.n.</v>
      </c>
      <c r="P460">
        <v>147</v>
      </c>
      <c r="Q460">
        <v>6361</v>
      </c>
      <c r="R460" t="str">
        <v>Onbekend</v>
      </c>
      <c r="S460" t="str">
        <v>A+++</v>
      </c>
      <c r="T460">
        <v>4</v>
      </c>
      <c r="U460">
        <v>3</v>
      </c>
      <c r="V460" t="str">
        <v>Appartement</v>
      </c>
      <c r="W460" t="str">
        <v>Appartement</v>
      </c>
      <c r="X460" t="str">
        <v>Appartement &gt;100 m²</v>
      </c>
      <c r="Y460" t="str">
        <v>Ja</v>
      </c>
      <c r="Z460" t="str">
        <v>garage</v>
      </c>
      <c r="AA460" t="str">
        <v>2027</v>
      </c>
      <c r="AB460" t="str">
        <v>Nee</v>
      </c>
      <c r="AC460" t="str">
        <v>NEE</v>
      </c>
      <c r="AD460" t="str">
        <v>JA</v>
      </c>
    </row>
    <row r="461">
      <c r="A461" t="str">
        <v>44428173</v>
      </c>
      <c r="B461" t="str">
        <v>https://www.funda.nl/detail/koop/hoogeveen/appartement-type-a-bouwnr-a6/44428173/</v>
      </c>
      <c r="C461" t="str">
        <v>De Rechters van Park Dwingeland</v>
      </c>
      <c r="D461" t="str">
        <v>Type A</v>
      </c>
      <c r="E461" t="str">
        <v>A6</v>
      </c>
      <c r="F461" t="str">
        <v>7902 HM</v>
      </c>
      <c r="G461" t="str">
        <v>Hoogeveen</v>
      </c>
      <c r="H461" t="str">
        <v>Hoogeveen</v>
      </c>
      <c r="I461" t="str">
        <v>Drenthe</v>
      </c>
      <c r="J461" t="str">
        <v>Noord-Nederland</v>
      </c>
      <c r="K461" t="str">
        <v>Te koop</v>
      </c>
      <c r="L461" t="str">
        <v>Onbekend</v>
      </c>
      <c r="M461" t="str">
        <v>Onbekend</v>
      </c>
      <c r="N461">
        <v>585000</v>
      </c>
      <c r="O461" t="str">
        <v>v.o.n.</v>
      </c>
      <c r="P461">
        <v>98</v>
      </c>
      <c r="Q461">
        <v>5969</v>
      </c>
      <c r="R461" t="str">
        <v>Onbekend</v>
      </c>
      <c r="S461" t="str">
        <v>A+++</v>
      </c>
      <c r="T461">
        <v>3</v>
      </c>
      <c r="U461">
        <v>2</v>
      </c>
      <c r="V461" t="str">
        <v>Appartement</v>
      </c>
      <c r="W461" t="str">
        <v>Appartement</v>
      </c>
      <c r="X461" t="str">
        <v>Appartement 75-100 m²</v>
      </c>
      <c r="Y461" t="str">
        <v>Ja</v>
      </c>
      <c r="Z461" t="str">
        <v>garage</v>
      </c>
      <c r="AA461" t="str">
        <v>2027</v>
      </c>
      <c r="AB461" t="str">
        <v>Nee</v>
      </c>
      <c r="AC461" t="str">
        <v>NEE</v>
      </c>
      <c r="AD461" t="str">
        <v>JA</v>
      </c>
    </row>
    <row r="462">
      <c r="A462" t="str">
        <v>44428162</v>
      </c>
      <c r="B462" t="str">
        <v>https://www.funda.nl/detail/koop/hoogeveen/appartement-type-a-bouwnr-a14/44428162/</v>
      </c>
      <c r="C462" t="str">
        <v>De Rechters van Park Dwingeland</v>
      </c>
      <c r="D462" t="str">
        <v>Type A</v>
      </c>
      <c r="E462" t="str">
        <v>A14</v>
      </c>
      <c r="F462" t="str">
        <v>7902 HM</v>
      </c>
      <c r="G462" t="str">
        <v>Hoogeveen</v>
      </c>
      <c r="H462" t="str">
        <v>Hoogeveen</v>
      </c>
      <c r="I462" t="str">
        <v>Drenthe</v>
      </c>
      <c r="J462" t="str">
        <v>Noord-Nederland</v>
      </c>
      <c r="K462" t="str">
        <v>V.O.V.</v>
      </c>
      <c r="L462" t="str">
        <v>Onbekend</v>
      </c>
      <c r="M462" t="str">
        <v>Onbekend</v>
      </c>
      <c r="N462">
        <v>585000</v>
      </c>
      <c r="O462" t="str">
        <v>v.o.n.</v>
      </c>
      <c r="P462">
        <v>98</v>
      </c>
      <c r="Q462">
        <v>5969</v>
      </c>
      <c r="R462" t="str">
        <v>Onbekend</v>
      </c>
      <c r="S462" t="str">
        <v>A+++</v>
      </c>
      <c r="T462">
        <v>3</v>
      </c>
      <c r="U462">
        <v>2</v>
      </c>
      <c r="V462" t="str">
        <v>Appartement</v>
      </c>
      <c r="W462" t="str">
        <v>Appartement</v>
      </c>
      <c r="X462" t="str">
        <v>Appartement 75-100 m²</v>
      </c>
      <c r="Y462" t="str">
        <v>Ja</v>
      </c>
      <c r="Z462" t="str">
        <v>garage</v>
      </c>
      <c r="AA462" t="str">
        <v>2027</v>
      </c>
      <c r="AB462" t="str">
        <v>Nee</v>
      </c>
      <c r="AC462" t="str">
        <v>NEE</v>
      </c>
      <c r="AD462" t="str">
        <v>JA</v>
      </c>
    </row>
    <row r="463">
      <c r="A463" t="str">
        <v>44428161</v>
      </c>
      <c r="B463" t="str">
        <v>https://www.funda.nl/detail/koop/hoogeveen/appartement-type-a-bouwnr-a11/44428161/</v>
      </c>
      <c r="C463" t="str">
        <v>De Rechters van Park Dwingeland</v>
      </c>
      <c r="D463" t="str">
        <v>Type A</v>
      </c>
      <c r="E463" t="str">
        <v>A11</v>
      </c>
      <c r="F463" t="str">
        <v>7902 HM</v>
      </c>
      <c r="G463" t="str">
        <v>Hoogeveen</v>
      </c>
      <c r="H463" t="str">
        <v>Hoogeveen</v>
      </c>
      <c r="I463" t="str">
        <v>Drenthe</v>
      </c>
      <c r="J463" t="str">
        <v>Noord-Nederland</v>
      </c>
      <c r="K463" t="str">
        <v>Te koop</v>
      </c>
      <c r="L463" t="str">
        <v>Onbekend</v>
      </c>
      <c r="M463" t="str">
        <v>Onbekend</v>
      </c>
      <c r="N463">
        <v>575000</v>
      </c>
      <c r="O463" t="str">
        <v>v.o.n.</v>
      </c>
      <c r="P463">
        <v>98</v>
      </c>
      <c r="Q463">
        <v>5867</v>
      </c>
      <c r="R463" t="str">
        <v>Onbekend</v>
      </c>
      <c r="S463" t="str">
        <v>A+++</v>
      </c>
      <c r="T463">
        <v>3</v>
      </c>
      <c r="U463">
        <v>2</v>
      </c>
      <c r="V463" t="str">
        <v>Appartement</v>
      </c>
      <c r="W463" t="str">
        <v>Appartement</v>
      </c>
      <c r="X463" t="str">
        <v>Appartement 75-100 m²</v>
      </c>
      <c r="Y463" t="str">
        <v>Ja</v>
      </c>
      <c r="Z463" t="str">
        <v>garage</v>
      </c>
      <c r="AA463" t="str">
        <v>2027</v>
      </c>
      <c r="AB463" t="str">
        <v>Nee</v>
      </c>
      <c r="AC463" t="str">
        <v>NEE</v>
      </c>
      <c r="AD463" t="str">
        <v>JA</v>
      </c>
    </row>
    <row r="464">
      <c r="A464" t="str">
        <v>44428188</v>
      </c>
      <c r="B464" t="str">
        <v>https://www.funda.nl/detail/koop/hoogeveen/appartement-type-b-bouwnr-4/44428188/</v>
      </c>
      <c r="C464" t="str">
        <v>De Rechters van Park Dwingeland</v>
      </c>
      <c r="D464" t="str">
        <v>Type B</v>
      </c>
      <c r="E464" t="str">
        <v>4</v>
      </c>
      <c r="F464" t="str">
        <v>7902 HM</v>
      </c>
      <c r="G464" t="str">
        <v>Hoogeveen</v>
      </c>
      <c r="H464" t="str">
        <v>Hoogeveen</v>
      </c>
      <c r="I464" t="str">
        <v>Drenthe</v>
      </c>
      <c r="J464" t="str">
        <v>Noord-Nederland</v>
      </c>
      <c r="K464" t="str">
        <v>Te koop</v>
      </c>
      <c r="L464" t="str">
        <v>Onbekend</v>
      </c>
      <c r="M464" t="str">
        <v>Onbekend</v>
      </c>
      <c r="N464">
        <v>685000</v>
      </c>
      <c r="O464" t="str">
        <v>v.o.n.</v>
      </c>
      <c r="P464">
        <v>112</v>
      </c>
      <c r="Q464">
        <v>6116</v>
      </c>
      <c r="R464" t="str">
        <v>Onbekend</v>
      </c>
      <c r="S464" t="str">
        <v>A+++</v>
      </c>
      <c r="T464">
        <v>3</v>
      </c>
      <c r="U464">
        <v>2</v>
      </c>
      <c r="V464" t="str">
        <v>Appartement</v>
      </c>
      <c r="W464" t="str">
        <v>Appartement</v>
      </c>
      <c r="X464" t="str">
        <v>Appartement &gt;100 m²</v>
      </c>
      <c r="Y464" t="str">
        <v>Ja</v>
      </c>
      <c r="Z464" t="str">
        <v>garage</v>
      </c>
      <c r="AA464" t="str">
        <v>2027</v>
      </c>
      <c r="AB464" t="str">
        <v>Nee</v>
      </c>
      <c r="AC464" t="str">
        <v>NEE</v>
      </c>
      <c r="AD464" t="str">
        <v>JA</v>
      </c>
    </row>
    <row r="465">
      <c r="A465" t="str">
        <v>44428186</v>
      </c>
      <c r="B465" t="str">
        <v>https://www.funda.nl/detail/koop/hoogeveen/appartement-type-e-bouwnr-15/44428186/</v>
      </c>
      <c r="C465" t="str">
        <v>De Rechters van Park Dwingeland</v>
      </c>
      <c r="D465" t="str">
        <v>Type E</v>
      </c>
      <c r="E465" t="str">
        <v>15</v>
      </c>
      <c r="F465" t="str">
        <v>7902 HM</v>
      </c>
      <c r="G465" t="str">
        <v>Hoogeveen</v>
      </c>
      <c r="H465" t="str">
        <v>Hoogeveen</v>
      </c>
      <c r="I465" t="str">
        <v>Drenthe</v>
      </c>
      <c r="J465" t="str">
        <v>Noord-Nederland</v>
      </c>
      <c r="K465" t="str">
        <v>Te koop</v>
      </c>
      <c r="L465" t="str">
        <v>Onbekend</v>
      </c>
      <c r="M465" t="str">
        <v>Onbekend</v>
      </c>
      <c r="N465">
        <v>850000</v>
      </c>
      <c r="O465" t="str">
        <v>v.o.n.</v>
      </c>
      <c r="P465">
        <v>137</v>
      </c>
      <c r="Q465">
        <v>6204</v>
      </c>
      <c r="R465" t="str">
        <v>Onbekend</v>
      </c>
      <c r="S465" t="str">
        <v>A+++</v>
      </c>
      <c r="T465">
        <v>4</v>
      </c>
      <c r="U465">
        <v>3</v>
      </c>
      <c r="V465" t="str">
        <v>Appartement</v>
      </c>
      <c r="W465" t="str">
        <v>Appartement</v>
      </c>
      <c r="X465" t="str">
        <v>Appartement &gt;100 m²</v>
      </c>
      <c r="Y465" t="str">
        <v>Ja</v>
      </c>
      <c r="Z465" t="str">
        <v>garage</v>
      </c>
      <c r="AA465" t="str">
        <v>2027</v>
      </c>
      <c r="AB465" t="str">
        <v>Nee</v>
      </c>
      <c r="AC465" t="str">
        <v>NEE</v>
      </c>
      <c r="AD465" t="str">
        <v>JA</v>
      </c>
    </row>
    <row r="466">
      <c r="A466" t="str">
        <v>44428185</v>
      </c>
      <c r="B466" t="str">
        <v>https://www.funda.nl/detail/koop/hoogeveen/appartement-type-e-bouwnr-7/44428185/</v>
      </c>
      <c r="C466" t="str">
        <v>De Rechters van Park Dwingeland</v>
      </c>
      <c r="D466" t="str">
        <v>Type E</v>
      </c>
      <c r="E466" t="str">
        <v>7</v>
      </c>
      <c r="F466" t="str">
        <v>7902 HM</v>
      </c>
      <c r="G466" t="str">
        <v>Hoogeveen</v>
      </c>
      <c r="H466" t="str">
        <v>Hoogeveen</v>
      </c>
      <c r="I466" t="str">
        <v>Drenthe</v>
      </c>
      <c r="J466" t="str">
        <v>Noord-Nederland</v>
      </c>
      <c r="K466" t="str">
        <v>Te koop</v>
      </c>
      <c r="L466" t="str">
        <v>Onbekend</v>
      </c>
      <c r="M466" t="str">
        <v>Onbekend</v>
      </c>
      <c r="N466">
        <v>840000</v>
      </c>
      <c r="O466" t="str">
        <v>v.o.n.</v>
      </c>
      <c r="P466">
        <v>137</v>
      </c>
      <c r="Q466">
        <v>6131</v>
      </c>
      <c r="R466" t="str">
        <v>Onbekend</v>
      </c>
      <c r="S466" t="str">
        <v>A+++</v>
      </c>
      <c r="T466">
        <v>4</v>
      </c>
      <c r="U466">
        <v>3</v>
      </c>
      <c r="V466" t="str">
        <v>Appartement</v>
      </c>
      <c r="W466" t="str">
        <v>Appartement</v>
      </c>
      <c r="X466" t="str">
        <v>Appartement &gt;100 m²</v>
      </c>
      <c r="Y466" t="str">
        <v>Ja</v>
      </c>
      <c r="Z466" t="str">
        <v>garage</v>
      </c>
      <c r="AA466" t="str">
        <v>2027</v>
      </c>
      <c r="AB466" t="str">
        <v>Nee</v>
      </c>
      <c r="AC466" t="str">
        <v>NEE</v>
      </c>
      <c r="AD466" t="str">
        <v>JA</v>
      </c>
    </row>
    <row r="467">
      <c r="A467" t="str">
        <v>44428168</v>
      </c>
      <c r="B467" t="str">
        <v>https://www.funda.nl/detail/koop/hoogeveen/appartement-type-a-bouwnr-a3/44428168/</v>
      </c>
      <c r="C467" t="str">
        <v>De Rechters van Park Dwingeland</v>
      </c>
      <c r="D467" t="str">
        <v>Type A</v>
      </c>
      <c r="E467" t="str">
        <v>A3</v>
      </c>
      <c r="F467" t="str">
        <v>7902 HM</v>
      </c>
      <c r="G467" t="str">
        <v>Hoogeveen</v>
      </c>
      <c r="H467" t="str">
        <v>Hoogeveen</v>
      </c>
      <c r="I467" t="str">
        <v>Drenthe</v>
      </c>
      <c r="J467" t="str">
        <v>Noord-Nederland</v>
      </c>
      <c r="K467" t="str">
        <v>Te koop</v>
      </c>
      <c r="L467" t="str">
        <v>Onbekend</v>
      </c>
      <c r="M467" t="str">
        <v>Onbekend</v>
      </c>
      <c r="N467">
        <v>575000</v>
      </c>
      <c r="O467" t="str">
        <v>v.o.n.</v>
      </c>
      <c r="P467">
        <v>98</v>
      </c>
      <c r="Q467">
        <v>5867</v>
      </c>
      <c r="R467" t="str">
        <v>Onbekend</v>
      </c>
      <c r="S467" t="str">
        <v>A+++</v>
      </c>
      <c r="T467">
        <v>3</v>
      </c>
      <c r="U467">
        <v>2</v>
      </c>
      <c r="V467" t="str">
        <v>Appartement</v>
      </c>
      <c r="W467" t="str">
        <v>Appartement</v>
      </c>
      <c r="X467" t="str">
        <v>Appartement 75-100 m²</v>
      </c>
      <c r="Y467" t="str">
        <v>Ja</v>
      </c>
      <c r="Z467" t="str">
        <v>garage</v>
      </c>
      <c r="AA467" t="str">
        <v>2027</v>
      </c>
      <c r="AB467" t="str">
        <v>Nee</v>
      </c>
      <c r="AC467" t="str">
        <v>NEE</v>
      </c>
      <c r="AD467" t="str">
        <v>JA</v>
      </c>
    </row>
    <row r="468">
      <c r="A468" t="str">
        <v>44428195</v>
      </c>
      <c r="B468" t="str">
        <v>https://www.funda.nl/detail/koop/hoogeveen/appartement-type-c-bouwnr-13/44428195/</v>
      </c>
      <c r="C468" t="str">
        <v>De Rechters van Park Dwingeland</v>
      </c>
      <c r="D468" t="str">
        <v>Type C</v>
      </c>
      <c r="E468" t="str">
        <v>13</v>
      </c>
      <c r="F468" t="str">
        <v>7902 HM</v>
      </c>
      <c r="G468" t="str">
        <v>Hoogeveen</v>
      </c>
      <c r="H468" t="str">
        <v>Hoogeveen</v>
      </c>
      <c r="I468" t="str">
        <v>Drenthe</v>
      </c>
      <c r="J468" t="str">
        <v>Noord-Nederland</v>
      </c>
      <c r="K468" t="str">
        <v>V.O.V.</v>
      </c>
      <c r="L468" t="str">
        <v>Onbekend</v>
      </c>
      <c r="M468" t="str">
        <v>Onbekend</v>
      </c>
      <c r="N468">
        <v>680000</v>
      </c>
      <c r="O468" t="str">
        <v>v.o.n.</v>
      </c>
      <c r="P468">
        <v>106</v>
      </c>
      <c r="Q468">
        <v>6415</v>
      </c>
      <c r="R468" t="str">
        <v>Onbekend</v>
      </c>
      <c r="S468" t="str">
        <v>A+++</v>
      </c>
      <c r="T468">
        <v>3</v>
      </c>
      <c r="U468">
        <v>2</v>
      </c>
      <c r="V468" t="str">
        <v>Appartement</v>
      </c>
      <c r="W468" t="str">
        <v>Appartement</v>
      </c>
      <c r="X468" t="str">
        <v>Appartement &gt;100 m²</v>
      </c>
      <c r="Y468" t="str">
        <v>Ja</v>
      </c>
      <c r="Z468" t="str">
        <v>garage</v>
      </c>
      <c r="AA468" t="str">
        <v>2027</v>
      </c>
      <c r="AB468" t="str">
        <v>Nee</v>
      </c>
      <c r="AC468" t="str">
        <v>NEE</v>
      </c>
      <c r="AD468" t="str">
        <v>JA</v>
      </c>
    </row>
    <row r="469">
      <c r="A469" t="str">
        <v>44428182</v>
      </c>
      <c r="B469" t="str">
        <v>https://www.funda.nl/detail/koop/hoogeveen/appartement-type-c-bouwnr-5/44428182/</v>
      </c>
      <c r="C469" t="str">
        <v>De Rechters van Park Dwingeland</v>
      </c>
      <c r="D469" t="str">
        <v>Type C</v>
      </c>
      <c r="E469" t="str">
        <v>5</v>
      </c>
      <c r="F469" t="str">
        <v>7902 HM</v>
      </c>
      <c r="G469" t="str">
        <v>Hoogeveen</v>
      </c>
      <c r="H469" t="str">
        <v>Hoogeveen</v>
      </c>
      <c r="I469" t="str">
        <v>Drenthe</v>
      </c>
      <c r="J469" t="str">
        <v>Noord-Nederland</v>
      </c>
      <c r="K469" t="str">
        <v>V.O.V.</v>
      </c>
      <c r="L469" t="str">
        <v>Onbekend</v>
      </c>
      <c r="M469" t="str">
        <v>Onbekend</v>
      </c>
      <c r="N469">
        <v>670000</v>
      </c>
      <c r="O469" t="str">
        <v>v.o.n.</v>
      </c>
      <c r="P469">
        <v>106</v>
      </c>
      <c r="Q469">
        <v>6321</v>
      </c>
      <c r="R469" t="str">
        <v>Onbekend</v>
      </c>
      <c r="S469" t="str">
        <v>A+++</v>
      </c>
      <c r="T469">
        <v>3</v>
      </c>
      <c r="U469">
        <v>2</v>
      </c>
      <c r="V469" t="str">
        <v>Appartement</v>
      </c>
      <c r="W469" t="str">
        <v>Appartement</v>
      </c>
      <c r="X469" t="str">
        <v>Appartement &gt;100 m²</v>
      </c>
      <c r="Y469" t="str">
        <v>Ja</v>
      </c>
      <c r="Z469" t="str">
        <v>garage</v>
      </c>
      <c r="AA469" t="str">
        <v>2027</v>
      </c>
      <c r="AB469" t="str">
        <v>Nee</v>
      </c>
      <c r="AC469" t="str">
        <v>NEE</v>
      </c>
      <c r="AD469" t="str">
        <v>JA</v>
      </c>
    </row>
    <row r="470">
      <c r="A470" t="str">
        <v>44428180</v>
      </c>
      <c r="B470" t="str">
        <v>https://www.funda.nl/detail/koop/hoogeveen/appartement-type-c-bouwnr-2/44428180/</v>
      </c>
      <c r="C470" t="str">
        <v>De Rechters van Park Dwingeland</v>
      </c>
      <c r="D470" t="str">
        <v>Type C</v>
      </c>
      <c r="E470" t="str">
        <v>2</v>
      </c>
      <c r="F470" t="str">
        <v>7902 HM</v>
      </c>
      <c r="G470" t="str">
        <v>Hoogeveen</v>
      </c>
      <c r="H470" t="str">
        <v>Hoogeveen</v>
      </c>
      <c r="I470" t="str">
        <v>Drenthe</v>
      </c>
      <c r="J470" t="str">
        <v>Noord-Nederland</v>
      </c>
      <c r="K470" t="str">
        <v>Te koop</v>
      </c>
      <c r="L470" t="str">
        <v>Onbekend</v>
      </c>
      <c r="M470" t="str">
        <v>Onbekend</v>
      </c>
      <c r="N470">
        <v>660000</v>
      </c>
      <c r="O470" t="str">
        <v>v.o.n.</v>
      </c>
      <c r="P470">
        <v>106</v>
      </c>
      <c r="Q470">
        <v>6226</v>
      </c>
      <c r="R470" t="str">
        <v>Onbekend</v>
      </c>
      <c r="S470" t="str">
        <v>A+++</v>
      </c>
      <c r="T470">
        <v>3</v>
      </c>
      <c r="U470">
        <v>2</v>
      </c>
      <c r="V470" t="str">
        <v>Appartement</v>
      </c>
      <c r="W470" t="str">
        <v>Appartement</v>
      </c>
      <c r="X470" t="str">
        <v>Appartement &gt;100 m²</v>
      </c>
      <c r="Y470" t="str">
        <v>Ja</v>
      </c>
      <c r="Z470" t="str">
        <v>garage</v>
      </c>
      <c r="AA470" t="str">
        <v>2027</v>
      </c>
      <c r="AB470" t="str">
        <v>Nee</v>
      </c>
      <c r="AC470" t="str">
        <v>NEE</v>
      </c>
      <c r="AD470" t="str">
        <v>JA</v>
      </c>
    </row>
    <row r="471">
      <c r="A471" t="str">
        <v>44428183</v>
      </c>
      <c r="B471" t="str">
        <v>https://www.funda.nl/detail/koop/hoogeveen/appartement-type-c-bouwnr-10/44428183/</v>
      </c>
      <c r="C471" t="str">
        <v>De Rechters van Park Dwingeland</v>
      </c>
      <c r="D471" t="str">
        <v>Type C</v>
      </c>
      <c r="E471" t="str">
        <v>10</v>
      </c>
      <c r="F471" t="str">
        <v>7902 HM</v>
      </c>
      <c r="G471" t="str">
        <v>Hoogeveen</v>
      </c>
      <c r="H471" t="str">
        <v>Hoogeveen</v>
      </c>
      <c r="I471" t="str">
        <v>Drenthe</v>
      </c>
      <c r="J471" t="str">
        <v>Noord-Nederland</v>
      </c>
      <c r="K471" t="str">
        <v>V.O.V.</v>
      </c>
      <c r="L471" t="str">
        <v>Onbekend</v>
      </c>
      <c r="M471" t="str">
        <v>Onbekend</v>
      </c>
      <c r="N471">
        <v>660000</v>
      </c>
      <c r="O471" t="str">
        <v>v.o.n.</v>
      </c>
      <c r="P471">
        <v>106</v>
      </c>
      <c r="Q471">
        <v>6226</v>
      </c>
      <c r="R471" t="str">
        <v>Onbekend</v>
      </c>
      <c r="S471" t="str">
        <v>A+++</v>
      </c>
      <c r="T471">
        <v>3</v>
      </c>
      <c r="U471">
        <v>2</v>
      </c>
      <c r="V471" t="str">
        <v>Appartement</v>
      </c>
      <c r="W471" t="str">
        <v>Appartement</v>
      </c>
      <c r="X471" t="str">
        <v>Appartement &gt;100 m²</v>
      </c>
      <c r="Y471" t="str">
        <v>Ja</v>
      </c>
      <c r="Z471" t="str">
        <v>garage</v>
      </c>
      <c r="AA471" t="str">
        <v>2027</v>
      </c>
      <c r="AB471" t="str">
        <v>Nee</v>
      </c>
      <c r="AC471" t="str">
        <v>NEE</v>
      </c>
      <c r="AD471" t="str">
        <v>JA</v>
      </c>
    </row>
    <row r="472">
      <c r="A472" t="str">
        <v>44428177</v>
      </c>
      <c r="B472" t="str">
        <v>https://www.funda.nl/detail/koop/gilze/huis-meulenerf-bouwnr-2/44428177/</v>
      </c>
      <c r="C472" t="str">
        <v>Meulenerf (IN VERKOOP)</v>
      </c>
      <c r="D472" t="str">
        <v>Meulenerf</v>
      </c>
      <c r="E472" t="str">
        <v>2</v>
      </c>
      <c r="F472" t="str">
        <v>5126 DA</v>
      </c>
      <c r="G472" t="str">
        <v>Gilze</v>
      </c>
      <c r="H472" t="str">
        <v>Gilze en Rijen</v>
      </c>
      <c r="I472" t="str">
        <v>Noord-Brabant</v>
      </c>
      <c r="J472" t="str">
        <v>Zuid-Nederland</v>
      </c>
      <c r="K472" t="str">
        <v>Te koop</v>
      </c>
      <c r="L472" t="str">
        <v>Onbekend</v>
      </c>
      <c r="M472" t="str">
        <v>Onbekend</v>
      </c>
      <c r="N472">
        <v>612000</v>
      </c>
      <c r="O472" t="str">
        <v>v.o.n.</v>
      </c>
      <c r="P472">
        <v>125</v>
      </c>
      <c r="Q472">
        <v>4896</v>
      </c>
      <c r="R472">
        <v>197</v>
      </c>
      <c r="S472" t="str">
        <v>A+++</v>
      </c>
      <c r="T472">
        <v>4</v>
      </c>
      <c r="U472">
        <v>3</v>
      </c>
      <c r="V472" t="str">
        <v>Grondgebonden</v>
      </c>
      <c r="W472" t="str">
        <v>Tussenwoning</v>
      </c>
      <c r="X472" t="str">
        <v>N.v.t.</v>
      </c>
      <c r="Y472" t="str">
        <v>Ja</v>
      </c>
      <c r="Z472" t="str">
        <v>eigen parkeerplaats</v>
      </c>
      <c r="AA472" t="str">
        <v>2027</v>
      </c>
      <c r="AB472" t="str">
        <v>Nee</v>
      </c>
      <c r="AC472" t="str">
        <v>NEE</v>
      </c>
      <c r="AD472" t="str">
        <v>JA</v>
      </c>
    </row>
    <row r="473">
      <c r="A473" t="str">
        <v>44428196</v>
      </c>
      <c r="B473" t="str">
        <v>https://www.funda.nl/detail/koop/gilze/huis-meulenerf-bouwnr-1/44428196/</v>
      </c>
      <c r="C473" t="str">
        <v>Meulenerf (IN VERKOOP)</v>
      </c>
      <c r="D473" t="str">
        <v>Meulenerf</v>
      </c>
      <c r="E473" t="str">
        <v>1</v>
      </c>
      <c r="F473" t="str">
        <v>5126 DA</v>
      </c>
      <c r="G473" t="str">
        <v>Gilze</v>
      </c>
      <c r="H473" t="str">
        <v>Gilze en Rijen</v>
      </c>
      <c r="I473" t="str">
        <v>Noord-Brabant</v>
      </c>
      <c r="J473" t="str">
        <v>Zuid-Nederland</v>
      </c>
      <c r="K473" t="str">
        <v>Te koop</v>
      </c>
      <c r="L473" t="str">
        <v>Onbekend</v>
      </c>
      <c r="M473" t="str">
        <v>Onbekend</v>
      </c>
      <c r="N473">
        <v>659000</v>
      </c>
      <c r="O473" t="str">
        <v>v.o.n.</v>
      </c>
      <c r="P473">
        <v>125</v>
      </c>
      <c r="Q473">
        <v>5272</v>
      </c>
      <c r="R473">
        <v>224</v>
      </c>
      <c r="S473" t="str">
        <v>A+++</v>
      </c>
      <c r="T473">
        <v>4</v>
      </c>
      <c r="U473">
        <v>3</v>
      </c>
      <c r="V473" t="str">
        <v>Grondgebonden</v>
      </c>
      <c r="W473" t="str">
        <v>Hoekwoning</v>
      </c>
      <c r="X473" t="str">
        <v>N.v.t.</v>
      </c>
      <c r="Y473" t="str">
        <v>Ja</v>
      </c>
      <c r="Z473" t="str">
        <v>eigen parkeerplaats</v>
      </c>
      <c r="AA473" t="str">
        <v>2027</v>
      </c>
      <c r="AB473" t="str">
        <v>Nee</v>
      </c>
      <c r="AC473" t="str">
        <v>NEE</v>
      </c>
      <c r="AD473" t="str">
        <v>JA</v>
      </c>
    </row>
    <row r="474">
      <c r="A474" t="str">
        <v>44428187</v>
      </c>
      <c r="B474" t="str">
        <v>https://www.funda.nl/detail/koop/gilze/huis-meulenerf-bouwnr-5/44428187/</v>
      </c>
      <c r="C474" t="str">
        <v>Meulenerf (IN VERKOOP)</v>
      </c>
      <c r="D474" t="str">
        <v>Meulenerf</v>
      </c>
      <c r="E474" t="str">
        <v>5</v>
      </c>
      <c r="F474" t="str">
        <v>5126 DA</v>
      </c>
      <c r="G474" t="str">
        <v>Gilze</v>
      </c>
      <c r="H474" t="str">
        <v>Gilze en Rijen</v>
      </c>
      <c r="I474" t="str">
        <v>Noord-Brabant</v>
      </c>
      <c r="J474" t="str">
        <v>Zuid-Nederland</v>
      </c>
      <c r="K474" t="str">
        <v>Te koop</v>
      </c>
      <c r="L474" t="str">
        <v>Onbekend</v>
      </c>
      <c r="M474" t="str">
        <v>Onbekend</v>
      </c>
      <c r="N474">
        <v>629000</v>
      </c>
      <c r="O474" t="str">
        <v>v.o.n.</v>
      </c>
      <c r="P474">
        <v>125</v>
      </c>
      <c r="Q474">
        <v>5032</v>
      </c>
      <c r="R474">
        <v>193</v>
      </c>
      <c r="S474" t="str">
        <v>A+++</v>
      </c>
      <c r="T474">
        <v>4</v>
      </c>
      <c r="U474">
        <v>3</v>
      </c>
      <c r="V474" t="str">
        <v>Grondgebonden</v>
      </c>
      <c r="W474" t="str">
        <v>Hoekwoning</v>
      </c>
      <c r="X474" t="str">
        <v>N.v.t.</v>
      </c>
      <c r="Y474" t="str">
        <v>Ja</v>
      </c>
      <c r="Z474" t="str">
        <v>eigen parkeerplaats</v>
      </c>
      <c r="AA474" t="str">
        <v>2027</v>
      </c>
      <c r="AB474" t="str">
        <v>Nee</v>
      </c>
      <c r="AC474" t="str">
        <v>NEE</v>
      </c>
      <c r="AD474" t="str">
        <v>JA</v>
      </c>
    </row>
    <row r="475">
      <c r="A475" t="str">
        <v>44428172</v>
      </c>
      <c r="B475" t="str">
        <v>https://www.funda.nl/detail/koop/gilze/huis-meulenerf-bouwnr-9/44428172/</v>
      </c>
      <c r="C475" t="str">
        <v>Meulenerf (IN VERKOOP)</v>
      </c>
      <c r="D475" t="str">
        <v>Meulenerf</v>
      </c>
      <c r="E475" t="str">
        <v>9</v>
      </c>
      <c r="F475" t="str">
        <v>5126 DA</v>
      </c>
      <c r="G475" t="str">
        <v>Gilze</v>
      </c>
      <c r="H475" t="str">
        <v>Gilze en Rijen</v>
      </c>
      <c r="I475" t="str">
        <v>Noord-Brabant</v>
      </c>
      <c r="J475" t="str">
        <v>Zuid-Nederland</v>
      </c>
      <c r="K475" t="str">
        <v>Te koop</v>
      </c>
      <c r="L475" t="str">
        <v>2026-07-05</v>
      </c>
      <c r="M475">
        <v>8</v>
      </c>
      <c r="N475">
        <v>589000</v>
      </c>
      <c r="O475" t="str">
        <v>v.o.n.</v>
      </c>
      <c r="P475">
        <v>125</v>
      </c>
      <c r="Q475">
        <v>4712</v>
      </c>
      <c r="R475">
        <v>153</v>
      </c>
      <c r="S475" t="str">
        <v>A+++</v>
      </c>
      <c r="T475">
        <v>4</v>
      </c>
      <c r="U475">
        <v>3</v>
      </c>
      <c r="V475" t="str">
        <v>Grondgebonden</v>
      </c>
      <c r="W475" t="str">
        <v>Tussenwoning</v>
      </c>
      <c r="X475" t="str">
        <v>N.v.t.</v>
      </c>
      <c r="Y475" t="str">
        <v>Ja</v>
      </c>
      <c r="Z475" t="str">
        <v>eigen parkeerplaats</v>
      </c>
      <c r="AA475" t="str">
        <v>2027</v>
      </c>
      <c r="AB475" t="str">
        <v>Nee</v>
      </c>
      <c r="AC475" t="str">
        <v>NEE</v>
      </c>
      <c r="AD475" t="str">
        <v>JA</v>
      </c>
    </row>
    <row r="476">
      <c r="A476" t="str">
        <v>44428170</v>
      </c>
      <c r="B476" t="str">
        <v>https://www.funda.nl/detail/koop/gilze/huis-meulenerf-bouwnr-7/44428170/</v>
      </c>
      <c r="C476" t="str">
        <v>Meulenerf (IN VERKOOP)</v>
      </c>
      <c r="D476" t="str">
        <v>Meulenerf</v>
      </c>
      <c r="E476" t="str">
        <v>7</v>
      </c>
      <c r="F476" t="str">
        <v>5126 DA</v>
      </c>
      <c r="G476" t="str">
        <v>Gilze</v>
      </c>
      <c r="H476" t="str">
        <v>Gilze en Rijen</v>
      </c>
      <c r="I476" t="str">
        <v>Noord-Brabant</v>
      </c>
      <c r="J476" t="str">
        <v>Zuid-Nederland</v>
      </c>
      <c r="K476" t="str">
        <v>Te koop</v>
      </c>
      <c r="L476" t="str">
        <v>Onbekend</v>
      </c>
      <c r="M476" t="str">
        <v>Onbekend</v>
      </c>
      <c r="N476">
        <v>589000</v>
      </c>
      <c r="O476" t="str">
        <v>v.o.n.</v>
      </c>
      <c r="P476">
        <v>125</v>
      </c>
      <c r="Q476">
        <v>4712</v>
      </c>
      <c r="R476">
        <v>151</v>
      </c>
      <c r="S476" t="str">
        <v>A+++</v>
      </c>
      <c r="T476">
        <v>4</v>
      </c>
      <c r="U476">
        <v>3</v>
      </c>
      <c r="V476" t="str">
        <v>Grondgebonden</v>
      </c>
      <c r="W476" t="str">
        <v>Tussenwoning</v>
      </c>
      <c r="X476" t="str">
        <v>N.v.t.</v>
      </c>
      <c r="Y476" t="str">
        <v>Ja</v>
      </c>
      <c r="Z476" t="str">
        <v>eigen parkeerplaats</v>
      </c>
      <c r="AA476" t="str">
        <v>2027</v>
      </c>
      <c r="AB476" t="str">
        <v>Nee</v>
      </c>
      <c r="AC476" t="str">
        <v>NEE</v>
      </c>
      <c r="AD476" t="str">
        <v>JA</v>
      </c>
    </row>
    <row r="477">
      <c r="A477" t="str">
        <v>44428179</v>
      </c>
      <c r="B477" t="str">
        <v>https://www.funda.nl/detail/koop/gilze/huis-meulenerf-bouwnr-8/44428179/</v>
      </c>
      <c r="C477" t="str">
        <v>Meulenerf (IN VERKOOP)</v>
      </c>
      <c r="D477" t="str">
        <v>Meulenerf</v>
      </c>
      <c r="E477" t="str">
        <v>8</v>
      </c>
      <c r="F477" t="str">
        <v>5126 DA</v>
      </c>
      <c r="G477" t="str">
        <v>Gilze</v>
      </c>
      <c r="H477" t="str">
        <v>Gilze en Rijen</v>
      </c>
      <c r="I477" t="str">
        <v>Noord-Brabant</v>
      </c>
      <c r="J477" t="str">
        <v>Zuid-Nederland</v>
      </c>
      <c r="K477" t="str">
        <v>Te koop</v>
      </c>
      <c r="L477" t="str">
        <v>Onbekend</v>
      </c>
      <c r="M477" t="str">
        <v>Onbekend</v>
      </c>
      <c r="N477">
        <v>589000</v>
      </c>
      <c r="O477" t="str">
        <v>v.o.n.</v>
      </c>
      <c r="P477">
        <v>125</v>
      </c>
      <c r="Q477">
        <v>4712</v>
      </c>
      <c r="R477">
        <v>152</v>
      </c>
      <c r="S477" t="str">
        <v>A+++</v>
      </c>
      <c r="T477">
        <v>4</v>
      </c>
      <c r="U477">
        <v>3</v>
      </c>
      <c r="V477" t="str">
        <v>Grondgebonden</v>
      </c>
      <c r="W477" t="str">
        <v>Tussenwoning</v>
      </c>
      <c r="X477" t="str">
        <v>N.v.t.</v>
      </c>
      <c r="Y477" t="str">
        <v>Ja</v>
      </c>
      <c r="Z477" t="str">
        <v>eigen parkeerplaats</v>
      </c>
      <c r="AA477" t="str">
        <v>2027</v>
      </c>
      <c r="AB477" t="str">
        <v>Nee</v>
      </c>
      <c r="AC477" t="str">
        <v>NEE</v>
      </c>
      <c r="AD477" t="str">
        <v>JA</v>
      </c>
    </row>
    <row r="478">
      <c r="A478" t="str">
        <v>44428178</v>
      </c>
      <c r="B478" t="str">
        <v>https://www.funda.nl/detail/koop/gilze/huis-meulenerf-bouwnr-6/44428178/</v>
      </c>
      <c r="C478" t="str">
        <v>Meulenerf (IN VERKOOP)</v>
      </c>
      <c r="D478" t="str">
        <v>Meulenerf</v>
      </c>
      <c r="E478" t="str">
        <v>6</v>
      </c>
      <c r="F478" t="str">
        <v>5126 DA</v>
      </c>
      <c r="G478" t="str">
        <v>Gilze</v>
      </c>
      <c r="H478" t="str">
        <v>Gilze en Rijen</v>
      </c>
      <c r="I478" t="str">
        <v>Noord-Brabant</v>
      </c>
      <c r="J478" t="str">
        <v>Zuid-Nederland</v>
      </c>
      <c r="K478" t="str">
        <v>Te koop</v>
      </c>
      <c r="L478" t="str">
        <v>Onbekend</v>
      </c>
      <c r="M478" t="str">
        <v>Onbekend</v>
      </c>
      <c r="N478">
        <v>614000</v>
      </c>
      <c r="O478" t="str">
        <v>v.o.n.</v>
      </c>
      <c r="P478">
        <v>125</v>
      </c>
      <c r="Q478">
        <v>4912</v>
      </c>
      <c r="R478">
        <v>157</v>
      </c>
      <c r="S478" t="str">
        <v>A+++</v>
      </c>
      <c r="T478">
        <v>4</v>
      </c>
      <c r="U478">
        <v>3</v>
      </c>
      <c r="V478" t="str">
        <v>Grondgebonden</v>
      </c>
      <c r="W478" t="str">
        <v>Hoekwoning</v>
      </c>
      <c r="X478" t="str">
        <v>N.v.t.</v>
      </c>
      <c r="Y478" t="str">
        <v>Ja</v>
      </c>
      <c r="Z478" t="str">
        <v>eigen parkeerplaats</v>
      </c>
      <c r="AA478" t="str">
        <v>2027</v>
      </c>
      <c r="AB478" t="str">
        <v>Nee</v>
      </c>
      <c r="AC478" t="str">
        <v>NEE</v>
      </c>
      <c r="AD478" t="str">
        <v>JA</v>
      </c>
    </row>
    <row r="479">
      <c r="A479" t="str">
        <v>44428176</v>
      </c>
      <c r="B479" t="str">
        <v>https://www.funda.nl/detail/koop/gilze/huis-meulenerf-bouwnr-3/44428176/</v>
      </c>
      <c r="C479" t="str">
        <v>Meulenerf (IN VERKOOP)</v>
      </c>
      <c r="D479" t="str">
        <v>Meulenerf</v>
      </c>
      <c r="E479" t="str">
        <v>3</v>
      </c>
      <c r="F479" t="str">
        <v>5126 DA</v>
      </c>
      <c r="G479" t="str">
        <v>Gilze</v>
      </c>
      <c r="H479" t="str">
        <v>Gilze en Rijen</v>
      </c>
      <c r="I479" t="str">
        <v>Noord-Brabant</v>
      </c>
      <c r="J479" t="str">
        <v>Zuid-Nederland</v>
      </c>
      <c r="K479" t="str">
        <v>Te koop</v>
      </c>
      <c r="L479" t="str">
        <v>Onbekend</v>
      </c>
      <c r="M479" t="str">
        <v>Onbekend</v>
      </c>
      <c r="N479">
        <v>609000</v>
      </c>
      <c r="O479" t="str">
        <v>v.o.n.</v>
      </c>
      <c r="P479">
        <v>125</v>
      </c>
      <c r="Q479">
        <v>4872</v>
      </c>
      <c r="R479">
        <v>192</v>
      </c>
      <c r="S479" t="str">
        <v>A+++</v>
      </c>
      <c r="T479">
        <v>4</v>
      </c>
      <c r="U479">
        <v>3</v>
      </c>
      <c r="V479" t="str">
        <v>Grondgebonden</v>
      </c>
      <c r="W479" t="str">
        <v>Tussenwoning</v>
      </c>
      <c r="X479" t="str">
        <v>N.v.t.</v>
      </c>
      <c r="Y479" t="str">
        <v>Ja</v>
      </c>
      <c r="Z479" t="str">
        <v>eigen parkeerplaats</v>
      </c>
      <c r="AA479" t="str">
        <v>2027</v>
      </c>
      <c r="AB479" t="str">
        <v>Nee</v>
      </c>
      <c r="AC479" t="str">
        <v>NEE</v>
      </c>
      <c r="AD479" t="str">
        <v>JA</v>
      </c>
    </row>
    <row r="480">
      <c r="A480" t="str">
        <v>44428175</v>
      </c>
      <c r="B480" t="str">
        <v>https://www.funda.nl/detail/koop/gilze/huis-meulenerf-bouwnr-10/44428175/</v>
      </c>
      <c r="C480" t="str">
        <v>Meulenerf (IN VERKOOP)</v>
      </c>
      <c r="D480" t="str">
        <v>Meulenerf</v>
      </c>
      <c r="E480" t="str">
        <v>10</v>
      </c>
      <c r="F480" t="str">
        <v>5126 DA</v>
      </c>
      <c r="G480" t="str">
        <v>Gilze</v>
      </c>
      <c r="H480" t="str">
        <v>Gilze en Rijen</v>
      </c>
      <c r="I480" t="str">
        <v>Noord-Brabant</v>
      </c>
      <c r="J480" t="str">
        <v>Zuid-Nederland</v>
      </c>
      <c r="K480" t="str">
        <v>Te koop</v>
      </c>
      <c r="L480" t="str">
        <v>Onbekend</v>
      </c>
      <c r="M480" t="str">
        <v>Onbekend</v>
      </c>
      <c r="N480">
        <v>622000</v>
      </c>
      <c r="O480" t="str">
        <v>v.o.n.</v>
      </c>
      <c r="P480">
        <v>125</v>
      </c>
      <c r="Q480">
        <v>4976</v>
      </c>
      <c r="R480">
        <v>171</v>
      </c>
      <c r="S480" t="str">
        <v>A+++</v>
      </c>
      <c r="T480">
        <v>4</v>
      </c>
      <c r="U480">
        <v>3</v>
      </c>
      <c r="V480" t="str">
        <v>Grondgebonden</v>
      </c>
      <c r="W480" t="str">
        <v>Hoekwoning</v>
      </c>
      <c r="X480" t="str">
        <v>N.v.t.</v>
      </c>
      <c r="Y480" t="str">
        <v>Ja</v>
      </c>
      <c r="Z480" t="str">
        <v>eigen parkeerplaats</v>
      </c>
      <c r="AA480" t="str">
        <v>2027</v>
      </c>
      <c r="AB480" t="str">
        <v>Nee</v>
      </c>
      <c r="AC480" t="str">
        <v>NEE</v>
      </c>
      <c r="AD480" t="str">
        <v>JA</v>
      </c>
    </row>
    <row r="481">
      <c r="A481" t="str">
        <v>44428174</v>
      </c>
      <c r="B481" t="str">
        <v>https://www.funda.nl/detail/koop/gilze/huis-meulenerf-bouwnr-4/44428174/</v>
      </c>
      <c r="C481" t="str">
        <v>Meulenerf (IN VERKOOP)</v>
      </c>
      <c r="D481" t="str">
        <v>Meulenerf</v>
      </c>
      <c r="E481" t="str">
        <v>4</v>
      </c>
      <c r="F481" t="str">
        <v>5126 DA</v>
      </c>
      <c r="G481" t="str">
        <v>Gilze</v>
      </c>
      <c r="H481" t="str">
        <v>Gilze en Rijen</v>
      </c>
      <c r="I481" t="str">
        <v>Noord-Brabant</v>
      </c>
      <c r="J481" t="str">
        <v>Zuid-Nederland</v>
      </c>
      <c r="K481" t="str">
        <v>Te koop</v>
      </c>
      <c r="L481" t="str">
        <v>Onbekend</v>
      </c>
      <c r="M481" t="str">
        <v>Onbekend</v>
      </c>
      <c r="N481">
        <v>609000</v>
      </c>
      <c r="O481" t="str">
        <v>v.o.n.</v>
      </c>
      <c r="P481">
        <v>125</v>
      </c>
      <c r="Q481">
        <v>4872</v>
      </c>
      <c r="R481">
        <v>191</v>
      </c>
      <c r="S481" t="str">
        <v>A+++</v>
      </c>
      <c r="T481">
        <v>4</v>
      </c>
      <c r="U481">
        <v>3</v>
      </c>
      <c r="V481" t="str">
        <v>Grondgebonden</v>
      </c>
      <c r="W481" t="str">
        <v>Tussenwoning</v>
      </c>
      <c r="X481" t="str">
        <v>N.v.t.</v>
      </c>
      <c r="Y481" t="str">
        <v>Ja</v>
      </c>
      <c r="Z481" t="str">
        <v>eigen parkeerplaats</v>
      </c>
      <c r="AA481" t="str">
        <v>2027</v>
      </c>
      <c r="AB481" t="str">
        <v>Nee</v>
      </c>
      <c r="AC481" t="str">
        <v>NEE</v>
      </c>
      <c r="AD481" t="str">
        <v>JA</v>
      </c>
    </row>
    <row r="482">
      <c r="A482" t="str">
        <v>44428225</v>
      </c>
      <c r="B482" t="str">
        <v>https://www.funda.nl/detail/koop/brunssum/appartement-kloosterpark-8-a/44428225/</v>
      </c>
      <c r="C482" t="str">
        <v>Onbekend</v>
      </c>
      <c r="D482" t="str">
        <v>Kloosterpark 8-A</v>
      </c>
      <c r="E482" t="str">
        <v>Onbekend</v>
      </c>
      <c r="F482" t="str">
        <v>6441 DP</v>
      </c>
      <c r="G482" t="str">
        <v>Brunssum</v>
      </c>
      <c r="H482" t="str">
        <v>Brunssum</v>
      </c>
      <c r="I482" t="str">
        <v>Limburg</v>
      </c>
      <c r="J482" t="str">
        <v>Zuid-Nederland</v>
      </c>
      <c r="K482" t="str">
        <v>Te koop</v>
      </c>
      <c r="L482" t="str">
        <v>Onbekend</v>
      </c>
      <c r="M482" t="str">
        <v>Onbekend</v>
      </c>
      <c r="N482">
        <v>394500</v>
      </c>
      <c r="O482" t="str">
        <v>v.o.n.</v>
      </c>
      <c r="P482">
        <v>94</v>
      </c>
      <c r="Q482">
        <v>4197</v>
      </c>
      <c r="R482" t="str">
        <v>Onbekend</v>
      </c>
      <c r="S482" t="str">
        <v>A+++</v>
      </c>
      <c r="T482">
        <v>4</v>
      </c>
      <c r="U482">
        <v>2</v>
      </c>
      <c r="V482" t="str">
        <v>Appartement</v>
      </c>
      <c r="W482" t="str">
        <v>Appartement</v>
      </c>
      <c r="X482" t="str">
        <v>Appartement 75-100 m²</v>
      </c>
      <c r="Y482" t="str">
        <v>Ja</v>
      </c>
      <c r="Z482" t="str">
        <v>openbare parkeerplaats</v>
      </c>
      <c r="AA482" t="str">
        <v>2026</v>
      </c>
      <c r="AB482" t="str">
        <v>Nee</v>
      </c>
      <c r="AC482" t="str">
        <v>NEE</v>
      </c>
      <c r="AD482" t="str">
        <v>JA</v>
      </c>
    </row>
    <row r="483">
      <c r="A483" t="str">
        <v>44428524</v>
      </c>
      <c r="B483" t="str">
        <v>https://www.funda.nl/detail/koop/rossum-ov/huis-hutt-rossum-bungalow-bouwnummer-11-bouwnr-11/44428524/</v>
      </c>
      <c r="C483" t="str">
        <v>Hutt Rossum</v>
      </c>
      <c r="D483" t="str">
        <v>Hutt Rossum - bungalow bouwnummer 11</v>
      </c>
      <c r="E483" t="str">
        <v>11</v>
      </c>
      <c r="F483" t="str">
        <v>7596 KE</v>
      </c>
      <c r="G483" t="str">
        <v>Rossum (OV)</v>
      </c>
      <c r="H483" t="str">
        <v>Dinkelland</v>
      </c>
      <c r="I483" t="str">
        <v>Overijssel</v>
      </c>
      <c r="J483" t="str">
        <v>Oost-Nederland</v>
      </c>
      <c r="K483" t="str">
        <v>Te koop</v>
      </c>
      <c r="L483" t="str">
        <v>Onbekend</v>
      </c>
      <c r="M483" t="str">
        <v>Onbekend</v>
      </c>
      <c r="N483">
        <v>588000</v>
      </c>
      <c r="O483" t="str">
        <v>v.o.n.</v>
      </c>
      <c r="P483">
        <v>156</v>
      </c>
      <c r="Q483">
        <v>3769</v>
      </c>
      <c r="R483">
        <v>277</v>
      </c>
      <c r="S483" t="str">
        <v>A+++</v>
      </c>
      <c r="T483">
        <v>4</v>
      </c>
      <c r="U483">
        <v>3</v>
      </c>
      <c r="V483" t="str">
        <v>Grondgebonden</v>
      </c>
      <c r="W483" t="str">
        <v>Geschakelde woning</v>
      </c>
      <c r="X483" t="str">
        <v>N.v.t.</v>
      </c>
      <c r="Y483" t="str">
        <v>Ja</v>
      </c>
      <c r="Z483" t="str">
        <v>openbare parkeerplaats</v>
      </c>
      <c r="AA483" t="str">
        <v>2027</v>
      </c>
      <c r="AB483" t="str">
        <v>Nee</v>
      </c>
      <c r="AC483" t="str">
        <v>NEE</v>
      </c>
      <c r="AD483" t="str">
        <v>JA</v>
      </c>
    </row>
    <row r="484">
      <c r="A484" t="str">
        <v>44428523</v>
      </c>
      <c r="B484" t="str">
        <v>https://www.funda.nl/detail/koop/rossum-ov/huis-hutt-rossum-bungalow-bouwnummer-10-bouwnr-10/44428523/</v>
      </c>
      <c r="C484" t="str">
        <v>Hutt Rossum</v>
      </c>
      <c r="D484" t="str">
        <v>Hutt Rossum - bungalow bouwnummer 10</v>
      </c>
      <c r="E484" t="str">
        <v>10</v>
      </c>
      <c r="F484" t="str">
        <v>7596 KE</v>
      </c>
      <c r="G484" t="str">
        <v>Rossum (OV)</v>
      </c>
      <c r="H484" t="str">
        <v>Dinkelland</v>
      </c>
      <c r="I484" t="str">
        <v>Overijssel</v>
      </c>
      <c r="J484" t="str">
        <v>Oost-Nederland</v>
      </c>
      <c r="K484" t="str">
        <v>Te koop</v>
      </c>
      <c r="L484" t="str">
        <v>Onbekend</v>
      </c>
      <c r="M484" t="str">
        <v>Onbekend</v>
      </c>
      <c r="N484">
        <v>588000</v>
      </c>
      <c r="O484" t="str">
        <v>v.o.n.</v>
      </c>
      <c r="P484">
        <v>156</v>
      </c>
      <c r="Q484">
        <v>3769</v>
      </c>
      <c r="R484">
        <v>282</v>
      </c>
      <c r="S484" t="str">
        <v>A+++</v>
      </c>
      <c r="T484">
        <v>4</v>
      </c>
      <c r="U484">
        <v>3</v>
      </c>
      <c r="V484" t="str">
        <v>Grondgebonden</v>
      </c>
      <c r="W484" t="str">
        <v>Geschakelde woning</v>
      </c>
      <c r="X484" t="str">
        <v>N.v.t.</v>
      </c>
      <c r="Y484" t="str">
        <v>Ja</v>
      </c>
      <c r="Z484" t="str">
        <v>openbare parkeerplaats</v>
      </c>
      <c r="AA484" t="str">
        <v>2027</v>
      </c>
      <c r="AB484" t="str">
        <v>Nee</v>
      </c>
      <c r="AC484" t="str">
        <v>NEE</v>
      </c>
      <c r="AD484" t="str">
        <v>JA</v>
      </c>
    </row>
    <row r="485">
      <c r="A485" t="str">
        <v>44428512</v>
      </c>
      <c r="B485" t="str">
        <v>https://www.funda.nl/detail/koop/rossum-ov/huis-hutt-rossum-rijwoning-bouwnummer-5-bouwnr-5/44428512/</v>
      </c>
      <c r="C485" t="str">
        <v>Hutt Rossum</v>
      </c>
      <c r="D485" t="str">
        <v>Hutt Rossum - rijwoning bouwnummer 5</v>
      </c>
      <c r="E485" t="str">
        <v>5</v>
      </c>
      <c r="F485" t="str">
        <v>7596 KE</v>
      </c>
      <c r="G485" t="str">
        <v>Rossum (OV)</v>
      </c>
      <c r="H485" t="str">
        <v>Dinkelland</v>
      </c>
      <c r="I485" t="str">
        <v>Overijssel</v>
      </c>
      <c r="J485" t="str">
        <v>Oost-Nederland</v>
      </c>
      <c r="K485" t="str">
        <v>Te koop</v>
      </c>
      <c r="L485" t="str">
        <v>Onbekend</v>
      </c>
      <c r="M485" t="str">
        <v>Onbekend</v>
      </c>
      <c r="N485">
        <v>405000</v>
      </c>
      <c r="O485" t="str">
        <v>v.o.n.</v>
      </c>
      <c r="P485">
        <v>113</v>
      </c>
      <c r="Q485">
        <v>3584</v>
      </c>
      <c r="R485">
        <v>128</v>
      </c>
      <c r="S485" t="str">
        <v>A+++</v>
      </c>
      <c r="T485">
        <v>4</v>
      </c>
      <c r="U485">
        <v>3</v>
      </c>
      <c r="V485" t="str">
        <v>Grondgebonden</v>
      </c>
      <c r="W485" t="str">
        <v>Eindwoning</v>
      </c>
      <c r="X485" t="str">
        <v>N.v.t.</v>
      </c>
      <c r="Y485" t="str">
        <v>Ja</v>
      </c>
      <c r="Z485" t="str">
        <v>openbare parkeerplaats</v>
      </c>
      <c r="AA485" t="str">
        <v>2027</v>
      </c>
      <c r="AB485" t="str">
        <v>Nee</v>
      </c>
      <c r="AC485" t="str">
        <v>NEE</v>
      </c>
      <c r="AD485" t="str">
        <v>JA</v>
      </c>
    </row>
    <row r="486">
      <c r="A486" t="str">
        <v>44428511</v>
      </c>
      <c r="B486" t="str">
        <v>https://www.funda.nl/detail/koop/rossum-ov/huis-hutt-rossum-bungalow-bouwnummer-13-bouwnr-13/44428511/</v>
      </c>
      <c r="C486" t="str">
        <v>Hutt Rossum</v>
      </c>
      <c r="D486" t="str">
        <v>Hutt Rossum - bungalow bouwnummer 13</v>
      </c>
      <c r="E486" t="str">
        <v>13</v>
      </c>
      <c r="F486" t="str">
        <v>7596 KE</v>
      </c>
      <c r="G486" t="str">
        <v>Rossum (OV)</v>
      </c>
      <c r="H486" t="str">
        <v>Dinkelland</v>
      </c>
      <c r="I486" t="str">
        <v>Overijssel</v>
      </c>
      <c r="J486" t="str">
        <v>Oost-Nederland</v>
      </c>
      <c r="K486" t="str">
        <v>Te koop</v>
      </c>
      <c r="L486" t="str">
        <v>Onbekend</v>
      </c>
      <c r="M486" t="str">
        <v>Onbekend</v>
      </c>
      <c r="N486">
        <v>598000</v>
      </c>
      <c r="O486" t="str">
        <v>v.o.n.</v>
      </c>
      <c r="P486">
        <v>156</v>
      </c>
      <c r="Q486">
        <v>3833</v>
      </c>
      <c r="R486">
        <v>267</v>
      </c>
      <c r="S486" t="str">
        <v>A+++</v>
      </c>
      <c r="T486">
        <v>4</v>
      </c>
      <c r="U486">
        <v>3</v>
      </c>
      <c r="V486" t="str">
        <v>Grondgebonden</v>
      </c>
      <c r="W486" t="str">
        <v>Geschakelde woning</v>
      </c>
      <c r="X486" t="str">
        <v>N.v.t.</v>
      </c>
      <c r="Y486" t="str">
        <v>Ja</v>
      </c>
      <c r="Z486" t="str">
        <v>openbare parkeerplaats</v>
      </c>
      <c r="AA486" t="str">
        <v>2027</v>
      </c>
      <c r="AB486" t="str">
        <v>Nee</v>
      </c>
      <c r="AC486" t="str">
        <v>NEE</v>
      </c>
      <c r="AD486" t="str">
        <v>JA</v>
      </c>
    </row>
    <row r="487">
      <c r="A487" t="str">
        <v>44428510</v>
      </c>
      <c r="B487" t="str">
        <v>https://www.funda.nl/detail/koop/rossum-ov/huis-hutt-rossum-bungalow-bouwnummer-12-bouwnr-12/44428510/</v>
      </c>
      <c r="C487" t="str">
        <v>Hutt Rossum</v>
      </c>
      <c r="D487" t="str">
        <v>Hutt Rossum - bungalow bouwnummer 12</v>
      </c>
      <c r="E487" t="str">
        <v>12</v>
      </c>
      <c r="F487" t="str">
        <v>7596 KE</v>
      </c>
      <c r="G487" t="str">
        <v>Rossum (OV)</v>
      </c>
      <c r="H487" t="str">
        <v>Dinkelland</v>
      </c>
      <c r="I487" t="str">
        <v>Overijssel</v>
      </c>
      <c r="J487" t="str">
        <v>Oost-Nederland</v>
      </c>
      <c r="K487" t="str">
        <v>Te koop</v>
      </c>
      <c r="L487" t="str">
        <v>Onbekend</v>
      </c>
      <c r="M487" t="str">
        <v>Onbekend</v>
      </c>
      <c r="N487">
        <v>588000</v>
      </c>
      <c r="O487" t="str">
        <v>v.o.n.</v>
      </c>
      <c r="P487">
        <v>156</v>
      </c>
      <c r="Q487">
        <v>3769</v>
      </c>
      <c r="R487">
        <v>271</v>
      </c>
      <c r="S487" t="str">
        <v>A+++</v>
      </c>
      <c r="T487">
        <v>4</v>
      </c>
      <c r="U487">
        <v>3</v>
      </c>
      <c r="V487" t="str">
        <v>Grondgebonden</v>
      </c>
      <c r="W487" t="str">
        <v>Geschakelde woning</v>
      </c>
      <c r="X487" t="str">
        <v>N.v.t.</v>
      </c>
      <c r="Y487" t="str">
        <v>Ja</v>
      </c>
      <c r="Z487" t="str">
        <v>openbare parkeerplaats</v>
      </c>
      <c r="AA487" t="str">
        <v>2027</v>
      </c>
      <c r="AB487" t="str">
        <v>Nee</v>
      </c>
      <c r="AC487" t="str">
        <v>NEE</v>
      </c>
      <c r="AD487" t="str">
        <v>JA</v>
      </c>
    </row>
    <row r="488">
      <c r="A488" t="str">
        <v>44428519</v>
      </c>
      <c r="B488" t="str">
        <v>https://www.funda.nl/detail/koop/rossum-ov/huis-hutt-rossum-bungalow-bouwnummer-14-bouwnr-14/44428519/</v>
      </c>
      <c r="C488" t="str">
        <v>Hutt Rossum</v>
      </c>
      <c r="D488" t="str">
        <v>Hutt Rossum - bungalow bouwnummer 14</v>
      </c>
      <c r="E488" t="str">
        <v>14</v>
      </c>
      <c r="F488" t="str">
        <v>7596 KE</v>
      </c>
      <c r="G488" t="str">
        <v>Rossum (OV)</v>
      </c>
      <c r="H488" t="str">
        <v>Dinkelland</v>
      </c>
      <c r="I488" t="str">
        <v>Overijssel</v>
      </c>
      <c r="J488" t="str">
        <v>Oost-Nederland</v>
      </c>
      <c r="K488" t="str">
        <v>Te koop</v>
      </c>
      <c r="L488" t="str">
        <v>Onbekend</v>
      </c>
      <c r="M488" t="str">
        <v>Onbekend</v>
      </c>
      <c r="N488">
        <v>650000</v>
      </c>
      <c r="O488" t="str">
        <v>v.o.n.</v>
      </c>
      <c r="P488">
        <v>153</v>
      </c>
      <c r="Q488">
        <v>4248</v>
      </c>
      <c r="R488">
        <v>529</v>
      </c>
      <c r="S488" t="str">
        <v>A+++</v>
      </c>
      <c r="T488">
        <v>4</v>
      </c>
      <c r="U488">
        <v>3</v>
      </c>
      <c r="V488" t="str">
        <v>Grondgebonden</v>
      </c>
      <c r="W488" t="str">
        <v>Geschakelde woning</v>
      </c>
      <c r="X488" t="str">
        <v>N.v.t.</v>
      </c>
      <c r="Y488" t="str">
        <v>Ja</v>
      </c>
      <c r="Z488" t="str">
        <v>openbare parkeerplaats</v>
      </c>
      <c r="AA488" t="str">
        <v>2027</v>
      </c>
      <c r="AB488" t="str">
        <v>Nee</v>
      </c>
      <c r="AC488" t="str">
        <v>NEE</v>
      </c>
      <c r="AD488" t="str">
        <v>JA</v>
      </c>
    </row>
    <row r="489">
      <c r="A489" t="str">
        <v>44428518</v>
      </c>
      <c r="B489" t="str">
        <v>https://www.funda.nl/detail/koop/rossum-ov/huis-hutt-rossum-rijwoning-bouwnummer-2-bouwnr-2/44428518/</v>
      </c>
      <c r="C489" t="str">
        <v>Hutt Rossum</v>
      </c>
      <c r="D489" t="str">
        <v>Hutt Rossum - rijwoning bouwnummer 2</v>
      </c>
      <c r="E489" t="str">
        <v>2</v>
      </c>
      <c r="F489" t="str">
        <v>7596 KE</v>
      </c>
      <c r="G489" t="str">
        <v>Rossum (OV)</v>
      </c>
      <c r="H489" t="str">
        <v>Dinkelland</v>
      </c>
      <c r="I489" t="str">
        <v>Overijssel</v>
      </c>
      <c r="J489" t="str">
        <v>Oost-Nederland</v>
      </c>
      <c r="K489" t="str">
        <v>Te koop</v>
      </c>
      <c r="L489" t="str">
        <v>Onbekend</v>
      </c>
      <c r="M489" t="str">
        <v>Onbekend</v>
      </c>
      <c r="N489">
        <v>405000</v>
      </c>
      <c r="O489" t="str">
        <v>v.o.n.</v>
      </c>
      <c r="P489">
        <v>113</v>
      </c>
      <c r="Q489">
        <v>3584</v>
      </c>
      <c r="R489">
        <v>134</v>
      </c>
      <c r="S489" t="str">
        <v>A+++</v>
      </c>
      <c r="T489">
        <v>4</v>
      </c>
      <c r="U489">
        <v>3</v>
      </c>
      <c r="V489" t="str">
        <v>Grondgebonden</v>
      </c>
      <c r="W489" t="str">
        <v>Tussenwoning</v>
      </c>
      <c r="X489" t="str">
        <v>N.v.t.</v>
      </c>
      <c r="Y489" t="str">
        <v>Ja</v>
      </c>
      <c r="Z489" t="str">
        <v>openbare parkeerplaats</v>
      </c>
      <c r="AA489" t="str">
        <v>2027</v>
      </c>
      <c r="AB489" t="str">
        <v>Nee</v>
      </c>
      <c r="AC489" t="str">
        <v>NEE</v>
      </c>
      <c r="AD489" t="str">
        <v>JA</v>
      </c>
    </row>
    <row r="490">
      <c r="A490" t="str">
        <v>44428517</v>
      </c>
      <c r="B490" t="str">
        <v>https://www.funda.nl/detail/koop/rossum-ov/huis-hutt-rossum-rijwoning-bouwnummer-3-bouwnr-3/44428517/</v>
      </c>
      <c r="C490" t="str">
        <v>Hutt Rossum</v>
      </c>
      <c r="D490" t="str">
        <v>Hutt Rossum - rijwoning bouwnummer 3</v>
      </c>
      <c r="E490" t="str">
        <v>3</v>
      </c>
      <c r="F490" t="str">
        <v>7596 KE</v>
      </c>
      <c r="G490" t="str">
        <v>Rossum (OV)</v>
      </c>
      <c r="H490" t="str">
        <v>Dinkelland</v>
      </c>
      <c r="I490" t="str">
        <v>Overijssel</v>
      </c>
      <c r="J490" t="str">
        <v>Oost-Nederland</v>
      </c>
      <c r="K490" t="str">
        <v>Te koop</v>
      </c>
      <c r="L490" t="str">
        <v>2026-07-05</v>
      </c>
      <c r="M490">
        <v>8</v>
      </c>
      <c r="N490">
        <v>405000</v>
      </c>
      <c r="O490" t="str">
        <v>v.o.n.</v>
      </c>
      <c r="P490">
        <v>113</v>
      </c>
      <c r="Q490">
        <v>3584</v>
      </c>
      <c r="R490">
        <v>134</v>
      </c>
      <c r="S490" t="str">
        <v>A+++</v>
      </c>
      <c r="T490">
        <v>4</v>
      </c>
      <c r="U490">
        <v>3</v>
      </c>
      <c r="V490" t="str">
        <v>Grondgebonden</v>
      </c>
      <c r="W490" t="str">
        <v>Tussenwoning</v>
      </c>
      <c r="X490" t="str">
        <v>N.v.t.</v>
      </c>
      <c r="Y490" t="str">
        <v>Ja</v>
      </c>
      <c r="Z490" t="str">
        <v>openbare parkeerplaats</v>
      </c>
      <c r="AA490" t="str">
        <v>2027</v>
      </c>
      <c r="AB490" t="str">
        <v>Nee</v>
      </c>
      <c r="AC490" t="str">
        <v>NEE</v>
      </c>
      <c r="AD490" t="str">
        <v>JA</v>
      </c>
    </row>
    <row r="491">
      <c r="A491" t="str">
        <v>44428516</v>
      </c>
      <c r="B491" t="str">
        <v>https://www.funda.nl/detail/koop/rossum-ov/huis-hutt-rossum-rijwoning-bouwnummer-4-bouwnr-4/44428516/</v>
      </c>
      <c r="C491" t="str">
        <v>Hutt Rossum</v>
      </c>
      <c r="D491" t="str">
        <v>Hutt Rossum - rijwoning bouwnummer 4</v>
      </c>
      <c r="E491" t="str">
        <v>4</v>
      </c>
      <c r="F491" t="str">
        <v>7596 KE</v>
      </c>
      <c r="G491" t="str">
        <v>Rossum (OV)</v>
      </c>
      <c r="H491" t="str">
        <v>Dinkelland</v>
      </c>
      <c r="I491" t="str">
        <v>Overijssel</v>
      </c>
      <c r="J491" t="str">
        <v>Oost-Nederland</v>
      </c>
      <c r="K491" t="str">
        <v>Te koop</v>
      </c>
      <c r="L491" t="str">
        <v>Onbekend</v>
      </c>
      <c r="M491" t="str">
        <v>Onbekend</v>
      </c>
      <c r="N491">
        <v>405000</v>
      </c>
      <c r="O491" t="str">
        <v>v.o.n.</v>
      </c>
      <c r="P491">
        <v>113</v>
      </c>
      <c r="Q491">
        <v>3584</v>
      </c>
      <c r="R491">
        <v>134</v>
      </c>
      <c r="S491" t="str">
        <v>A+++</v>
      </c>
      <c r="T491">
        <v>4</v>
      </c>
      <c r="U491">
        <v>3</v>
      </c>
      <c r="V491" t="str">
        <v>Grondgebonden</v>
      </c>
      <c r="W491" t="str">
        <v>Tussenwoning</v>
      </c>
      <c r="X491" t="str">
        <v>N.v.t.</v>
      </c>
      <c r="Y491" t="str">
        <v>Ja</v>
      </c>
      <c r="Z491" t="str">
        <v>openbare parkeerplaats</v>
      </c>
      <c r="AA491" t="str">
        <v>2027</v>
      </c>
      <c r="AB491" t="str">
        <v>Nee</v>
      </c>
      <c r="AC491" t="str">
        <v>NEE</v>
      </c>
      <c r="AD491" t="str">
        <v>JA</v>
      </c>
    </row>
    <row r="492">
      <c r="A492" t="str">
        <v>44428515</v>
      </c>
      <c r="B492" t="str">
        <v>https://www.funda.nl/detail/koop/rossum-ov/huis-hutt-rossum-rijwoning-bouwnummer-1-bouwnr-1/44428515/</v>
      </c>
      <c r="C492" t="str">
        <v>Hutt Rossum</v>
      </c>
      <c r="D492" t="str">
        <v>Hutt Rossum - rijwoning bouwnummer 1</v>
      </c>
      <c r="E492" t="str">
        <v>1</v>
      </c>
      <c r="F492" t="str">
        <v>7596 KE</v>
      </c>
      <c r="G492" t="str">
        <v>Rossum (OV)</v>
      </c>
      <c r="H492" t="str">
        <v>Dinkelland</v>
      </c>
      <c r="I492" t="str">
        <v>Overijssel</v>
      </c>
      <c r="J492" t="str">
        <v>Oost-Nederland</v>
      </c>
      <c r="K492" t="str">
        <v>Te koop</v>
      </c>
      <c r="L492" t="str">
        <v>Onbekend</v>
      </c>
      <c r="M492" t="str">
        <v>Onbekend</v>
      </c>
      <c r="N492">
        <v>405000</v>
      </c>
      <c r="O492" t="str">
        <v>v.o.n.</v>
      </c>
      <c r="P492">
        <v>113</v>
      </c>
      <c r="Q492">
        <v>3584</v>
      </c>
      <c r="R492">
        <v>182</v>
      </c>
      <c r="S492" t="str">
        <v>A+++</v>
      </c>
      <c r="T492">
        <v>4</v>
      </c>
      <c r="U492">
        <v>3</v>
      </c>
      <c r="V492" t="str">
        <v>Grondgebonden</v>
      </c>
      <c r="W492" t="str">
        <v>Eindwoning</v>
      </c>
      <c r="X492" t="str">
        <v>N.v.t.</v>
      </c>
      <c r="Y492" t="str">
        <v>Ja</v>
      </c>
      <c r="Z492" t="str">
        <v>openbare parkeerplaats</v>
      </c>
      <c r="AA492" t="str">
        <v>2027</v>
      </c>
      <c r="AB492" t="str">
        <v>Nee</v>
      </c>
      <c r="AC492" t="str">
        <v>NEE</v>
      </c>
      <c r="AD492" t="str">
        <v>JA</v>
      </c>
    </row>
    <row r="493">
      <c r="A493" t="str">
        <v>80882629</v>
      </c>
      <c r="B493" t="str">
        <v>https://www.funda.nl/detail/koop/hoofddorp/appartement-hadidkade-60/80882629/</v>
      </c>
      <c r="C493" t="str">
        <v>Onbekend</v>
      </c>
      <c r="D493" t="str">
        <v>Hadidkade 60</v>
      </c>
      <c r="E493" t="str">
        <v>Onbekend</v>
      </c>
      <c r="F493" t="str">
        <v>2132 GX</v>
      </c>
      <c r="G493" t="str">
        <v>Hoofddorp</v>
      </c>
      <c r="H493" t="str">
        <v>Haarlemmermeer</v>
      </c>
      <c r="I493" t="str">
        <v>Noord-Holland</v>
      </c>
      <c r="J493" t="str">
        <v>West-Nederland</v>
      </c>
      <c r="K493" t="str">
        <v>Te koop</v>
      </c>
      <c r="L493" t="str">
        <v>Onbekend</v>
      </c>
      <c r="M493" t="str">
        <v>Onbekend</v>
      </c>
      <c r="N493">
        <v>399000</v>
      </c>
      <c r="O493" t="str">
        <v>k.k.</v>
      </c>
      <c r="P493">
        <v>49</v>
      </c>
      <c r="Q493">
        <v>8143</v>
      </c>
      <c r="R493" t="str">
        <v>Onbekend</v>
      </c>
      <c r="S493" t="str">
        <v>A++</v>
      </c>
      <c r="T493">
        <v>2</v>
      </c>
      <c r="U493">
        <v>1</v>
      </c>
      <c r="V493" t="str">
        <v>Appartement</v>
      </c>
      <c r="W493" t="str">
        <v>Appartement</v>
      </c>
      <c r="X493" t="str">
        <v>Appartement &lt;50 m²</v>
      </c>
      <c r="Y493" t="str">
        <v>Onbekend</v>
      </c>
      <c r="Z493" t="str">
        <v>onbekend</v>
      </c>
      <c r="AA493" t="str">
        <v>2026</v>
      </c>
      <c r="AB493" t="str">
        <v>Nee</v>
      </c>
      <c r="AC493" t="str">
        <v>NEE</v>
      </c>
      <c r="AD493" t="str">
        <v>JA</v>
      </c>
    </row>
    <row r="494">
      <c r="A494" t="str">
        <v>44428997</v>
      </c>
      <c r="B494" t="str">
        <v>https://www.funda.nl/detail/koop/amsterdam/huis-van-moerkerkenstraat-35/44428997/</v>
      </c>
      <c r="C494" t="str">
        <v>Onbekend</v>
      </c>
      <c r="D494" t="str">
        <v>Van Moerkerkenstraat 35</v>
      </c>
      <c r="E494" t="str">
        <v>Onbekend</v>
      </c>
      <c r="F494" t="str">
        <v>1064 KC</v>
      </c>
      <c r="G494" t="str">
        <v>Amsterdam</v>
      </c>
      <c r="H494" t="str">
        <v>Amsterdam</v>
      </c>
      <c r="I494" t="str">
        <v>Noord-Holland</v>
      </c>
      <c r="J494" t="str">
        <v>West-Nederland</v>
      </c>
      <c r="K494" t="str">
        <v>Te koop</v>
      </c>
      <c r="L494" t="str">
        <v>Onbekend</v>
      </c>
      <c r="M494" t="str">
        <v>Onbekend</v>
      </c>
      <c r="N494">
        <v>475000</v>
      </c>
      <c r="O494" t="str">
        <v>v.o.n.</v>
      </c>
      <c r="P494">
        <v>82</v>
      </c>
      <c r="Q494">
        <v>5793</v>
      </c>
      <c r="R494">
        <v>58</v>
      </c>
      <c r="S494" t="str">
        <v>A++</v>
      </c>
      <c r="T494">
        <v>4</v>
      </c>
      <c r="U494">
        <v>3</v>
      </c>
      <c r="V494" t="str">
        <v>Grondgebonden</v>
      </c>
      <c r="W494" t="str">
        <v>Tussenwoning</v>
      </c>
      <c r="X494" t="str">
        <v>N.v.t.</v>
      </c>
      <c r="Y494" t="str">
        <v>Ja</v>
      </c>
      <c r="Z494" t="str">
        <v>openbare parkeerplaats</v>
      </c>
      <c r="AA494" t="str">
        <v>2026</v>
      </c>
      <c r="AB494" t="str">
        <v>Nee</v>
      </c>
      <c r="AC494" t="str">
        <v>NEE</v>
      </c>
      <c r="AD494" t="str">
        <v>JA</v>
      </c>
    </row>
    <row r="495">
      <c r="A495" t="str">
        <v>44428900</v>
      </c>
      <c r="B495" t="str">
        <v>https://www.funda.nl/detail/koop/capelle-aan-den-ijssel/appartement-rivium-1e-straat-61-p/44428900/</v>
      </c>
      <c r="C495" t="str">
        <v>Rive Tower</v>
      </c>
      <c r="D495" t="str">
        <v>Rivium 1e straat 61-P</v>
      </c>
      <c r="E495" t="str">
        <v>Onbekend</v>
      </c>
      <c r="F495" t="str">
        <v>2909 LE</v>
      </c>
      <c r="G495" t="str">
        <v>Capelle aan den IJssel</v>
      </c>
      <c r="H495" t="str">
        <v>Capelle aan den IJssel</v>
      </c>
      <c r="I495" t="str">
        <v>Zuid-Holland</v>
      </c>
      <c r="J495" t="str">
        <v>West-Nederland</v>
      </c>
      <c r="K495" t="str">
        <v>Te koop</v>
      </c>
      <c r="L495" t="str">
        <v>Onbekend</v>
      </c>
      <c r="M495" t="str">
        <v>Onbekend</v>
      </c>
      <c r="N495">
        <v>327500</v>
      </c>
      <c r="O495" t="str">
        <v>k.k.</v>
      </c>
      <c r="P495">
        <v>48</v>
      </c>
      <c r="Q495">
        <v>6823</v>
      </c>
      <c r="R495" t="str">
        <v>Onbekend</v>
      </c>
      <c r="S495" t="str">
        <v>A</v>
      </c>
      <c r="T495">
        <v>2</v>
      </c>
      <c r="U495">
        <v>1</v>
      </c>
      <c r="V495" t="str">
        <v>Appartement</v>
      </c>
      <c r="W495" t="str">
        <v>Appartement</v>
      </c>
      <c r="X495" t="str">
        <v>Appartement &lt;50 m²</v>
      </c>
      <c r="Y495" t="str">
        <v>Ja</v>
      </c>
      <c r="Z495" t="str">
        <v>openbare parkeerplaats</v>
      </c>
      <c r="AA495" t="str">
        <v>1991</v>
      </c>
      <c r="AB495" t="str">
        <v>Nee</v>
      </c>
      <c r="AC495" t="str">
        <v>NEE</v>
      </c>
      <c r="AD495" t="str">
        <v>JA</v>
      </c>
    </row>
    <row r="496">
      <c r="A496" t="str">
        <v>44428484</v>
      </c>
      <c r="B496" t="str">
        <v>https://www.funda.nl/detail/koop/hengelo-ov/appartement-de-bakker-bouwnr-16/44428484/</v>
      </c>
      <c r="C496" t="str">
        <v>De Concurrent Hengelo</v>
      </c>
      <c r="D496" t="str">
        <v>De Bakker</v>
      </c>
      <c r="E496" t="str">
        <v>16</v>
      </c>
      <c r="F496" t="str">
        <v>7553 JT</v>
      </c>
      <c r="G496" t="str">
        <v>Hengelo (OV)</v>
      </c>
      <c r="H496" t="str">
        <v>Hengelo (O)</v>
      </c>
      <c r="I496" t="str">
        <v>Overijssel</v>
      </c>
      <c r="J496" t="str">
        <v>Oost-Nederland</v>
      </c>
      <c r="K496" t="str">
        <v>Te koop</v>
      </c>
      <c r="L496" t="str">
        <v>Onbekend</v>
      </c>
      <c r="M496" t="str">
        <v>Onbekend</v>
      </c>
      <c r="N496">
        <v>329250</v>
      </c>
      <c r="O496" t="str">
        <v>v.o.n.</v>
      </c>
      <c r="P496">
        <v>77</v>
      </c>
      <c r="Q496">
        <v>4276</v>
      </c>
      <c r="R496" t="str">
        <v>Onbekend</v>
      </c>
      <c r="S496" t="str">
        <v>A+++</v>
      </c>
      <c r="T496">
        <v>3</v>
      </c>
      <c r="U496">
        <v>2</v>
      </c>
      <c r="V496" t="str">
        <v>Appartement</v>
      </c>
      <c r="W496" t="str">
        <v>Appartement</v>
      </c>
      <c r="X496" t="str">
        <v>Appartement 75-100 m²</v>
      </c>
      <c r="Y496" t="str">
        <v>Ja</v>
      </c>
      <c r="Z496" t="str">
        <v>eigen parkeerplaats</v>
      </c>
      <c r="AA496" t="str">
        <v>Na 2020</v>
      </c>
      <c r="AB496" t="str">
        <v>Nee</v>
      </c>
      <c r="AC496" t="str">
        <v>NEE</v>
      </c>
      <c r="AD496" t="str">
        <v>JA</v>
      </c>
    </row>
    <row r="497">
      <c r="A497" t="str">
        <v>44428483</v>
      </c>
      <c r="B497" t="str">
        <v>https://www.funda.nl/detail/koop/hengelo-ov/appartement-de-bakker-bouwnr-26/44428483/</v>
      </c>
      <c r="C497" t="str">
        <v>De Concurrent Hengelo</v>
      </c>
      <c r="D497" t="str">
        <v>De Bakker</v>
      </c>
      <c r="E497" t="str">
        <v>26</v>
      </c>
      <c r="F497" t="str">
        <v>7553 JT</v>
      </c>
      <c r="G497" t="str">
        <v>Hengelo (OV)</v>
      </c>
      <c r="H497" t="str">
        <v>Hengelo (O)</v>
      </c>
      <c r="I497" t="str">
        <v>Overijssel</v>
      </c>
      <c r="J497" t="str">
        <v>Oost-Nederland</v>
      </c>
      <c r="K497" t="str">
        <v>Te koop</v>
      </c>
      <c r="L497" t="str">
        <v>Onbekend</v>
      </c>
      <c r="M497" t="str">
        <v>Onbekend</v>
      </c>
      <c r="N497">
        <v>332000</v>
      </c>
      <c r="O497" t="str">
        <v>v.o.n.</v>
      </c>
      <c r="P497">
        <v>77</v>
      </c>
      <c r="Q497">
        <v>4312</v>
      </c>
      <c r="R497" t="str">
        <v>Onbekend</v>
      </c>
      <c r="S497" t="str">
        <v>A+++</v>
      </c>
      <c r="T497">
        <v>3</v>
      </c>
      <c r="U497">
        <v>2</v>
      </c>
      <c r="V497" t="str">
        <v>Appartement</v>
      </c>
      <c r="W497" t="str">
        <v>Appartement</v>
      </c>
      <c r="X497" t="str">
        <v>Appartement 75-100 m²</v>
      </c>
      <c r="Y497" t="str">
        <v>Ja</v>
      </c>
      <c r="Z497" t="str">
        <v>eigen parkeerplaats</v>
      </c>
      <c r="AA497" t="str">
        <v>Na 2020</v>
      </c>
      <c r="AB497" t="str">
        <v>Nee</v>
      </c>
      <c r="AC497" t="str">
        <v>NEE</v>
      </c>
      <c r="AD497" t="str">
        <v>JA</v>
      </c>
    </row>
    <row r="498">
      <c r="A498" t="str">
        <v>44428472</v>
      </c>
      <c r="B498" t="str">
        <v>https://www.funda.nl/detail/koop/hengelo-ov/appartement-de-meester-bouwnr-21/44428472/</v>
      </c>
      <c r="C498" t="str">
        <v>De Concurrent Hengelo</v>
      </c>
      <c r="D498" t="str">
        <v>De Meester</v>
      </c>
      <c r="E498" t="str">
        <v>21</v>
      </c>
      <c r="F498" t="str">
        <v>7553 JT</v>
      </c>
      <c r="G498" t="str">
        <v>Hengelo (OV)</v>
      </c>
      <c r="H498" t="str">
        <v>Hengelo (O)</v>
      </c>
      <c r="I498" t="str">
        <v>Overijssel</v>
      </c>
      <c r="J498" t="str">
        <v>Oost-Nederland</v>
      </c>
      <c r="K498" t="str">
        <v>Te koop</v>
      </c>
      <c r="L498" t="str">
        <v>Onbekend</v>
      </c>
      <c r="M498" t="str">
        <v>Onbekend</v>
      </c>
      <c r="N498">
        <v>487500</v>
      </c>
      <c r="O498" t="str">
        <v>v.o.n.</v>
      </c>
      <c r="P498">
        <v>96</v>
      </c>
      <c r="Q498">
        <v>5078</v>
      </c>
      <c r="R498" t="str">
        <v>Onbekend</v>
      </c>
      <c r="S498" t="str">
        <v>A+++</v>
      </c>
      <c r="T498">
        <v>3</v>
      </c>
      <c r="U498">
        <v>2</v>
      </c>
      <c r="V498" t="str">
        <v>Appartement</v>
      </c>
      <c r="W498" t="str">
        <v>Appartement</v>
      </c>
      <c r="X498" t="str">
        <v>Appartement 75-100 m²</v>
      </c>
      <c r="Y498" t="str">
        <v>Ja</v>
      </c>
      <c r="Z498" t="str">
        <v>eigen parkeerplaats</v>
      </c>
      <c r="AA498" t="str">
        <v>Na 2020</v>
      </c>
      <c r="AB498" t="str">
        <v>Nee</v>
      </c>
      <c r="AC498" t="str">
        <v>NEE</v>
      </c>
      <c r="AD498" t="str">
        <v>JA</v>
      </c>
    </row>
    <row r="499">
      <c r="A499" t="str">
        <v>44428471</v>
      </c>
      <c r="B499" t="str">
        <v>https://www.funda.nl/detail/koop/hengelo-ov/appartement-de-meester-bouwnr-28/44428471/</v>
      </c>
      <c r="C499" t="str">
        <v>De Concurrent Hengelo</v>
      </c>
      <c r="D499" t="str">
        <v>De Meester</v>
      </c>
      <c r="E499" t="str">
        <v>28</v>
      </c>
      <c r="F499" t="str">
        <v>7553 JT</v>
      </c>
      <c r="G499" t="str">
        <v>Hengelo (OV)</v>
      </c>
      <c r="H499" t="str">
        <v>Hengelo (O)</v>
      </c>
      <c r="I499" t="str">
        <v>Overijssel</v>
      </c>
      <c r="J499" t="str">
        <v>Oost-Nederland</v>
      </c>
      <c r="K499" t="str">
        <v>Te koop</v>
      </c>
      <c r="L499" t="str">
        <v>Onbekend</v>
      </c>
      <c r="M499" t="str">
        <v>Onbekend</v>
      </c>
      <c r="N499">
        <v>505250</v>
      </c>
      <c r="O499" t="str">
        <v>v.o.n.</v>
      </c>
      <c r="P499">
        <v>89</v>
      </c>
      <c r="Q499">
        <v>5677</v>
      </c>
      <c r="R499" t="str">
        <v>Onbekend</v>
      </c>
      <c r="S499" t="str">
        <v>A+++</v>
      </c>
      <c r="T499">
        <v>3</v>
      </c>
      <c r="U499">
        <v>2</v>
      </c>
      <c r="V499" t="str">
        <v>Appartement</v>
      </c>
      <c r="W499" t="str">
        <v>Appartement</v>
      </c>
      <c r="X499" t="str">
        <v>Appartement 75-100 m²</v>
      </c>
      <c r="Y499" t="str">
        <v>Ja</v>
      </c>
      <c r="Z499" t="str">
        <v>eigen parkeerplaats</v>
      </c>
      <c r="AA499" t="str">
        <v>Na 2020</v>
      </c>
      <c r="AB499" t="str">
        <v>Nee</v>
      </c>
      <c r="AC499" t="str">
        <v>NEE</v>
      </c>
      <c r="AD499" t="str">
        <v>JA</v>
      </c>
    </row>
    <row r="500">
      <c r="A500" t="str">
        <v>44428470</v>
      </c>
      <c r="B500" t="str">
        <v>https://www.funda.nl/detail/koop/hengelo-ov/appartement-de-meester-bouwnr-29/44428470/</v>
      </c>
      <c r="C500" t="str">
        <v>De Concurrent Hengelo</v>
      </c>
      <c r="D500" t="str">
        <v>De Meester</v>
      </c>
      <c r="E500" t="str">
        <v>29</v>
      </c>
      <c r="F500" t="str">
        <v>7553 JT</v>
      </c>
      <c r="G500" t="str">
        <v>Hengelo (OV)</v>
      </c>
      <c r="H500" t="str">
        <v>Hengelo (O)</v>
      </c>
      <c r="I500" t="str">
        <v>Overijssel</v>
      </c>
      <c r="J500" t="str">
        <v>Oost-Nederland</v>
      </c>
      <c r="K500" t="str">
        <v>Te koop</v>
      </c>
      <c r="L500" t="str">
        <v>Onbekend</v>
      </c>
      <c r="M500" t="str">
        <v>Onbekend</v>
      </c>
      <c r="N500">
        <v>462500</v>
      </c>
      <c r="O500" t="str">
        <v>v.o.n.</v>
      </c>
      <c r="P500">
        <v>87</v>
      </c>
      <c r="Q500">
        <v>5316</v>
      </c>
      <c r="R500" t="str">
        <v>Onbekend</v>
      </c>
      <c r="S500" t="str">
        <v>A+++</v>
      </c>
      <c r="T500">
        <v>3</v>
      </c>
      <c r="U500">
        <v>2</v>
      </c>
      <c r="V500" t="str">
        <v>Appartement</v>
      </c>
      <c r="W500" t="str">
        <v>Appartement</v>
      </c>
      <c r="X500" t="str">
        <v>Appartement 75-100 m²</v>
      </c>
      <c r="Y500" t="str">
        <v>Ja</v>
      </c>
      <c r="Z500" t="str">
        <v>eigen parkeerplaats</v>
      </c>
      <c r="AA500" t="str">
        <v>Na 2020</v>
      </c>
      <c r="AB500" t="str">
        <v>Nee</v>
      </c>
      <c r="AC500" t="str">
        <v>NEE</v>
      </c>
      <c r="AD500" t="str">
        <v>JA</v>
      </c>
    </row>
    <row r="501">
      <c r="A501" t="str">
        <v>44428479</v>
      </c>
      <c r="B501" t="str">
        <v>https://www.funda.nl/detail/koop/hengelo-ov/appartement-de-bakker-bouwnr-27/44428479/</v>
      </c>
      <c r="C501" t="str">
        <v>De Concurrent Hengelo</v>
      </c>
      <c r="D501" t="str">
        <v>De Bakker</v>
      </c>
      <c r="E501" t="str">
        <v>27</v>
      </c>
      <c r="F501" t="str">
        <v>7553 JT</v>
      </c>
      <c r="G501" t="str">
        <v>Hengelo (OV)</v>
      </c>
      <c r="H501" t="str">
        <v>Hengelo (O)</v>
      </c>
      <c r="I501" t="str">
        <v>Overijssel</v>
      </c>
      <c r="J501" t="str">
        <v>Oost-Nederland</v>
      </c>
      <c r="K501" t="str">
        <v>Te koop</v>
      </c>
      <c r="L501" t="str">
        <v>Onbekend</v>
      </c>
      <c r="M501" t="str">
        <v>Onbekend</v>
      </c>
      <c r="N501">
        <v>332000</v>
      </c>
      <c r="O501" t="str">
        <v>v.o.n.</v>
      </c>
      <c r="P501">
        <v>77</v>
      </c>
      <c r="Q501">
        <v>4312</v>
      </c>
      <c r="R501" t="str">
        <v>Onbekend</v>
      </c>
      <c r="S501" t="str">
        <v>A+++</v>
      </c>
      <c r="T501">
        <v>3</v>
      </c>
      <c r="U501">
        <v>2</v>
      </c>
      <c r="V501" t="str">
        <v>Appartement</v>
      </c>
      <c r="W501" t="str">
        <v>Appartement</v>
      </c>
      <c r="X501" t="str">
        <v>Appartement 75-100 m²</v>
      </c>
      <c r="Y501" t="str">
        <v>Ja</v>
      </c>
      <c r="Z501" t="str">
        <v>eigen parkeerplaats</v>
      </c>
      <c r="AA501" t="str">
        <v>Na 2020</v>
      </c>
      <c r="AB501" t="str">
        <v>Nee</v>
      </c>
      <c r="AC501" t="str">
        <v>NEE</v>
      </c>
      <c r="AD501" t="str">
        <v>JA</v>
      </c>
    </row>
    <row r="502">
      <c r="A502" t="str">
        <v>44428477</v>
      </c>
      <c r="B502" t="str">
        <v>https://www.funda.nl/detail/koop/hengelo-ov/appartement-de-meester-bouwnr-10/44428477/</v>
      </c>
      <c r="C502" t="str">
        <v>De Concurrent Hengelo</v>
      </c>
      <c r="D502" t="str">
        <v>De Meester</v>
      </c>
      <c r="E502" t="str">
        <v>10</v>
      </c>
      <c r="F502" t="str">
        <v>7553 JT</v>
      </c>
      <c r="G502" t="str">
        <v>Hengelo (OV)</v>
      </c>
      <c r="H502" t="str">
        <v>Hengelo (O)</v>
      </c>
      <c r="I502" t="str">
        <v>Overijssel</v>
      </c>
      <c r="J502" t="str">
        <v>Oost-Nederland</v>
      </c>
      <c r="K502" t="str">
        <v>Te koop</v>
      </c>
      <c r="L502" t="str">
        <v>Onbekend</v>
      </c>
      <c r="M502" t="str">
        <v>Onbekend</v>
      </c>
      <c r="N502">
        <v>488250</v>
      </c>
      <c r="O502" t="str">
        <v>v.o.n.</v>
      </c>
      <c r="P502">
        <v>96</v>
      </c>
      <c r="Q502">
        <v>5086</v>
      </c>
      <c r="R502" t="str">
        <v>Onbekend</v>
      </c>
      <c r="S502" t="str">
        <v>A+++</v>
      </c>
      <c r="T502">
        <v>3</v>
      </c>
      <c r="U502">
        <v>2</v>
      </c>
      <c r="V502" t="str">
        <v>Appartement</v>
      </c>
      <c r="W502" t="str">
        <v>Appartement</v>
      </c>
      <c r="X502" t="str">
        <v>Appartement 75-100 m²</v>
      </c>
      <c r="Y502" t="str">
        <v>Ja</v>
      </c>
      <c r="Z502" t="str">
        <v>eigen parkeerplaats</v>
      </c>
      <c r="AA502" t="str">
        <v>Na 2020</v>
      </c>
      <c r="AB502" t="str">
        <v>Nee</v>
      </c>
      <c r="AC502" t="str">
        <v>NEE</v>
      </c>
      <c r="AD502" t="str">
        <v>JA</v>
      </c>
    </row>
    <row r="503">
      <c r="A503" t="str">
        <v>44428475</v>
      </c>
      <c r="B503" t="str">
        <v>https://www.funda.nl/detail/koop/hengelo-ov/appartement-de-bakker-bouwnr-12/44428475/</v>
      </c>
      <c r="C503" t="str">
        <v>De Concurrent Hengelo</v>
      </c>
      <c r="D503" t="str">
        <v>De Bakker</v>
      </c>
      <c r="E503" t="str">
        <v>12</v>
      </c>
      <c r="F503" t="str">
        <v>7553 JT</v>
      </c>
      <c r="G503" t="str">
        <v>Hengelo (OV)</v>
      </c>
      <c r="H503" t="str">
        <v>Hengelo (O)</v>
      </c>
      <c r="I503" t="str">
        <v>Overijssel</v>
      </c>
      <c r="J503" t="str">
        <v>Oost-Nederland</v>
      </c>
      <c r="K503" t="str">
        <v>Te koop</v>
      </c>
      <c r="L503" t="str">
        <v>Onbekend</v>
      </c>
      <c r="M503" t="str">
        <v>Onbekend</v>
      </c>
      <c r="N503">
        <v>327750</v>
      </c>
      <c r="O503" t="str">
        <v>v.o.n.</v>
      </c>
      <c r="P503">
        <v>77</v>
      </c>
      <c r="Q503">
        <v>4256</v>
      </c>
      <c r="R503" t="str">
        <v>Onbekend</v>
      </c>
      <c r="S503" t="str">
        <v>A+++</v>
      </c>
      <c r="T503">
        <v>3</v>
      </c>
      <c r="U503">
        <v>2</v>
      </c>
      <c r="V503" t="str">
        <v>Appartement</v>
      </c>
      <c r="W503" t="str">
        <v>Appartement</v>
      </c>
      <c r="X503" t="str">
        <v>Appartement 75-100 m²</v>
      </c>
      <c r="Y503" t="str">
        <v>Ja</v>
      </c>
      <c r="Z503" t="str">
        <v>eigen parkeerplaats</v>
      </c>
      <c r="AA503" t="str">
        <v>Na 2020</v>
      </c>
      <c r="AB503" t="str">
        <v>Nee</v>
      </c>
      <c r="AC503" t="str">
        <v>NEE</v>
      </c>
      <c r="AD503" t="str">
        <v>JA</v>
      </c>
    </row>
    <row r="504">
      <c r="A504" t="str">
        <v>44428474</v>
      </c>
      <c r="B504" t="str">
        <v>https://www.funda.nl/detail/koop/hengelo-ov/appartement-de-bakker-bouwnr-15/44428474/</v>
      </c>
      <c r="C504" t="str">
        <v>De Concurrent Hengelo</v>
      </c>
      <c r="D504" t="str">
        <v>De Bakker</v>
      </c>
      <c r="E504" t="str">
        <v>15</v>
      </c>
      <c r="F504" t="str">
        <v>7553 JT</v>
      </c>
      <c r="G504" t="str">
        <v>Hengelo (OV)</v>
      </c>
      <c r="H504" t="str">
        <v>Hengelo (O)</v>
      </c>
      <c r="I504" t="str">
        <v>Overijssel</v>
      </c>
      <c r="J504" t="str">
        <v>Oost-Nederland</v>
      </c>
      <c r="K504" t="str">
        <v>Te koop</v>
      </c>
      <c r="L504" t="str">
        <v>Onbekend</v>
      </c>
      <c r="M504" t="str">
        <v>Onbekend</v>
      </c>
      <c r="N504">
        <v>327750</v>
      </c>
      <c r="O504" t="str">
        <v>v.o.n.</v>
      </c>
      <c r="P504">
        <v>77</v>
      </c>
      <c r="Q504">
        <v>4256</v>
      </c>
      <c r="R504" t="str">
        <v>Onbekend</v>
      </c>
      <c r="S504" t="str">
        <v>A+++</v>
      </c>
      <c r="T504">
        <v>3</v>
      </c>
      <c r="U504">
        <v>1</v>
      </c>
      <c r="V504" t="str">
        <v>Appartement</v>
      </c>
      <c r="W504" t="str">
        <v>Appartement</v>
      </c>
      <c r="X504" t="str">
        <v>Appartement 75-100 m²</v>
      </c>
      <c r="Y504" t="str">
        <v>Ja</v>
      </c>
      <c r="Z504" t="str">
        <v>eigen parkeerplaats</v>
      </c>
      <c r="AA504" t="str">
        <v>Na 2020</v>
      </c>
      <c r="AB504" t="str">
        <v>Nee</v>
      </c>
      <c r="AC504" t="str">
        <v>NEE</v>
      </c>
      <c r="AD504" t="str">
        <v>JA</v>
      </c>
    </row>
    <row r="505">
      <c r="A505" t="str">
        <v>44428473</v>
      </c>
      <c r="B505" t="str">
        <v>https://www.funda.nl/detail/koop/hengelo-ov/appartement-de-bakker-bouwnr-14/44428473/</v>
      </c>
      <c r="C505" t="str">
        <v>De Concurrent Hengelo</v>
      </c>
      <c r="D505" t="str">
        <v>De Bakker</v>
      </c>
      <c r="E505" t="str">
        <v>14</v>
      </c>
      <c r="F505" t="str">
        <v>7553 JT</v>
      </c>
      <c r="G505" t="str">
        <v>Hengelo (OV)</v>
      </c>
      <c r="H505" t="str">
        <v>Hengelo (O)</v>
      </c>
      <c r="I505" t="str">
        <v>Overijssel</v>
      </c>
      <c r="J505" t="str">
        <v>Oost-Nederland</v>
      </c>
      <c r="K505" t="str">
        <v>Te koop</v>
      </c>
      <c r="L505" t="str">
        <v>2026-07-05</v>
      </c>
      <c r="M505">
        <v>8</v>
      </c>
      <c r="N505">
        <v>327750</v>
      </c>
      <c r="O505" t="str">
        <v>v.o.n.</v>
      </c>
      <c r="P505">
        <v>77</v>
      </c>
      <c r="Q505">
        <v>4256</v>
      </c>
      <c r="R505" t="str">
        <v>Onbekend</v>
      </c>
      <c r="S505" t="str">
        <v>A+++</v>
      </c>
      <c r="T505">
        <v>3</v>
      </c>
      <c r="U505">
        <v>2</v>
      </c>
      <c r="V505" t="str">
        <v>Appartement</v>
      </c>
      <c r="W505" t="str">
        <v>Appartement</v>
      </c>
      <c r="X505" t="str">
        <v>Appartement 75-100 m²</v>
      </c>
      <c r="Y505" t="str">
        <v>Ja</v>
      </c>
      <c r="Z505" t="str">
        <v>eigen parkeerplaats</v>
      </c>
      <c r="AA505" t="str">
        <v>Na 2020</v>
      </c>
      <c r="AB505" t="str">
        <v>Nee</v>
      </c>
      <c r="AC505" t="str">
        <v>NEE</v>
      </c>
      <c r="AD505" t="str">
        <v>JA</v>
      </c>
    </row>
    <row r="506">
      <c r="A506" t="str">
        <v>44428462</v>
      </c>
      <c r="B506" t="str">
        <v>https://www.funda.nl/detail/koop/hengelo-ov/appartement-de-bakker-bouwnr-24/44428462/</v>
      </c>
      <c r="C506" t="str">
        <v>De Concurrent Hengelo</v>
      </c>
      <c r="D506" t="str">
        <v>De Bakker</v>
      </c>
      <c r="E506" t="str">
        <v>24</v>
      </c>
      <c r="F506" t="str">
        <v>7553 JT</v>
      </c>
      <c r="G506" t="str">
        <v>Hengelo (OV)</v>
      </c>
      <c r="H506" t="str">
        <v>Hengelo (O)</v>
      </c>
      <c r="I506" t="str">
        <v>Overijssel</v>
      </c>
      <c r="J506" t="str">
        <v>Oost-Nederland</v>
      </c>
      <c r="K506" t="str">
        <v>Te koop</v>
      </c>
      <c r="L506" t="str">
        <v>Onbekend</v>
      </c>
      <c r="M506" t="str">
        <v>Onbekend</v>
      </c>
      <c r="N506">
        <v>332000</v>
      </c>
      <c r="O506" t="str">
        <v>v.o.n.</v>
      </c>
      <c r="P506">
        <v>77</v>
      </c>
      <c r="Q506">
        <v>4312</v>
      </c>
      <c r="R506" t="str">
        <v>Onbekend</v>
      </c>
      <c r="S506" t="str">
        <v>A+++</v>
      </c>
      <c r="T506">
        <v>3</v>
      </c>
      <c r="U506">
        <v>2</v>
      </c>
      <c r="V506" t="str">
        <v>Appartement</v>
      </c>
      <c r="W506" t="str">
        <v>Appartement</v>
      </c>
      <c r="X506" t="str">
        <v>Appartement 75-100 m²</v>
      </c>
      <c r="Y506" t="str">
        <v>Ja</v>
      </c>
      <c r="Z506" t="str">
        <v>eigen parkeerplaats</v>
      </c>
      <c r="AA506" t="str">
        <v>Na 2020</v>
      </c>
      <c r="AB506" t="str">
        <v>Nee</v>
      </c>
      <c r="AC506" t="str">
        <v>NEE</v>
      </c>
      <c r="AD506" t="str">
        <v>JA</v>
      </c>
    </row>
    <row r="507">
      <c r="A507" t="str">
        <v>44428461</v>
      </c>
      <c r="B507" t="str">
        <v>https://www.funda.nl/detail/koop/hengelo-ov/appartement-de-bakker-bouwnr-13/44428461/</v>
      </c>
      <c r="C507" t="str">
        <v>De Concurrent Hengelo</v>
      </c>
      <c r="D507" t="str">
        <v>De Bakker</v>
      </c>
      <c r="E507" t="str">
        <v>13</v>
      </c>
      <c r="F507" t="str">
        <v>7553 JT</v>
      </c>
      <c r="G507" t="str">
        <v>Hengelo (OV)</v>
      </c>
      <c r="H507" t="str">
        <v>Hengelo (O)</v>
      </c>
      <c r="I507" t="str">
        <v>Overijssel</v>
      </c>
      <c r="J507" t="str">
        <v>Oost-Nederland</v>
      </c>
      <c r="K507" t="str">
        <v>Te koop</v>
      </c>
      <c r="L507" t="str">
        <v>Onbekend</v>
      </c>
      <c r="M507" t="str">
        <v>Onbekend</v>
      </c>
      <c r="N507">
        <v>327750</v>
      </c>
      <c r="O507" t="str">
        <v>v.o.n.</v>
      </c>
      <c r="P507">
        <v>77</v>
      </c>
      <c r="Q507">
        <v>4256</v>
      </c>
      <c r="R507" t="str">
        <v>Onbekend</v>
      </c>
      <c r="S507" t="str">
        <v>A+++</v>
      </c>
      <c r="T507">
        <v>3</v>
      </c>
      <c r="U507">
        <v>2</v>
      </c>
      <c r="V507" t="str">
        <v>Appartement</v>
      </c>
      <c r="W507" t="str">
        <v>Appartement</v>
      </c>
      <c r="X507" t="str">
        <v>Appartement 75-100 m²</v>
      </c>
      <c r="Y507" t="str">
        <v>Ja</v>
      </c>
      <c r="Z507" t="str">
        <v>eigen parkeerplaats</v>
      </c>
      <c r="AA507" t="str">
        <v>Na 2020</v>
      </c>
      <c r="AB507" t="str">
        <v>Nee</v>
      </c>
      <c r="AC507" t="str">
        <v>NEE</v>
      </c>
      <c r="AD507" t="str">
        <v>JA</v>
      </c>
    </row>
    <row r="508">
      <c r="A508" t="str">
        <v>44428460</v>
      </c>
      <c r="B508" t="str">
        <v>https://www.funda.nl/detail/koop/hengelo-ov/appartement-de-bakker-bouwnr-25/44428460/</v>
      </c>
      <c r="C508" t="str">
        <v>De Concurrent Hengelo</v>
      </c>
      <c r="D508" t="str">
        <v>De Bakker</v>
      </c>
      <c r="E508" t="str">
        <v>25</v>
      </c>
      <c r="F508" t="str">
        <v>7553 JT</v>
      </c>
      <c r="G508" t="str">
        <v>Hengelo (OV)</v>
      </c>
      <c r="H508" t="str">
        <v>Hengelo (O)</v>
      </c>
      <c r="I508" t="str">
        <v>Overijssel</v>
      </c>
      <c r="J508" t="str">
        <v>Oost-Nederland</v>
      </c>
      <c r="K508" t="str">
        <v>Te koop</v>
      </c>
      <c r="L508" t="str">
        <v>Onbekend</v>
      </c>
      <c r="M508" t="str">
        <v>Onbekend</v>
      </c>
      <c r="N508">
        <v>332000</v>
      </c>
      <c r="O508" t="str">
        <v>v.o.n.</v>
      </c>
      <c r="P508">
        <v>77</v>
      </c>
      <c r="Q508">
        <v>4312</v>
      </c>
      <c r="R508" t="str">
        <v>Onbekend</v>
      </c>
      <c r="S508" t="str">
        <v>A+++</v>
      </c>
      <c r="T508">
        <v>3</v>
      </c>
      <c r="U508">
        <v>2</v>
      </c>
      <c r="V508" t="str">
        <v>Appartement</v>
      </c>
      <c r="W508" t="str">
        <v>Appartement</v>
      </c>
      <c r="X508" t="str">
        <v>Appartement 75-100 m²</v>
      </c>
      <c r="Y508" t="str">
        <v>Ja</v>
      </c>
      <c r="Z508" t="str">
        <v>eigen parkeerplaats</v>
      </c>
      <c r="AA508" t="str">
        <v>Na 2020</v>
      </c>
      <c r="AB508" t="str">
        <v>Nee</v>
      </c>
      <c r="AC508" t="str">
        <v>NEE</v>
      </c>
      <c r="AD508" t="str">
        <v>JA</v>
      </c>
    </row>
    <row r="509">
      <c r="A509" t="str">
        <v>44428467</v>
      </c>
      <c r="B509" t="str">
        <v>https://www.funda.nl/detail/koop/hengelo-ov/appartement-de-bakker-bouwnr-22/44428467/</v>
      </c>
      <c r="C509" t="str">
        <v>De Concurrent Hengelo</v>
      </c>
      <c r="D509" t="str">
        <v>De Bakker</v>
      </c>
      <c r="E509" t="str">
        <v>22</v>
      </c>
      <c r="F509" t="str">
        <v>7553 JT</v>
      </c>
      <c r="G509" t="str">
        <v>Hengelo (OV)</v>
      </c>
      <c r="H509" t="str">
        <v>Hengelo (O)</v>
      </c>
      <c r="I509" t="str">
        <v>Overijssel</v>
      </c>
      <c r="J509" t="str">
        <v>Oost-Nederland</v>
      </c>
      <c r="K509" t="str">
        <v>Te koop</v>
      </c>
      <c r="L509" t="str">
        <v>Onbekend</v>
      </c>
      <c r="M509" t="str">
        <v>Onbekend</v>
      </c>
      <c r="N509">
        <v>332000</v>
      </c>
      <c r="O509" t="str">
        <v>v.o.n.</v>
      </c>
      <c r="P509">
        <v>77</v>
      </c>
      <c r="Q509">
        <v>4312</v>
      </c>
      <c r="R509" t="str">
        <v>Onbekend</v>
      </c>
      <c r="S509" t="str">
        <v>A+++</v>
      </c>
      <c r="T509">
        <v>3</v>
      </c>
      <c r="U509">
        <v>2</v>
      </c>
      <c r="V509" t="str">
        <v>Appartement</v>
      </c>
      <c r="W509" t="str">
        <v>Appartement</v>
      </c>
      <c r="X509" t="str">
        <v>Appartement 75-100 m²</v>
      </c>
      <c r="Y509" t="str">
        <v>Ja</v>
      </c>
      <c r="Z509" t="str">
        <v>eigen parkeerplaats</v>
      </c>
      <c r="AA509" t="str">
        <v>Na 2020</v>
      </c>
      <c r="AB509" t="str">
        <v>Nee</v>
      </c>
      <c r="AC509" t="str">
        <v>NEE</v>
      </c>
      <c r="AD509" t="str">
        <v>JA</v>
      </c>
    </row>
    <row r="510">
      <c r="A510" t="str">
        <v>44428466</v>
      </c>
      <c r="B510" t="str">
        <v>https://www.funda.nl/detail/koop/hengelo-ov/appartement-de-bakker-bouwnr-01/44428466/</v>
      </c>
      <c r="C510" t="str">
        <v>De Concurrent Hengelo</v>
      </c>
      <c r="D510" t="str">
        <v>De Bakker</v>
      </c>
      <c r="E510" t="str">
        <v>01</v>
      </c>
      <c r="F510" t="str">
        <v>7553 JT</v>
      </c>
      <c r="G510" t="str">
        <v>Hengelo (OV)</v>
      </c>
      <c r="H510" t="str">
        <v>Hengelo (O)</v>
      </c>
      <c r="I510" t="str">
        <v>Overijssel</v>
      </c>
      <c r="J510" t="str">
        <v>Oost-Nederland</v>
      </c>
      <c r="K510" t="str">
        <v>Te koop</v>
      </c>
      <c r="L510" t="str">
        <v>Onbekend</v>
      </c>
      <c r="M510" t="str">
        <v>Onbekend</v>
      </c>
      <c r="N510">
        <v>440750</v>
      </c>
      <c r="O510" t="str">
        <v>v.o.n.</v>
      </c>
      <c r="P510">
        <v>85</v>
      </c>
      <c r="Q510">
        <v>5185</v>
      </c>
      <c r="R510" t="str">
        <v>Onbekend</v>
      </c>
      <c r="S510" t="str">
        <v>A+++</v>
      </c>
      <c r="T510">
        <v>3</v>
      </c>
      <c r="U510">
        <v>2</v>
      </c>
      <c r="V510" t="str">
        <v>Appartement</v>
      </c>
      <c r="W510" t="str">
        <v>Appartement</v>
      </c>
      <c r="X510" t="str">
        <v>Appartement 75-100 m²</v>
      </c>
      <c r="Y510" t="str">
        <v>Ja</v>
      </c>
      <c r="Z510" t="str">
        <v>eigen parkeerplaats</v>
      </c>
      <c r="AA510" t="str">
        <v>Na 2020</v>
      </c>
      <c r="AB510" t="str">
        <v>Nee</v>
      </c>
      <c r="AC510" t="str">
        <v>NEE</v>
      </c>
      <c r="AD510" t="str">
        <v>JA</v>
      </c>
    </row>
    <row r="511">
      <c r="A511" t="str">
        <v>44428465</v>
      </c>
      <c r="B511" t="str">
        <v>https://www.funda.nl/detail/koop/hengelo-ov/appartement-de-bakker-bouwnr-02/44428465/</v>
      </c>
      <c r="C511" t="str">
        <v>De Concurrent Hengelo</v>
      </c>
      <c r="D511" t="str">
        <v>De Bakker</v>
      </c>
      <c r="E511" t="str">
        <v>02</v>
      </c>
      <c r="F511" t="str">
        <v>7553 JT</v>
      </c>
      <c r="G511" t="str">
        <v>Hengelo (OV)</v>
      </c>
      <c r="H511" t="str">
        <v>Hengelo (O)</v>
      </c>
      <c r="I511" t="str">
        <v>Overijssel</v>
      </c>
      <c r="J511" t="str">
        <v>Oost-Nederland</v>
      </c>
      <c r="K511" t="str">
        <v>Te koop</v>
      </c>
      <c r="L511" t="str">
        <v>Onbekend</v>
      </c>
      <c r="M511" t="str">
        <v>Onbekend</v>
      </c>
      <c r="N511">
        <v>439250</v>
      </c>
      <c r="O511" t="str">
        <v>v.o.n.</v>
      </c>
      <c r="P511">
        <v>85</v>
      </c>
      <c r="Q511">
        <v>5168</v>
      </c>
      <c r="R511" t="str">
        <v>Onbekend</v>
      </c>
      <c r="S511" t="str">
        <v>A+++</v>
      </c>
      <c r="T511">
        <v>3</v>
      </c>
      <c r="U511">
        <v>2</v>
      </c>
      <c r="V511" t="str">
        <v>Appartement</v>
      </c>
      <c r="W511" t="str">
        <v>Appartement</v>
      </c>
      <c r="X511" t="str">
        <v>Appartement 75-100 m²</v>
      </c>
      <c r="Y511" t="str">
        <v>Ja</v>
      </c>
      <c r="Z511" t="str">
        <v>eigen parkeerplaats</v>
      </c>
      <c r="AA511" t="str">
        <v>Na 2020</v>
      </c>
      <c r="AB511" t="str">
        <v>Nee</v>
      </c>
      <c r="AC511" t="str">
        <v>NEE</v>
      </c>
      <c r="AD511" t="str">
        <v>JA</v>
      </c>
    </row>
    <row r="512">
      <c r="A512" t="str">
        <v>44428463</v>
      </c>
      <c r="B512" t="str">
        <v>https://www.funda.nl/detail/koop/hengelo-ov/appartement-de-bakker-bouwnr-04/44428463/</v>
      </c>
      <c r="C512" t="str">
        <v>De Concurrent Hengelo</v>
      </c>
      <c r="D512" t="str">
        <v>De Bakker</v>
      </c>
      <c r="E512" t="str">
        <v>04</v>
      </c>
      <c r="F512" t="str">
        <v>7553 JT</v>
      </c>
      <c r="G512" t="str">
        <v>Hengelo (OV)</v>
      </c>
      <c r="H512" t="str">
        <v>Hengelo (O)</v>
      </c>
      <c r="I512" t="str">
        <v>Overijssel</v>
      </c>
      <c r="J512" t="str">
        <v>Oost-Nederland</v>
      </c>
      <c r="K512" t="str">
        <v>Te koop</v>
      </c>
      <c r="L512" t="str">
        <v>Onbekend</v>
      </c>
      <c r="M512" t="str">
        <v>Onbekend</v>
      </c>
      <c r="N512">
        <v>435500</v>
      </c>
      <c r="O512" t="str">
        <v>v.o.n.</v>
      </c>
      <c r="P512">
        <v>85</v>
      </c>
      <c r="Q512">
        <v>5124</v>
      </c>
      <c r="R512" t="str">
        <v>Onbekend</v>
      </c>
      <c r="S512" t="str">
        <v>A+++</v>
      </c>
      <c r="T512">
        <v>3</v>
      </c>
      <c r="U512">
        <v>2</v>
      </c>
      <c r="V512" t="str">
        <v>Appartement</v>
      </c>
      <c r="W512" t="str">
        <v>Appartement</v>
      </c>
      <c r="X512" t="str">
        <v>Appartement 75-100 m²</v>
      </c>
      <c r="Y512" t="str">
        <v>Ja</v>
      </c>
      <c r="Z512" t="str">
        <v>eigen parkeerplaats</v>
      </c>
      <c r="AA512" t="str">
        <v>Na 2020</v>
      </c>
      <c r="AB512" t="str">
        <v>Nee</v>
      </c>
      <c r="AC512" t="str">
        <v>NEE</v>
      </c>
      <c r="AD512" t="str">
        <v>JA</v>
      </c>
    </row>
    <row r="513">
      <c r="A513" t="str">
        <v>44427352</v>
      </c>
      <c r="B513" t="str">
        <v>https://www.funda.nl/detail/koop/hengelo-ov/appartement-de-bakker-bouwnr-05/44427352/</v>
      </c>
      <c r="C513" t="str">
        <v>De Concurrent Hengelo</v>
      </c>
      <c r="D513" t="str">
        <v>De Bakker</v>
      </c>
      <c r="E513" t="str">
        <v>05</v>
      </c>
      <c r="F513" t="str">
        <v>7553 JT</v>
      </c>
      <c r="G513" t="str">
        <v>Hengelo (OV)</v>
      </c>
      <c r="H513" t="str">
        <v>Hengelo (O)</v>
      </c>
      <c r="I513" t="str">
        <v>Overijssel</v>
      </c>
      <c r="J513" t="str">
        <v>Oost-Nederland</v>
      </c>
      <c r="K513" t="str">
        <v>Te koop</v>
      </c>
      <c r="L513" t="str">
        <v>Onbekend</v>
      </c>
      <c r="M513" t="str">
        <v>Onbekend</v>
      </c>
      <c r="N513">
        <v>434500</v>
      </c>
      <c r="O513" t="str">
        <v>v.o.n.</v>
      </c>
      <c r="P513">
        <v>85</v>
      </c>
      <c r="Q513">
        <v>5112</v>
      </c>
      <c r="R513" t="str">
        <v>Onbekend</v>
      </c>
      <c r="S513" t="str">
        <v>A+++</v>
      </c>
      <c r="T513">
        <v>3</v>
      </c>
      <c r="U513">
        <v>2</v>
      </c>
      <c r="V513" t="str">
        <v>Appartement</v>
      </c>
      <c r="W513" t="str">
        <v>Appartement</v>
      </c>
      <c r="X513" t="str">
        <v>Appartement 75-100 m²</v>
      </c>
      <c r="Y513" t="str">
        <v>Ja</v>
      </c>
      <c r="Z513" t="str">
        <v>eigen parkeerplaats</v>
      </c>
      <c r="AA513" t="str">
        <v>Na 2020</v>
      </c>
      <c r="AB513" t="str">
        <v>Nee</v>
      </c>
      <c r="AC513" t="str">
        <v>NEE</v>
      </c>
      <c r="AD513" t="str">
        <v>JA</v>
      </c>
    </row>
    <row r="514">
      <c r="A514" t="str">
        <v>44427351</v>
      </c>
      <c r="B514" t="str">
        <v>https://www.funda.nl/detail/koop/hengelo-ov/appartement-de-leerling-bouwnr-08/44427351/</v>
      </c>
      <c r="C514" t="str">
        <v>De Concurrent Hengelo</v>
      </c>
      <c r="D514" t="str">
        <v>De Leerling</v>
      </c>
      <c r="E514" t="str">
        <v>08</v>
      </c>
      <c r="F514" t="str">
        <v>7553 JT</v>
      </c>
      <c r="G514" t="str">
        <v>Hengelo (OV)</v>
      </c>
      <c r="H514" t="str">
        <v>Hengelo (O)</v>
      </c>
      <c r="I514" t="str">
        <v>Overijssel</v>
      </c>
      <c r="J514" t="str">
        <v>Oost-Nederland</v>
      </c>
      <c r="K514" t="str">
        <v>Te koop</v>
      </c>
      <c r="L514" t="str">
        <v>Onbekend</v>
      </c>
      <c r="M514" t="str">
        <v>Onbekend</v>
      </c>
      <c r="N514">
        <v>229000</v>
      </c>
      <c r="O514" t="str">
        <v>v.o.n.</v>
      </c>
      <c r="P514">
        <v>50</v>
      </c>
      <c r="Q514">
        <v>4580</v>
      </c>
      <c r="R514" t="str">
        <v>Onbekend</v>
      </c>
      <c r="S514" t="str">
        <v>A+++</v>
      </c>
      <c r="T514">
        <v>2</v>
      </c>
      <c r="U514">
        <v>1</v>
      </c>
      <c r="V514" t="str">
        <v>Appartement</v>
      </c>
      <c r="W514" t="str">
        <v>Appartement</v>
      </c>
      <c r="X514" t="str">
        <v>Appartement 50-75 m²</v>
      </c>
      <c r="Y514" t="str">
        <v>Ja</v>
      </c>
      <c r="Z514" t="str">
        <v>eigen parkeerplaats</v>
      </c>
      <c r="AA514" t="str">
        <v>Na 2020</v>
      </c>
      <c r="AB514" t="str">
        <v>Nee</v>
      </c>
      <c r="AC514" t="str">
        <v>NEE</v>
      </c>
      <c r="AD514" t="str">
        <v>JA</v>
      </c>
    </row>
    <row r="515">
      <c r="A515" t="str">
        <v>44427350</v>
      </c>
      <c r="B515" t="str">
        <v>https://www.funda.nl/detail/koop/hengelo-ov/appartement-de-leerling-bouwnr-18/44427350/</v>
      </c>
      <c r="C515" t="str">
        <v>De Concurrent Hengelo</v>
      </c>
      <c r="D515" t="str">
        <v>De Leerling</v>
      </c>
      <c r="E515" t="str">
        <v>18</v>
      </c>
      <c r="F515" t="str">
        <v>7553 JT</v>
      </c>
      <c r="G515" t="str">
        <v>Hengelo (OV)</v>
      </c>
      <c r="H515" t="str">
        <v>Hengelo (O)</v>
      </c>
      <c r="I515" t="str">
        <v>Overijssel</v>
      </c>
      <c r="J515" t="str">
        <v>Oost-Nederland</v>
      </c>
      <c r="K515" t="str">
        <v>Te koop</v>
      </c>
      <c r="L515" t="str">
        <v>Onbekend</v>
      </c>
      <c r="M515" t="str">
        <v>Onbekend</v>
      </c>
      <c r="N515">
        <v>235250</v>
      </c>
      <c r="O515" t="str">
        <v>v.o.n.</v>
      </c>
      <c r="P515">
        <v>50</v>
      </c>
      <c r="Q515">
        <v>4705</v>
      </c>
      <c r="R515" t="str">
        <v>Onbekend</v>
      </c>
      <c r="S515" t="str">
        <v>A+++</v>
      </c>
      <c r="T515">
        <v>2</v>
      </c>
      <c r="U515">
        <v>1</v>
      </c>
      <c r="V515" t="str">
        <v>Appartement</v>
      </c>
      <c r="W515" t="str">
        <v>Appartement</v>
      </c>
      <c r="X515" t="str">
        <v>Appartement 50-75 m²</v>
      </c>
      <c r="Y515" t="str">
        <v>Ja</v>
      </c>
      <c r="Z515" t="str">
        <v>eigen parkeerplaats</v>
      </c>
      <c r="AA515" t="str">
        <v>Na 2020</v>
      </c>
      <c r="AB515" t="str">
        <v>Nee</v>
      </c>
      <c r="AC515" t="str">
        <v>NEE</v>
      </c>
      <c r="AD515" t="str">
        <v>JA</v>
      </c>
    </row>
    <row r="516">
      <c r="A516" t="str">
        <v>44427359</v>
      </c>
      <c r="B516" t="str">
        <v>https://www.funda.nl/detail/koop/hengelo-ov/appartement-de-leerling-bouwnr-09/44427359/</v>
      </c>
      <c r="C516" t="str">
        <v>De Concurrent Hengelo</v>
      </c>
      <c r="D516" t="str">
        <v>De Leerling</v>
      </c>
      <c r="E516" t="str">
        <v>09</v>
      </c>
      <c r="F516" t="str">
        <v>7553 JT</v>
      </c>
      <c r="G516" t="str">
        <v>Hengelo (OV)</v>
      </c>
      <c r="H516" t="str">
        <v>Hengelo (O)</v>
      </c>
      <c r="I516" t="str">
        <v>Overijssel</v>
      </c>
      <c r="J516" t="str">
        <v>Oost-Nederland</v>
      </c>
      <c r="K516" t="str">
        <v>Te koop</v>
      </c>
      <c r="L516" t="str">
        <v>Onbekend</v>
      </c>
      <c r="M516" t="str">
        <v>Onbekend</v>
      </c>
      <c r="N516">
        <v>267250</v>
      </c>
      <c r="O516" t="str">
        <v>v.o.n.</v>
      </c>
      <c r="P516">
        <v>59</v>
      </c>
      <c r="Q516">
        <v>4530</v>
      </c>
      <c r="R516" t="str">
        <v>Onbekend</v>
      </c>
      <c r="S516" t="str">
        <v>A+++</v>
      </c>
      <c r="T516">
        <v>2</v>
      </c>
      <c r="U516">
        <v>1</v>
      </c>
      <c r="V516" t="str">
        <v>Appartement</v>
      </c>
      <c r="W516" t="str">
        <v>Appartement</v>
      </c>
      <c r="X516" t="str">
        <v>Appartement 50-75 m²</v>
      </c>
      <c r="Y516" t="str">
        <v>Ja</v>
      </c>
      <c r="Z516" t="str">
        <v>eigen parkeerplaats</v>
      </c>
      <c r="AA516" t="str">
        <v>Na 2020</v>
      </c>
      <c r="AB516" t="str">
        <v>Nee</v>
      </c>
      <c r="AC516" t="str">
        <v>NEE</v>
      </c>
      <c r="AD516" t="str">
        <v>JA</v>
      </c>
    </row>
    <row r="517">
      <c r="A517" t="str">
        <v>44427358</v>
      </c>
      <c r="B517" t="str">
        <v>https://www.funda.nl/detail/koop/hengelo-ov/appartement-de-leerling-bouwnr-17/44427358/</v>
      </c>
      <c r="C517" t="str">
        <v>De Concurrent Hengelo</v>
      </c>
      <c r="D517" t="str">
        <v>De Leerling</v>
      </c>
      <c r="E517" t="str">
        <v>17</v>
      </c>
      <c r="F517" t="str">
        <v>7553 JT</v>
      </c>
      <c r="G517" t="str">
        <v>Hengelo (OV)</v>
      </c>
      <c r="H517" t="str">
        <v>Hengelo (O)</v>
      </c>
      <c r="I517" t="str">
        <v>Overijssel</v>
      </c>
      <c r="J517" t="str">
        <v>Oost-Nederland</v>
      </c>
      <c r="K517" t="str">
        <v>Te koop</v>
      </c>
      <c r="L517" t="str">
        <v>Onbekend</v>
      </c>
      <c r="M517" t="str">
        <v>Onbekend</v>
      </c>
      <c r="N517">
        <v>227750</v>
      </c>
      <c r="O517" t="str">
        <v>v.o.n.</v>
      </c>
      <c r="P517">
        <v>48</v>
      </c>
      <c r="Q517">
        <v>4745</v>
      </c>
      <c r="R517" t="str">
        <v>Onbekend</v>
      </c>
      <c r="S517" t="str">
        <v>A+++</v>
      </c>
      <c r="T517">
        <v>2</v>
      </c>
      <c r="U517">
        <v>1</v>
      </c>
      <c r="V517" t="str">
        <v>Appartement</v>
      </c>
      <c r="W517" t="str">
        <v>Appartement</v>
      </c>
      <c r="X517" t="str">
        <v>Appartement &lt;50 m²</v>
      </c>
      <c r="Y517" t="str">
        <v>Ja</v>
      </c>
      <c r="Z517" t="str">
        <v>eigen parkeerplaats</v>
      </c>
      <c r="AA517" t="str">
        <v>Na 2020</v>
      </c>
      <c r="AB517" t="str">
        <v>Nee</v>
      </c>
      <c r="AC517" t="str">
        <v>NEE</v>
      </c>
      <c r="AD517" t="str">
        <v>JA</v>
      </c>
    </row>
    <row r="518">
      <c r="A518" t="str">
        <v>44427357</v>
      </c>
      <c r="B518" t="str">
        <v>https://www.funda.nl/detail/koop/hengelo-ov/appartement-de-leerling-bouwnr-19/44427357/</v>
      </c>
      <c r="C518" t="str">
        <v>De Concurrent Hengelo</v>
      </c>
      <c r="D518" t="str">
        <v>De Leerling</v>
      </c>
      <c r="E518" t="str">
        <v>19</v>
      </c>
      <c r="F518" t="str">
        <v>7553 JT</v>
      </c>
      <c r="G518" t="str">
        <v>Hengelo (OV)</v>
      </c>
      <c r="H518" t="str">
        <v>Hengelo (O)</v>
      </c>
      <c r="I518" t="str">
        <v>Overijssel</v>
      </c>
      <c r="J518" t="str">
        <v>Oost-Nederland</v>
      </c>
      <c r="K518" t="str">
        <v>Te koop</v>
      </c>
      <c r="L518" t="str">
        <v>Onbekend</v>
      </c>
      <c r="M518" t="str">
        <v>Onbekend</v>
      </c>
      <c r="N518">
        <v>229000</v>
      </c>
      <c r="O518" t="str">
        <v>v.o.n.</v>
      </c>
      <c r="P518">
        <v>50</v>
      </c>
      <c r="Q518">
        <v>4580</v>
      </c>
      <c r="R518" t="str">
        <v>Onbekend</v>
      </c>
      <c r="S518" t="str">
        <v>A+++</v>
      </c>
      <c r="T518">
        <v>2</v>
      </c>
      <c r="U518">
        <v>1</v>
      </c>
      <c r="V518" t="str">
        <v>Appartement</v>
      </c>
      <c r="W518" t="str">
        <v>Appartement</v>
      </c>
      <c r="X518" t="str">
        <v>Appartement 50-75 m²</v>
      </c>
      <c r="Y518" t="str">
        <v>Ja</v>
      </c>
      <c r="Z518" t="str">
        <v>eigen parkeerplaats</v>
      </c>
      <c r="AA518" t="str">
        <v>Na 2020</v>
      </c>
      <c r="AB518" t="str">
        <v>Nee</v>
      </c>
      <c r="AC518" t="str">
        <v>NEE</v>
      </c>
      <c r="AD518" t="str">
        <v>JA</v>
      </c>
    </row>
    <row r="519">
      <c r="A519" t="str">
        <v>44427356</v>
      </c>
      <c r="B519" t="str">
        <v>https://www.funda.nl/detail/koop/hengelo-ov/appartement-de-leerling-bouwnr-20/44427356/</v>
      </c>
      <c r="C519" t="str">
        <v>De Concurrent Hengelo</v>
      </c>
      <c r="D519" t="str">
        <v>De Leerling</v>
      </c>
      <c r="E519" t="str">
        <v>20</v>
      </c>
      <c r="F519" t="str">
        <v>7553 JT</v>
      </c>
      <c r="G519" t="str">
        <v>Hengelo (OV)</v>
      </c>
      <c r="H519" t="str">
        <v>Hengelo (O)</v>
      </c>
      <c r="I519" t="str">
        <v>Overijssel</v>
      </c>
      <c r="J519" t="str">
        <v>Oost-Nederland</v>
      </c>
      <c r="K519" t="str">
        <v>Te koop</v>
      </c>
      <c r="L519" t="str">
        <v>Onbekend</v>
      </c>
      <c r="M519" t="str">
        <v>Onbekend</v>
      </c>
      <c r="N519">
        <v>267500</v>
      </c>
      <c r="O519" t="str">
        <v>v.o.n.</v>
      </c>
      <c r="P519">
        <v>59</v>
      </c>
      <c r="Q519">
        <v>4534</v>
      </c>
      <c r="R519" t="str">
        <v>Onbekend</v>
      </c>
      <c r="S519" t="str">
        <v>A+++</v>
      </c>
      <c r="T519">
        <v>2</v>
      </c>
      <c r="U519">
        <v>1</v>
      </c>
      <c r="V519" t="str">
        <v>Appartement</v>
      </c>
      <c r="W519" t="str">
        <v>Appartement</v>
      </c>
      <c r="X519" t="str">
        <v>Appartement 50-75 m²</v>
      </c>
      <c r="Y519" t="str">
        <v>Ja</v>
      </c>
      <c r="Z519" t="str">
        <v>eigen parkeerplaats</v>
      </c>
      <c r="AA519" t="str">
        <v>Na 2020</v>
      </c>
      <c r="AB519" t="str">
        <v>Nee</v>
      </c>
      <c r="AC519" t="str">
        <v>NEE</v>
      </c>
      <c r="AD519" t="str">
        <v>JA</v>
      </c>
    </row>
    <row r="520">
      <c r="A520" t="str">
        <v>44427355</v>
      </c>
      <c r="B520" t="str">
        <v>https://www.funda.nl/detail/koop/hengelo-ov/appartement-de-leerling-bouwnr-07/44427355/</v>
      </c>
      <c r="C520" t="str">
        <v>De Concurrent Hengelo</v>
      </c>
      <c r="D520" t="str">
        <v>De Leerling</v>
      </c>
      <c r="E520" t="str">
        <v>07</v>
      </c>
      <c r="F520" t="str">
        <v>7553 JT</v>
      </c>
      <c r="G520" t="str">
        <v>Hengelo (OV)</v>
      </c>
      <c r="H520" t="str">
        <v>Hengelo (O)</v>
      </c>
      <c r="I520" t="str">
        <v>Overijssel</v>
      </c>
      <c r="J520" t="str">
        <v>Oost-Nederland</v>
      </c>
      <c r="K520" t="str">
        <v>Te koop</v>
      </c>
      <c r="L520" t="str">
        <v>2026-07-05</v>
      </c>
      <c r="M520">
        <v>8</v>
      </c>
      <c r="N520">
        <v>235250</v>
      </c>
      <c r="O520" t="str">
        <v>v.o.n.</v>
      </c>
      <c r="P520">
        <v>50</v>
      </c>
      <c r="Q520">
        <v>4705</v>
      </c>
      <c r="R520" t="str">
        <v>Onbekend</v>
      </c>
      <c r="S520" t="str">
        <v>A+++</v>
      </c>
      <c r="T520">
        <v>1</v>
      </c>
      <c r="U520">
        <v>1</v>
      </c>
      <c r="V520" t="str">
        <v>Appartement</v>
      </c>
      <c r="W520" t="str">
        <v>Appartement</v>
      </c>
      <c r="X520" t="str">
        <v>Appartement 50-75 m²</v>
      </c>
      <c r="Y520" t="str">
        <v>Ja</v>
      </c>
      <c r="Z520" t="str">
        <v>eigen parkeerplaats</v>
      </c>
      <c r="AA520" t="str">
        <v>Na 2020</v>
      </c>
      <c r="AB520" t="str">
        <v>Nee</v>
      </c>
      <c r="AC520" t="str">
        <v>NEE</v>
      </c>
      <c r="AD520" t="str">
        <v>JA</v>
      </c>
    </row>
    <row r="521">
      <c r="A521" t="str">
        <v>44428478</v>
      </c>
      <c r="B521" t="str">
        <v>https://www.funda.nl/detail/koop/hengelo-ov/appartement-de-meester-bouwnr-06/44428478/</v>
      </c>
      <c r="C521" t="str">
        <v>De Concurrent Hengelo</v>
      </c>
      <c r="D521" t="str">
        <v>De Meester</v>
      </c>
      <c r="E521" t="str">
        <v>06</v>
      </c>
      <c r="F521" t="str">
        <v>7553 JT</v>
      </c>
      <c r="G521" t="str">
        <v>Hengelo (OV)</v>
      </c>
      <c r="H521" t="str">
        <v>Hengelo (O)</v>
      </c>
      <c r="I521" t="str">
        <v>Overijssel</v>
      </c>
      <c r="J521" t="str">
        <v>Oost-Nederland</v>
      </c>
      <c r="K521" t="str">
        <v>Te koop</v>
      </c>
      <c r="L521" t="str">
        <v>Onbekend</v>
      </c>
      <c r="M521" t="str">
        <v>Onbekend</v>
      </c>
      <c r="N521">
        <v>495500</v>
      </c>
      <c r="O521" t="str">
        <v>v.o.n.</v>
      </c>
      <c r="P521">
        <v>98</v>
      </c>
      <c r="Q521">
        <v>5056</v>
      </c>
      <c r="R521" t="str">
        <v>Onbekend</v>
      </c>
      <c r="S521" t="str">
        <v>A+++</v>
      </c>
      <c r="T521">
        <v>4</v>
      </c>
      <c r="U521">
        <v>3</v>
      </c>
      <c r="V521" t="str">
        <v>Appartement</v>
      </c>
      <c r="W521" t="str">
        <v>Appartement</v>
      </c>
      <c r="X521" t="str">
        <v>Appartement 75-100 m²</v>
      </c>
      <c r="Y521" t="str">
        <v>Ja</v>
      </c>
      <c r="Z521" t="str">
        <v>eigen parkeerplaats</v>
      </c>
      <c r="AA521" t="str">
        <v>Na 2020</v>
      </c>
      <c r="AB521" t="str">
        <v>Nee</v>
      </c>
      <c r="AC521" t="str">
        <v>NEE</v>
      </c>
      <c r="AD521" t="str">
        <v>JA</v>
      </c>
    </row>
    <row r="522">
      <c r="A522" t="str">
        <v>44428476</v>
      </c>
      <c r="B522" t="str">
        <v>https://www.funda.nl/detail/koop/hengelo-ov/appartement-de-bakker-bouwnr-23/44428476/</v>
      </c>
      <c r="C522" t="str">
        <v>De Concurrent Hengelo</v>
      </c>
      <c r="D522" t="str">
        <v>De Bakker</v>
      </c>
      <c r="E522" t="str">
        <v>23</v>
      </c>
      <c r="F522" t="str">
        <v>7553 JT</v>
      </c>
      <c r="G522" t="str">
        <v>Hengelo (OV)</v>
      </c>
      <c r="H522" t="str">
        <v>Hengelo (O)</v>
      </c>
      <c r="I522" t="str">
        <v>Overijssel</v>
      </c>
      <c r="J522" t="str">
        <v>Oost-Nederland</v>
      </c>
      <c r="K522" t="str">
        <v>Te koop</v>
      </c>
      <c r="L522" t="str">
        <v>Onbekend</v>
      </c>
      <c r="M522" t="str">
        <v>Onbekend</v>
      </c>
      <c r="N522">
        <v>332000</v>
      </c>
      <c r="O522" t="str">
        <v>v.o.n.</v>
      </c>
      <c r="P522">
        <v>77</v>
      </c>
      <c r="Q522">
        <v>4312</v>
      </c>
      <c r="R522" t="str">
        <v>Onbekend</v>
      </c>
      <c r="S522" t="str">
        <v>A+++</v>
      </c>
      <c r="T522">
        <v>3</v>
      </c>
      <c r="U522">
        <v>2</v>
      </c>
      <c r="V522" t="str">
        <v>Appartement</v>
      </c>
      <c r="W522" t="str">
        <v>Appartement</v>
      </c>
      <c r="X522" t="str">
        <v>Appartement 75-100 m²</v>
      </c>
      <c r="Y522" t="str">
        <v>Ja</v>
      </c>
      <c r="Z522" t="str">
        <v>eigen parkeerplaats</v>
      </c>
      <c r="AA522" t="str">
        <v>Na 2020</v>
      </c>
      <c r="AB522" t="str">
        <v>Nee</v>
      </c>
      <c r="AC522" t="str">
        <v>NEE</v>
      </c>
      <c r="AD522" t="str">
        <v>JA</v>
      </c>
    </row>
    <row r="523">
      <c r="A523" t="str">
        <v>44428469</v>
      </c>
      <c r="B523" t="str">
        <v>https://www.funda.nl/detail/koop/hengelo-ov/appartement-de-bakker-bouwnr-11/44428469/</v>
      </c>
      <c r="C523" t="str">
        <v>De Concurrent Hengelo</v>
      </c>
      <c r="D523" t="str">
        <v>De Bakker</v>
      </c>
      <c r="E523" t="str">
        <v>11</v>
      </c>
      <c r="F523" t="str">
        <v>7553 JT</v>
      </c>
      <c r="G523" t="str">
        <v>Hengelo (OV)</v>
      </c>
      <c r="H523" t="str">
        <v>Hengelo (O)</v>
      </c>
      <c r="I523" t="str">
        <v>Overijssel</v>
      </c>
      <c r="J523" t="str">
        <v>Oost-Nederland</v>
      </c>
      <c r="K523" t="str">
        <v>Te koop</v>
      </c>
      <c r="L523" t="str">
        <v>Onbekend</v>
      </c>
      <c r="M523" t="str">
        <v>Onbekend</v>
      </c>
      <c r="N523">
        <v>327750</v>
      </c>
      <c r="O523" t="str">
        <v>v.o.n.</v>
      </c>
      <c r="P523">
        <v>77</v>
      </c>
      <c r="Q523">
        <v>4256</v>
      </c>
      <c r="R523" t="str">
        <v>Onbekend</v>
      </c>
      <c r="S523" t="str">
        <v>A+++</v>
      </c>
      <c r="T523">
        <v>3</v>
      </c>
      <c r="U523">
        <v>2</v>
      </c>
      <c r="V523" t="str">
        <v>Appartement</v>
      </c>
      <c r="W523" t="str">
        <v>Appartement</v>
      </c>
      <c r="X523" t="str">
        <v>Appartement 75-100 m²</v>
      </c>
      <c r="Y523" t="str">
        <v>Ja</v>
      </c>
      <c r="Z523" t="str">
        <v>eigen parkeerplaats</v>
      </c>
      <c r="AA523" t="str">
        <v>Na 2020</v>
      </c>
      <c r="AB523" t="str">
        <v>Nee</v>
      </c>
      <c r="AC523" t="str">
        <v>NEE</v>
      </c>
      <c r="AD523" t="str">
        <v>JA</v>
      </c>
    </row>
    <row r="524">
      <c r="A524" t="str">
        <v>44428468</v>
      </c>
      <c r="B524" t="str">
        <v>https://www.funda.nl/detail/koop/hengelo-ov/appartement-de-bakker-bouwnr-03/44428468/</v>
      </c>
      <c r="C524" t="str">
        <v>De Concurrent Hengelo</v>
      </c>
      <c r="D524" t="str">
        <v>De Bakker</v>
      </c>
      <c r="E524" t="str">
        <v>03</v>
      </c>
      <c r="F524" t="str">
        <v>7553 JT</v>
      </c>
      <c r="G524" t="str">
        <v>Hengelo (OV)</v>
      </c>
      <c r="H524" t="str">
        <v>Hengelo (O)</v>
      </c>
      <c r="I524" t="str">
        <v>Overijssel</v>
      </c>
      <c r="J524" t="str">
        <v>Oost-Nederland</v>
      </c>
      <c r="K524" t="str">
        <v>Te koop</v>
      </c>
      <c r="L524" t="str">
        <v>Onbekend</v>
      </c>
      <c r="M524" t="str">
        <v>Onbekend</v>
      </c>
      <c r="N524">
        <v>437250</v>
      </c>
      <c r="O524" t="str">
        <v>v.o.n.</v>
      </c>
      <c r="P524">
        <v>85</v>
      </c>
      <c r="Q524">
        <v>5144</v>
      </c>
      <c r="R524" t="str">
        <v>Onbekend</v>
      </c>
      <c r="S524" t="str">
        <v>A+++</v>
      </c>
      <c r="T524">
        <v>3</v>
      </c>
      <c r="U524">
        <v>2</v>
      </c>
      <c r="V524" t="str">
        <v>Appartement</v>
      </c>
      <c r="W524" t="str">
        <v>Appartement</v>
      </c>
      <c r="X524" t="str">
        <v>Appartement 75-100 m²</v>
      </c>
      <c r="Y524" t="str">
        <v>Ja</v>
      </c>
      <c r="Z524" t="str">
        <v>eigen parkeerplaats</v>
      </c>
      <c r="AA524" t="str">
        <v>Na 2020</v>
      </c>
      <c r="AB524" t="str">
        <v>Nee</v>
      </c>
      <c r="AC524" t="str">
        <v>NEE</v>
      </c>
      <c r="AD524" t="str">
        <v>JA</v>
      </c>
    </row>
    <row r="525">
      <c r="A525" t="str">
        <v>44428895</v>
      </c>
      <c r="B525" t="str">
        <v>https://www.funda.nl/detail/koop/capelle-aan-den-ijssel/appartement-rivium-1e-straat-65-b/44428895/</v>
      </c>
      <c r="C525" t="str">
        <v>Rive Tower</v>
      </c>
      <c r="D525" t="str">
        <v>Rivium 1e straat 65-B</v>
      </c>
      <c r="E525" t="str">
        <v>Onbekend</v>
      </c>
      <c r="F525" t="str">
        <v>2909 LE</v>
      </c>
      <c r="G525" t="str">
        <v>Capelle aan den IJssel</v>
      </c>
      <c r="H525" t="str">
        <v>Capelle aan den IJssel</v>
      </c>
      <c r="I525" t="str">
        <v>Zuid-Holland</v>
      </c>
      <c r="J525" t="str">
        <v>West-Nederland</v>
      </c>
      <c r="K525" t="str">
        <v>Te koop</v>
      </c>
      <c r="L525" t="str">
        <v>Onbekend</v>
      </c>
      <c r="M525" t="str">
        <v>Onbekend</v>
      </c>
      <c r="N525">
        <v>305000</v>
      </c>
      <c r="O525" t="str">
        <v>k.k.</v>
      </c>
      <c r="P525">
        <v>40</v>
      </c>
      <c r="Q525">
        <v>7625</v>
      </c>
      <c r="R525" t="str">
        <v>Onbekend</v>
      </c>
      <c r="S525" t="str">
        <v>A+</v>
      </c>
      <c r="T525">
        <v>1</v>
      </c>
      <c r="U525" t="str">
        <v>Onbekend</v>
      </c>
      <c r="V525" t="str">
        <v>Appartement</v>
      </c>
      <c r="W525" t="str">
        <v>Appartement</v>
      </c>
      <c r="X525" t="str">
        <v>Appartement &lt;50 m²</v>
      </c>
      <c r="Y525" t="str">
        <v>Ja</v>
      </c>
      <c r="Z525" t="str">
        <v>openbare parkeerplaats</v>
      </c>
      <c r="AA525" t="str">
        <v>1991</v>
      </c>
      <c r="AB525" t="str">
        <v>Nee</v>
      </c>
      <c r="AC525" t="str">
        <v>NEE</v>
      </c>
      <c r="AD525" t="str">
        <v>JA</v>
      </c>
    </row>
    <row r="526">
      <c r="A526" t="str">
        <v>44427375</v>
      </c>
      <c r="B526" t="str">
        <v>https://www.funda.nl/detail/koop/den-haag/appartement-koningin-julianaplein-9-131/44427375/</v>
      </c>
      <c r="C526" t="str">
        <v>KJ Den Haag fase 2,3,4 en 5</v>
      </c>
      <c r="D526" t="str">
        <v>Koningin Julianaplein 9-131</v>
      </c>
      <c r="E526" t="str">
        <v>Onbekend</v>
      </c>
      <c r="F526" t="str">
        <v>2595 AA</v>
      </c>
      <c r="G526" t="str">
        <v>Den Haag</v>
      </c>
      <c r="H526" t="str">
        <v>'s-Gravenhage</v>
      </c>
      <c r="I526" t="str">
        <v>Zuid-Holland</v>
      </c>
      <c r="J526" t="str">
        <v>West-Nederland</v>
      </c>
      <c r="K526" t="str">
        <v>Te koop</v>
      </c>
      <c r="L526" t="str">
        <v>Onbekend</v>
      </c>
      <c r="M526" t="str">
        <v>Onbekend</v>
      </c>
      <c r="N526">
        <v>825000</v>
      </c>
      <c r="O526" t="str">
        <v>v.o.n.</v>
      </c>
      <c r="P526">
        <v>120</v>
      </c>
      <c r="Q526">
        <v>6875</v>
      </c>
      <c r="R526" t="str">
        <v>Onbekend</v>
      </c>
      <c r="S526" t="str">
        <v>Niet beschikbaar</v>
      </c>
      <c r="T526">
        <v>3</v>
      </c>
      <c r="U526">
        <v>2</v>
      </c>
      <c r="V526" t="str">
        <v>Appartement</v>
      </c>
      <c r="W526" t="str">
        <v>Appartement</v>
      </c>
      <c r="X526" t="str">
        <v>Appartement &gt;100 m²</v>
      </c>
      <c r="Y526" t="str">
        <v>Onbekend</v>
      </c>
      <c r="Z526" t="str">
        <v>onbekend</v>
      </c>
      <c r="AA526" t="str">
        <v>Na 2020</v>
      </c>
      <c r="AB526" t="str">
        <v>Nee</v>
      </c>
      <c r="AC526" t="str">
        <v>NEE</v>
      </c>
      <c r="AD526" t="str">
        <v>JA</v>
      </c>
    </row>
    <row r="527">
      <c r="A527" t="str">
        <v>44427144</v>
      </c>
      <c r="B527" t="str">
        <v>https://www.funda.nl/detail/koop/roermond/huis-starterswoningen-bouwnr-4/44427144/</v>
      </c>
      <c r="C527" t="str">
        <v>Leeuwendaal Starterswoningen</v>
      </c>
      <c r="D527" t="str">
        <v>Starterswoningen</v>
      </c>
      <c r="E527" t="str">
        <v>4</v>
      </c>
      <c r="F527" t="str">
        <v>6041 BK</v>
      </c>
      <c r="G527" t="str">
        <v>Roermond</v>
      </c>
      <c r="H527" t="str">
        <v>Roermond</v>
      </c>
      <c r="I527" t="str">
        <v>Limburg</v>
      </c>
      <c r="J527" t="str">
        <v>Zuid-Nederland</v>
      </c>
      <c r="K527" t="str">
        <v>Te koop</v>
      </c>
      <c r="L527" t="str">
        <v>Onbekend</v>
      </c>
      <c r="M527" t="str">
        <v>Onbekend</v>
      </c>
      <c r="N527">
        <v>420000</v>
      </c>
      <c r="O527" t="str">
        <v>v.o.n.</v>
      </c>
      <c r="P527">
        <v>114</v>
      </c>
      <c r="Q527">
        <v>3684</v>
      </c>
      <c r="R527">
        <v>202</v>
      </c>
      <c r="S527" t="str">
        <v>A+++</v>
      </c>
      <c r="T527">
        <v>6</v>
      </c>
      <c r="U527">
        <v>4</v>
      </c>
      <c r="V527" t="str">
        <v>Grondgebonden</v>
      </c>
      <c r="W527" t="str">
        <v>2-onder-1-kapwoning</v>
      </c>
      <c r="X527" t="str">
        <v>N.v.t.</v>
      </c>
      <c r="Y527" t="str">
        <v>Ja</v>
      </c>
      <c r="Z527" t="str">
        <v>eigen parkeerplaats</v>
      </c>
      <c r="AA527" t="str">
        <v>2026</v>
      </c>
      <c r="AB527" t="str">
        <v>Nee</v>
      </c>
      <c r="AC527" t="str">
        <v>NEE</v>
      </c>
      <c r="AD527" t="str">
        <v>JA</v>
      </c>
    </row>
    <row r="528">
      <c r="A528" t="str">
        <v>44427143</v>
      </c>
      <c r="B528" t="str">
        <v>https://www.funda.nl/detail/koop/roermond/huis-starterswoningen-bouwnr-5/44427143/</v>
      </c>
      <c r="C528" t="str">
        <v>Leeuwendaal Starterswoningen</v>
      </c>
      <c r="D528" t="str">
        <v>Starterswoningen</v>
      </c>
      <c r="E528" t="str">
        <v>5</v>
      </c>
      <c r="F528" t="str">
        <v>6041 BK</v>
      </c>
      <c r="G528" t="str">
        <v>Roermond</v>
      </c>
      <c r="H528" t="str">
        <v>Roermond</v>
      </c>
      <c r="I528" t="str">
        <v>Limburg</v>
      </c>
      <c r="J528" t="str">
        <v>Zuid-Nederland</v>
      </c>
      <c r="K528" t="str">
        <v>Te koop</v>
      </c>
      <c r="L528" t="str">
        <v>Onbekend</v>
      </c>
      <c r="M528" t="str">
        <v>Onbekend</v>
      </c>
      <c r="N528">
        <v>420000</v>
      </c>
      <c r="O528" t="str">
        <v>v.o.n.</v>
      </c>
      <c r="P528">
        <v>114</v>
      </c>
      <c r="Q528">
        <v>3684</v>
      </c>
      <c r="R528">
        <v>193</v>
      </c>
      <c r="S528" t="str">
        <v>A+++</v>
      </c>
      <c r="T528">
        <v>6</v>
      </c>
      <c r="U528">
        <v>4</v>
      </c>
      <c r="V528" t="str">
        <v>Grondgebonden</v>
      </c>
      <c r="W528" t="str">
        <v>2-onder-1-kapwoning</v>
      </c>
      <c r="X528" t="str">
        <v>N.v.t.</v>
      </c>
      <c r="Y528" t="str">
        <v>Ja</v>
      </c>
      <c r="Z528" t="str">
        <v>eigen parkeerplaats</v>
      </c>
      <c r="AA528" t="str">
        <v>2026</v>
      </c>
      <c r="AB528" t="str">
        <v>Nee</v>
      </c>
      <c r="AC528" t="str">
        <v>NEE</v>
      </c>
      <c r="AD528" t="str">
        <v>JA</v>
      </c>
    </row>
    <row r="529">
      <c r="A529" t="str">
        <v>44427132</v>
      </c>
      <c r="B529" t="str">
        <v>https://www.funda.nl/detail/koop/roermond/huis-starterswoningen-bouwnr-6/44427132/</v>
      </c>
      <c r="C529" t="str">
        <v>Leeuwendaal Starterswoningen</v>
      </c>
      <c r="D529" t="str">
        <v>Starterswoningen</v>
      </c>
      <c r="E529" t="str">
        <v>6</v>
      </c>
      <c r="F529" t="str">
        <v>6041 BK</v>
      </c>
      <c r="G529" t="str">
        <v>Roermond</v>
      </c>
      <c r="H529" t="str">
        <v>Roermond</v>
      </c>
      <c r="I529" t="str">
        <v>Limburg</v>
      </c>
      <c r="J529" t="str">
        <v>Zuid-Nederland</v>
      </c>
      <c r="K529" t="str">
        <v>V.O.V.</v>
      </c>
      <c r="L529" t="str">
        <v>Onbekend</v>
      </c>
      <c r="M529" t="str">
        <v>Onbekend</v>
      </c>
      <c r="N529">
        <v>420000</v>
      </c>
      <c r="O529" t="str">
        <v>v.o.n.</v>
      </c>
      <c r="P529">
        <v>114</v>
      </c>
      <c r="Q529">
        <v>3684</v>
      </c>
      <c r="R529">
        <v>203</v>
      </c>
      <c r="S529" t="str">
        <v>A+++</v>
      </c>
      <c r="T529">
        <v>6</v>
      </c>
      <c r="U529">
        <v>4</v>
      </c>
      <c r="V529" t="str">
        <v>Grondgebonden</v>
      </c>
      <c r="W529" t="str">
        <v>2-onder-1-kapwoning</v>
      </c>
      <c r="X529" t="str">
        <v>N.v.t.</v>
      </c>
      <c r="Y529" t="str">
        <v>Ja</v>
      </c>
      <c r="Z529" t="str">
        <v>eigen parkeerplaats</v>
      </c>
      <c r="AA529" t="str">
        <v>2026</v>
      </c>
      <c r="AB529" t="str">
        <v>Nee</v>
      </c>
      <c r="AC529" t="str">
        <v>NEE</v>
      </c>
      <c r="AD529" t="str">
        <v>JA</v>
      </c>
    </row>
    <row r="530">
      <c r="A530" t="str">
        <v>44427131</v>
      </c>
      <c r="B530" t="str">
        <v>https://www.funda.nl/detail/koop/roermond/huis-starterswoningen-bouwnr-3/44427131/</v>
      </c>
      <c r="C530" t="str">
        <v>Leeuwendaal Starterswoningen</v>
      </c>
      <c r="D530" t="str">
        <v>Starterswoningen</v>
      </c>
      <c r="E530" t="str">
        <v>3</v>
      </c>
      <c r="F530" t="str">
        <v>6041 BK</v>
      </c>
      <c r="G530" t="str">
        <v>Roermond</v>
      </c>
      <c r="H530" t="str">
        <v>Roermond</v>
      </c>
      <c r="I530" t="str">
        <v>Limburg</v>
      </c>
      <c r="J530" t="str">
        <v>Zuid-Nederland</v>
      </c>
      <c r="K530" t="str">
        <v>V.O.V.</v>
      </c>
      <c r="L530" t="str">
        <v>Onbekend</v>
      </c>
      <c r="M530" t="str">
        <v>Onbekend</v>
      </c>
      <c r="N530">
        <v>420000</v>
      </c>
      <c r="O530" t="str">
        <v>v.o.n.</v>
      </c>
      <c r="P530">
        <v>114</v>
      </c>
      <c r="Q530">
        <v>3684</v>
      </c>
      <c r="R530">
        <v>192</v>
      </c>
      <c r="S530" t="str">
        <v>A+++</v>
      </c>
      <c r="T530">
        <v>6</v>
      </c>
      <c r="U530">
        <v>4</v>
      </c>
      <c r="V530" t="str">
        <v>Grondgebonden</v>
      </c>
      <c r="W530" t="str">
        <v>2-onder-1-kapwoning</v>
      </c>
      <c r="X530" t="str">
        <v>N.v.t.</v>
      </c>
      <c r="Y530" t="str">
        <v>Ja</v>
      </c>
      <c r="Z530" t="str">
        <v>eigen parkeerplaats</v>
      </c>
      <c r="AA530" t="str">
        <v>2026</v>
      </c>
      <c r="AB530" t="str">
        <v>Nee</v>
      </c>
      <c r="AC530" t="str">
        <v>NEE</v>
      </c>
      <c r="AD530" t="str">
        <v>JA</v>
      </c>
    </row>
    <row r="531">
      <c r="A531" t="str">
        <v>44427130</v>
      </c>
      <c r="B531" t="str">
        <v>https://www.funda.nl/detail/koop/roermond/huis-starterswoningen-bouwnr-1/44427130/</v>
      </c>
      <c r="C531" t="str">
        <v>Leeuwendaal Starterswoningen</v>
      </c>
      <c r="D531" t="str">
        <v>Starterswoningen</v>
      </c>
      <c r="E531" t="str">
        <v>1</v>
      </c>
      <c r="F531" t="str">
        <v>6041 BK</v>
      </c>
      <c r="G531" t="str">
        <v>Roermond</v>
      </c>
      <c r="H531" t="str">
        <v>Roermond</v>
      </c>
      <c r="I531" t="str">
        <v>Limburg</v>
      </c>
      <c r="J531" t="str">
        <v>Zuid-Nederland</v>
      </c>
      <c r="K531" t="str">
        <v>Te koop</v>
      </c>
      <c r="L531" t="str">
        <v>Onbekend</v>
      </c>
      <c r="M531" t="str">
        <v>Onbekend</v>
      </c>
      <c r="N531">
        <v>420000</v>
      </c>
      <c r="O531" t="str">
        <v>v.o.n.</v>
      </c>
      <c r="P531">
        <v>114</v>
      </c>
      <c r="Q531">
        <v>3684</v>
      </c>
      <c r="R531">
        <v>193</v>
      </c>
      <c r="S531" t="str">
        <v>A+++</v>
      </c>
      <c r="T531">
        <v>6</v>
      </c>
      <c r="U531">
        <v>4</v>
      </c>
      <c r="V531" t="str">
        <v>Grondgebonden</v>
      </c>
      <c r="W531" t="str">
        <v>2-onder-1-kapwoning</v>
      </c>
      <c r="X531" t="str">
        <v>N.v.t.</v>
      </c>
      <c r="Y531" t="str">
        <v>Ja</v>
      </c>
      <c r="Z531" t="str">
        <v>eigen parkeerplaats</v>
      </c>
      <c r="AA531" t="str">
        <v>2026</v>
      </c>
      <c r="AB531" t="str">
        <v>Nee</v>
      </c>
      <c r="AC531" t="str">
        <v>NEE</v>
      </c>
      <c r="AD531" t="str">
        <v>JA</v>
      </c>
    </row>
    <row r="532">
      <c r="A532" t="str">
        <v>44427145</v>
      </c>
      <c r="B532" t="str">
        <v>https://www.funda.nl/detail/koop/roermond/huis-starterswoningen-bouwnr-2/44427145/</v>
      </c>
      <c r="C532" t="str">
        <v>Leeuwendaal Starterswoningen</v>
      </c>
      <c r="D532" t="str">
        <v>Starterswoningen</v>
      </c>
      <c r="E532" t="str">
        <v>2</v>
      </c>
      <c r="F532" t="str">
        <v>6041 BK</v>
      </c>
      <c r="G532" t="str">
        <v>Roermond</v>
      </c>
      <c r="H532" t="str">
        <v>Roermond</v>
      </c>
      <c r="I532" t="str">
        <v>Limburg</v>
      </c>
      <c r="J532" t="str">
        <v>Zuid-Nederland</v>
      </c>
      <c r="K532" t="str">
        <v>Te koop</v>
      </c>
      <c r="L532" t="str">
        <v>Onbekend</v>
      </c>
      <c r="M532" t="str">
        <v>Onbekend</v>
      </c>
      <c r="N532">
        <v>420000</v>
      </c>
      <c r="O532" t="str">
        <v>v.o.n.</v>
      </c>
      <c r="P532">
        <v>114</v>
      </c>
      <c r="Q532">
        <v>3684</v>
      </c>
      <c r="R532">
        <v>201</v>
      </c>
      <c r="S532" t="str">
        <v>A+++</v>
      </c>
      <c r="T532">
        <v>6</v>
      </c>
      <c r="U532">
        <v>4</v>
      </c>
      <c r="V532" t="str">
        <v>Grondgebonden</v>
      </c>
      <c r="W532" t="str">
        <v>2-onder-1-kapwoning</v>
      </c>
      <c r="X532" t="str">
        <v>N.v.t.</v>
      </c>
      <c r="Y532" t="str">
        <v>Ja</v>
      </c>
      <c r="Z532" t="str">
        <v>eigen parkeerplaats</v>
      </c>
      <c r="AA532" t="str">
        <v>2026</v>
      </c>
      <c r="AB532" t="str">
        <v>Nee</v>
      </c>
      <c r="AC532" t="str">
        <v>NEE</v>
      </c>
      <c r="AD532" t="str">
        <v>JA</v>
      </c>
    </row>
    <row r="533">
      <c r="A533" t="str">
        <v>44427051</v>
      </c>
      <c r="B533" t="str">
        <v>https://www.funda.nl/detail/koop/julianadorp/huis-2k3-bouwnr-526/44427051/</v>
      </c>
      <c r="C533" t="str">
        <v>Willem Alexanderhof: Fase 6</v>
      </c>
      <c r="D533" t="str">
        <v>2K3</v>
      </c>
      <c r="E533" t="str">
        <v>526</v>
      </c>
      <c r="F533" t="str">
        <v>1787</v>
      </c>
      <c r="G533" t="str">
        <v>Julianadorp</v>
      </c>
      <c r="H533" t="str">
        <v>Den Helder</v>
      </c>
      <c r="I533" t="str">
        <v>Noord-Holland</v>
      </c>
      <c r="J533" t="str">
        <v>West-Nederland</v>
      </c>
      <c r="K533" t="str">
        <v>V.O.V.</v>
      </c>
      <c r="L533" t="str">
        <v>Onbekend</v>
      </c>
      <c r="M533" t="str">
        <v>Onbekend</v>
      </c>
      <c r="N533">
        <v>585000</v>
      </c>
      <c r="O533" t="str">
        <v>v.o.n.</v>
      </c>
      <c r="P533">
        <v>161</v>
      </c>
      <c r="Q533">
        <v>3634</v>
      </c>
      <c r="R533">
        <v>253</v>
      </c>
      <c r="S533" t="str">
        <v>A+++</v>
      </c>
      <c r="T533">
        <v>4</v>
      </c>
      <c r="U533">
        <v>3</v>
      </c>
      <c r="V533" t="str">
        <v>Grondgebonden</v>
      </c>
      <c r="W533" t="str">
        <v>2-onder-1-kapwoning</v>
      </c>
      <c r="X533" t="str">
        <v>N.v.t.</v>
      </c>
      <c r="Y533" t="str">
        <v>Onbekend</v>
      </c>
      <c r="Z533" t="str">
        <v>onbekend</v>
      </c>
      <c r="AA533" t="str">
        <v>Na 2020</v>
      </c>
      <c r="AB533" t="str">
        <v>Nee</v>
      </c>
      <c r="AC533" t="str">
        <v>NEE</v>
      </c>
      <c r="AD533" t="str">
        <v>JA</v>
      </c>
    </row>
    <row r="534">
      <c r="A534" t="str">
        <v>44427050</v>
      </c>
      <c r="B534" t="str">
        <v>https://www.funda.nl/detail/koop/julianadorp/huis-vs2-bouwnr-524/44427050/</v>
      </c>
      <c r="C534" t="str">
        <v>Willem Alexanderhof: Fase 6</v>
      </c>
      <c r="D534" t="str">
        <v>VS2</v>
      </c>
      <c r="E534" t="str">
        <v>524</v>
      </c>
      <c r="F534" t="str">
        <v>1787</v>
      </c>
      <c r="G534" t="str">
        <v>Julianadorp</v>
      </c>
      <c r="H534" t="str">
        <v>Den Helder</v>
      </c>
      <c r="I534" t="str">
        <v>Noord-Holland</v>
      </c>
      <c r="J534" t="str">
        <v>West-Nederland</v>
      </c>
      <c r="K534" t="str">
        <v>V.O.V.</v>
      </c>
      <c r="L534" t="str">
        <v>Onbekend</v>
      </c>
      <c r="M534" t="str">
        <v>Onbekend</v>
      </c>
      <c r="N534">
        <v>650000</v>
      </c>
      <c r="O534" t="str">
        <v>v.o.n.</v>
      </c>
      <c r="P534">
        <v>183</v>
      </c>
      <c r="Q534">
        <v>3552</v>
      </c>
      <c r="R534">
        <v>355</v>
      </c>
      <c r="S534" t="str">
        <v>A+++</v>
      </c>
      <c r="T534">
        <v>6</v>
      </c>
      <c r="U534">
        <v>5</v>
      </c>
      <c r="V534" t="str">
        <v>Grondgebonden</v>
      </c>
      <c r="W534" t="str">
        <v>Vrijstaande woning</v>
      </c>
      <c r="X534" t="str">
        <v>N.v.t.</v>
      </c>
      <c r="Y534" t="str">
        <v>Onbekend</v>
      </c>
      <c r="Z534" t="str">
        <v>onbekend</v>
      </c>
      <c r="AA534" t="str">
        <v>Na 2020</v>
      </c>
      <c r="AB534" t="str">
        <v>Nee</v>
      </c>
      <c r="AC534" t="str">
        <v>NEE</v>
      </c>
      <c r="AD534" t="str">
        <v>JA</v>
      </c>
    </row>
    <row r="535">
      <c r="A535" t="str">
        <v>44427056</v>
      </c>
      <c r="B535" t="str">
        <v>https://www.funda.nl/detail/koop/julianadorp/huis-2k3-bouwnr-520/44427056/</v>
      </c>
      <c r="C535" t="str">
        <v>Willem Alexanderhof: Fase 6</v>
      </c>
      <c r="D535" t="str">
        <v>2K3</v>
      </c>
      <c r="E535" t="str">
        <v>520</v>
      </c>
      <c r="F535" t="str">
        <v>1787</v>
      </c>
      <c r="G535" t="str">
        <v>Julianadorp</v>
      </c>
      <c r="H535" t="str">
        <v>Den Helder</v>
      </c>
      <c r="I535" t="str">
        <v>Noord-Holland</v>
      </c>
      <c r="J535" t="str">
        <v>West-Nederland</v>
      </c>
      <c r="K535" t="str">
        <v>Te koop</v>
      </c>
      <c r="L535" t="str">
        <v>2026-07-05</v>
      </c>
      <c r="M535">
        <v>8</v>
      </c>
      <c r="N535">
        <v>584000</v>
      </c>
      <c r="O535" t="str">
        <v>v.o.n.</v>
      </c>
      <c r="P535">
        <v>161</v>
      </c>
      <c r="Q535">
        <v>3627</v>
      </c>
      <c r="R535">
        <v>251</v>
      </c>
      <c r="S535" t="str">
        <v>A+++</v>
      </c>
      <c r="T535">
        <v>4</v>
      </c>
      <c r="U535">
        <v>3</v>
      </c>
      <c r="V535" t="str">
        <v>Grondgebonden</v>
      </c>
      <c r="W535" t="str">
        <v>2-onder-1-kapwoning</v>
      </c>
      <c r="X535" t="str">
        <v>N.v.t.</v>
      </c>
      <c r="Y535" t="str">
        <v>Onbekend</v>
      </c>
      <c r="Z535" t="str">
        <v>onbekend</v>
      </c>
      <c r="AA535" t="str">
        <v>Na 2020</v>
      </c>
      <c r="AB535" t="str">
        <v>Nee</v>
      </c>
      <c r="AC535" t="str">
        <v>NEE</v>
      </c>
      <c r="AD535" t="str">
        <v>JA</v>
      </c>
    </row>
    <row r="536">
      <c r="A536" t="str">
        <v>44427055</v>
      </c>
      <c r="B536" t="str">
        <v>https://www.funda.nl/detail/koop/julianadorp/huis-vs1sp-bouwnr-528/44427055/</v>
      </c>
      <c r="C536" t="str">
        <v>Willem Alexanderhof: Fase 6</v>
      </c>
      <c r="D536" t="str">
        <v>VS1sp</v>
      </c>
      <c r="E536" t="str">
        <v>528</v>
      </c>
      <c r="F536" t="str">
        <v>1787</v>
      </c>
      <c r="G536" t="str">
        <v>Julianadorp</v>
      </c>
      <c r="H536" t="str">
        <v>Den Helder</v>
      </c>
      <c r="I536" t="str">
        <v>Noord-Holland</v>
      </c>
      <c r="J536" t="str">
        <v>West-Nederland</v>
      </c>
      <c r="K536" t="str">
        <v>V.O.V.</v>
      </c>
      <c r="L536" t="str">
        <v>Onbekend</v>
      </c>
      <c r="M536" t="str">
        <v>Onbekend</v>
      </c>
      <c r="N536">
        <v>609000</v>
      </c>
      <c r="O536" t="str">
        <v>v.o.n.</v>
      </c>
      <c r="P536">
        <v>146</v>
      </c>
      <c r="Q536">
        <v>4171</v>
      </c>
      <c r="R536">
        <v>421</v>
      </c>
      <c r="S536" t="str">
        <v>A+++</v>
      </c>
      <c r="T536">
        <v>4</v>
      </c>
      <c r="U536">
        <v>3</v>
      </c>
      <c r="V536" t="str">
        <v>Grondgebonden</v>
      </c>
      <c r="W536" t="str">
        <v>Vrijstaande woning</v>
      </c>
      <c r="X536" t="str">
        <v>N.v.t.</v>
      </c>
      <c r="Y536" t="str">
        <v>Onbekend</v>
      </c>
      <c r="Z536" t="str">
        <v>onbekend</v>
      </c>
      <c r="AA536" t="str">
        <v>Na 2020</v>
      </c>
      <c r="AB536" t="str">
        <v>Nee</v>
      </c>
      <c r="AC536" t="str">
        <v>NEE</v>
      </c>
      <c r="AD536" t="str">
        <v>JA</v>
      </c>
    </row>
    <row r="537">
      <c r="A537" t="str">
        <v>44427054</v>
      </c>
      <c r="B537" t="str">
        <v>https://www.funda.nl/detail/koop/julianadorp/huis-vs1sp-bouwnr-519/44427054/</v>
      </c>
      <c r="C537" t="str">
        <v>Willem Alexanderhof: Fase 6</v>
      </c>
      <c r="D537" t="str">
        <v>VS1sp</v>
      </c>
      <c r="E537" t="str">
        <v>519</v>
      </c>
      <c r="F537" t="str">
        <v>1787</v>
      </c>
      <c r="G537" t="str">
        <v>Julianadorp</v>
      </c>
      <c r="H537" t="str">
        <v>Den Helder</v>
      </c>
      <c r="I537" t="str">
        <v>Noord-Holland</v>
      </c>
      <c r="J537" t="str">
        <v>West-Nederland</v>
      </c>
      <c r="K537" t="str">
        <v>V.O.V.</v>
      </c>
      <c r="L537" t="str">
        <v>Onbekend</v>
      </c>
      <c r="M537" t="str">
        <v>Onbekend</v>
      </c>
      <c r="N537">
        <v>609000</v>
      </c>
      <c r="O537" t="str">
        <v>v.o.n.</v>
      </c>
      <c r="P537">
        <v>146</v>
      </c>
      <c r="Q537">
        <v>4171</v>
      </c>
      <c r="R537">
        <v>374</v>
      </c>
      <c r="S537" t="str">
        <v>A+++</v>
      </c>
      <c r="T537">
        <v>4</v>
      </c>
      <c r="U537">
        <v>3</v>
      </c>
      <c r="V537" t="str">
        <v>Grondgebonden</v>
      </c>
      <c r="W537" t="str">
        <v>Vrijstaande woning</v>
      </c>
      <c r="X537" t="str">
        <v>N.v.t.</v>
      </c>
      <c r="Y537" t="str">
        <v>Onbekend</v>
      </c>
      <c r="Z537" t="str">
        <v>onbekend</v>
      </c>
      <c r="AA537" t="str">
        <v>Na 2020</v>
      </c>
      <c r="AB537" t="str">
        <v>Nee</v>
      </c>
      <c r="AC537" t="str">
        <v>NEE</v>
      </c>
      <c r="AD537" t="str">
        <v>JA</v>
      </c>
    </row>
    <row r="538">
      <c r="A538" t="str">
        <v>44427042</v>
      </c>
      <c r="B538" t="str">
        <v>https://www.funda.nl/detail/koop/julianadorp/huis-2k3sp-bouwnr-521/44427042/</v>
      </c>
      <c r="C538" t="str">
        <v>Willem Alexanderhof: Fase 6</v>
      </c>
      <c r="D538" t="str">
        <v>2K3sp</v>
      </c>
      <c r="E538" t="str">
        <v>521</v>
      </c>
      <c r="F538" t="str">
        <v>1787</v>
      </c>
      <c r="G538" t="str">
        <v>Julianadorp</v>
      </c>
      <c r="H538" t="str">
        <v>Den Helder</v>
      </c>
      <c r="I538" t="str">
        <v>Noord-Holland</v>
      </c>
      <c r="J538" t="str">
        <v>West-Nederland</v>
      </c>
      <c r="K538" t="str">
        <v>Te koop</v>
      </c>
      <c r="L538" t="str">
        <v>Onbekend</v>
      </c>
      <c r="M538" t="str">
        <v>Onbekend</v>
      </c>
      <c r="N538">
        <v>585000</v>
      </c>
      <c r="O538" t="str">
        <v>v.o.n.</v>
      </c>
      <c r="P538">
        <v>161</v>
      </c>
      <c r="Q538">
        <v>3634</v>
      </c>
      <c r="R538">
        <v>256</v>
      </c>
      <c r="S538" t="str">
        <v>A+++</v>
      </c>
      <c r="T538">
        <v>4</v>
      </c>
      <c r="U538">
        <v>3</v>
      </c>
      <c r="V538" t="str">
        <v>Grondgebonden</v>
      </c>
      <c r="W538" t="str">
        <v>2-onder-1-kapwoning</v>
      </c>
      <c r="X538" t="str">
        <v>N.v.t.</v>
      </c>
      <c r="Y538" t="str">
        <v>Onbekend</v>
      </c>
      <c r="Z538" t="str">
        <v>onbekend</v>
      </c>
      <c r="AA538" t="str">
        <v>Na 2020</v>
      </c>
      <c r="AB538" t="str">
        <v>Nee</v>
      </c>
      <c r="AC538" t="str">
        <v>NEE</v>
      </c>
      <c r="AD538" t="str">
        <v>JA</v>
      </c>
    </row>
    <row r="539">
      <c r="A539" t="str">
        <v>44427041</v>
      </c>
      <c r="B539" t="str">
        <v>https://www.funda.nl/detail/koop/julianadorp/huis-2k2-bouwnr-522/44427041/</v>
      </c>
      <c r="C539" t="str">
        <v>Willem Alexanderhof: Fase 6</v>
      </c>
      <c r="D539" t="str">
        <v>2K2</v>
      </c>
      <c r="E539" t="str">
        <v>522</v>
      </c>
      <c r="F539" t="str">
        <v>1787</v>
      </c>
      <c r="G539" t="str">
        <v>Julianadorp</v>
      </c>
      <c r="H539" t="str">
        <v>Den Helder</v>
      </c>
      <c r="I539" t="str">
        <v>Noord-Holland</v>
      </c>
      <c r="J539" t="str">
        <v>West-Nederland</v>
      </c>
      <c r="K539" t="str">
        <v>Te koop</v>
      </c>
      <c r="L539" t="str">
        <v>Onbekend</v>
      </c>
      <c r="M539" t="str">
        <v>Onbekend</v>
      </c>
      <c r="N539">
        <v>562500</v>
      </c>
      <c r="O539" t="str">
        <v>v.o.n.</v>
      </c>
      <c r="P539">
        <v>155</v>
      </c>
      <c r="Q539">
        <v>3629</v>
      </c>
      <c r="R539">
        <v>275</v>
      </c>
      <c r="S539" t="str">
        <v>A+++</v>
      </c>
      <c r="T539">
        <v>5</v>
      </c>
      <c r="U539">
        <v>4</v>
      </c>
      <c r="V539" t="str">
        <v>Grondgebonden</v>
      </c>
      <c r="W539" t="str">
        <v>2-onder-1-kapwoning</v>
      </c>
      <c r="X539" t="str">
        <v>N.v.t.</v>
      </c>
      <c r="Y539" t="str">
        <v>Onbekend</v>
      </c>
      <c r="Z539" t="str">
        <v>onbekend</v>
      </c>
      <c r="AA539" t="str">
        <v>Na 2020</v>
      </c>
      <c r="AB539" t="str">
        <v>Nee</v>
      </c>
      <c r="AC539" t="str">
        <v>NEE</v>
      </c>
      <c r="AD539" t="str">
        <v>JA</v>
      </c>
    </row>
    <row r="540">
      <c r="A540" t="str">
        <v>44427049</v>
      </c>
      <c r="B540" t="str">
        <v>https://www.funda.nl/detail/koop/julianadorp/huis-2k3-bouwnr-531/44427049/</v>
      </c>
      <c r="C540" t="str">
        <v>Willem Alexanderhof: Fase 6</v>
      </c>
      <c r="D540" t="str">
        <v>2K3</v>
      </c>
      <c r="E540" t="str">
        <v>531</v>
      </c>
      <c r="F540" t="str">
        <v>1787</v>
      </c>
      <c r="G540" t="str">
        <v>Julianadorp</v>
      </c>
      <c r="H540" t="str">
        <v>Den Helder</v>
      </c>
      <c r="I540" t="str">
        <v>Noord-Holland</v>
      </c>
      <c r="J540" t="str">
        <v>West-Nederland</v>
      </c>
      <c r="K540" t="str">
        <v>Te koop</v>
      </c>
      <c r="L540" t="str">
        <v>Onbekend</v>
      </c>
      <c r="M540" t="str">
        <v>Onbekend</v>
      </c>
      <c r="N540">
        <v>585000</v>
      </c>
      <c r="O540" t="str">
        <v>v.o.n.</v>
      </c>
      <c r="P540">
        <v>161</v>
      </c>
      <c r="Q540">
        <v>3634</v>
      </c>
      <c r="R540">
        <v>254</v>
      </c>
      <c r="S540" t="str">
        <v>A+++</v>
      </c>
      <c r="T540">
        <v>4</v>
      </c>
      <c r="U540">
        <v>3</v>
      </c>
      <c r="V540" t="str">
        <v>Grondgebonden</v>
      </c>
      <c r="W540" t="str">
        <v>Vrijstaande woning</v>
      </c>
      <c r="X540" t="str">
        <v>N.v.t.</v>
      </c>
      <c r="Y540" t="str">
        <v>Onbekend</v>
      </c>
      <c r="Z540" t="str">
        <v>onbekend</v>
      </c>
      <c r="AA540" t="str">
        <v>Na 2020</v>
      </c>
      <c r="AB540" t="str">
        <v>Nee</v>
      </c>
      <c r="AC540" t="str">
        <v>NEE</v>
      </c>
      <c r="AD540" t="str">
        <v>JA</v>
      </c>
    </row>
    <row r="541">
      <c r="A541" t="str">
        <v>44427048</v>
      </c>
      <c r="B541" t="str">
        <v>https://www.funda.nl/detail/koop/julianadorp/huis-2k3sp-bouwnr-532/44427048/</v>
      </c>
      <c r="C541" t="str">
        <v>Willem Alexanderhof: Fase 6</v>
      </c>
      <c r="D541" t="str">
        <v>2K3sp</v>
      </c>
      <c r="E541" t="str">
        <v>532</v>
      </c>
      <c r="F541" t="str">
        <v>1787</v>
      </c>
      <c r="G541" t="str">
        <v>Julianadorp</v>
      </c>
      <c r="H541" t="str">
        <v>Den Helder</v>
      </c>
      <c r="I541" t="str">
        <v>Noord-Holland</v>
      </c>
      <c r="J541" t="str">
        <v>West-Nederland</v>
      </c>
      <c r="K541" t="str">
        <v>Te koop</v>
      </c>
      <c r="L541" t="str">
        <v>Onbekend</v>
      </c>
      <c r="M541" t="str">
        <v>Onbekend</v>
      </c>
      <c r="N541">
        <v>599000</v>
      </c>
      <c r="O541" t="str">
        <v>v.o.n.</v>
      </c>
      <c r="P541">
        <v>161</v>
      </c>
      <c r="Q541">
        <v>3720</v>
      </c>
      <c r="R541">
        <v>338</v>
      </c>
      <c r="S541" t="str">
        <v>A+++</v>
      </c>
      <c r="T541">
        <v>4</v>
      </c>
      <c r="U541">
        <v>3</v>
      </c>
      <c r="V541" t="str">
        <v>Grondgebonden</v>
      </c>
      <c r="W541" t="str">
        <v>2-onder-1-kapwoning</v>
      </c>
      <c r="X541" t="str">
        <v>N.v.t.</v>
      </c>
      <c r="Y541" t="str">
        <v>Onbekend</v>
      </c>
      <c r="Z541" t="str">
        <v>onbekend</v>
      </c>
      <c r="AA541" t="str">
        <v>Na 2020</v>
      </c>
      <c r="AB541" t="str">
        <v>Nee</v>
      </c>
      <c r="AC541" t="str">
        <v>NEE</v>
      </c>
      <c r="AD541" t="str">
        <v>JA</v>
      </c>
    </row>
    <row r="542">
      <c r="A542" t="str">
        <v>44427053</v>
      </c>
      <c r="B542" t="str">
        <v>https://www.funda.nl/detail/koop/julianadorp/huis-vs3sp-bouwnr-525/44427053/</v>
      </c>
      <c r="C542" t="str">
        <v>Willem Alexanderhof: Fase 6</v>
      </c>
      <c r="D542" t="str">
        <v>VS3sp</v>
      </c>
      <c r="E542" t="str">
        <v>525</v>
      </c>
      <c r="F542" t="str">
        <v>1787</v>
      </c>
      <c r="G542" t="str">
        <v>Julianadorp</v>
      </c>
      <c r="H542" t="str">
        <v>Den Helder</v>
      </c>
      <c r="I542" t="str">
        <v>Noord-Holland</v>
      </c>
      <c r="J542" t="str">
        <v>West-Nederland</v>
      </c>
      <c r="K542" t="str">
        <v>V.O.V.</v>
      </c>
      <c r="L542" t="str">
        <v>Onbekend</v>
      </c>
      <c r="M542" t="str">
        <v>Onbekend</v>
      </c>
      <c r="N542">
        <v>689000</v>
      </c>
      <c r="O542" t="str">
        <v>v.o.n.</v>
      </c>
      <c r="P542">
        <v>146</v>
      </c>
      <c r="Q542">
        <v>4719</v>
      </c>
      <c r="R542">
        <v>383</v>
      </c>
      <c r="S542" t="str">
        <v>A+++</v>
      </c>
      <c r="T542">
        <v>5</v>
      </c>
      <c r="U542">
        <v>4</v>
      </c>
      <c r="V542" t="str">
        <v>Grondgebonden</v>
      </c>
      <c r="W542" t="str">
        <v>Vrijstaande woning</v>
      </c>
      <c r="X542" t="str">
        <v>N.v.t.</v>
      </c>
      <c r="Y542" t="str">
        <v>Onbekend</v>
      </c>
      <c r="Z542" t="str">
        <v>onbekend</v>
      </c>
      <c r="AA542" t="str">
        <v>Na 2020</v>
      </c>
      <c r="AB542" t="str">
        <v>Nee</v>
      </c>
      <c r="AC542" t="str">
        <v>NEE</v>
      </c>
      <c r="AD542" t="str">
        <v>JA</v>
      </c>
    </row>
    <row r="543">
      <c r="A543" t="str">
        <v>44427164</v>
      </c>
      <c r="B543" t="str">
        <v>https://www.funda.nl/detail/koop/julianadorp/huis-2k2sp-bouwnr-530/44427164/</v>
      </c>
      <c r="C543" t="str">
        <v>Willem Alexanderhof: Fase 6</v>
      </c>
      <c r="D543" t="str">
        <v>2K2sp</v>
      </c>
      <c r="E543" t="str">
        <v>530</v>
      </c>
      <c r="F543" t="str">
        <v>1787</v>
      </c>
      <c r="G543" t="str">
        <v>Julianadorp</v>
      </c>
      <c r="H543" t="str">
        <v>Den Helder</v>
      </c>
      <c r="I543" t="str">
        <v>Noord-Holland</v>
      </c>
      <c r="J543" t="str">
        <v>West-Nederland</v>
      </c>
      <c r="K543" t="str">
        <v>V.O.V.</v>
      </c>
      <c r="L543" t="str">
        <v>Onbekend</v>
      </c>
      <c r="M543" t="str">
        <v>Onbekend</v>
      </c>
      <c r="N543">
        <v>560000</v>
      </c>
      <c r="O543" t="str">
        <v>v.o.n.</v>
      </c>
      <c r="P543">
        <v>155</v>
      </c>
      <c r="Q543">
        <v>3613</v>
      </c>
      <c r="R543">
        <v>264</v>
      </c>
      <c r="S543" t="str">
        <v>A+++</v>
      </c>
      <c r="T543">
        <v>5</v>
      </c>
      <c r="U543">
        <v>4</v>
      </c>
      <c r="V543" t="str">
        <v>Grondgebonden</v>
      </c>
      <c r="W543" t="str">
        <v>2-onder-1-kapwoning</v>
      </c>
      <c r="X543" t="str">
        <v>N.v.t.</v>
      </c>
      <c r="Y543" t="str">
        <v>Onbekend</v>
      </c>
      <c r="Z543" t="str">
        <v>onbekend</v>
      </c>
      <c r="AA543" t="str">
        <v>Na 2020</v>
      </c>
      <c r="AB543" t="str">
        <v>Nee</v>
      </c>
      <c r="AC543" t="str">
        <v>NEE</v>
      </c>
      <c r="AD543" t="str">
        <v>JA</v>
      </c>
    </row>
    <row r="544">
      <c r="A544" t="str">
        <v>44427163</v>
      </c>
      <c r="B544" t="str">
        <v>https://www.funda.nl/detail/koop/julianadorp/huis-2k2sp-bouwnr-523/44427163/</v>
      </c>
      <c r="C544" t="str">
        <v>Willem Alexanderhof: Fase 6</v>
      </c>
      <c r="D544" t="str">
        <v>2K2sp</v>
      </c>
      <c r="E544" t="str">
        <v>523</v>
      </c>
      <c r="F544" t="str">
        <v>1787</v>
      </c>
      <c r="G544" t="str">
        <v>Julianadorp</v>
      </c>
      <c r="H544" t="str">
        <v>Den Helder</v>
      </c>
      <c r="I544" t="str">
        <v>Noord-Holland</v>
      </c>
      <c r="J544" t="str">
        <v>West-Nederland</v>
      </c>
      <c r="K544" t="str">
        <v>V.O.V.</v>
      </c>
      <c r="L544" t="str">
        <v>Onbekend</v>
      </c>
      <c r="M544" t="str">
        <v>Onbekend</v>
      </c>
      <c r="N544">
        <v>564000</v>
      </c>
      <c r="O544" t="str">
        <v>v.o.n.</v>
      </c>
      <c r="P544">
        <v>155</v>
      </c>
      <c r="Q544">
        <v>3639</v>
      </c>
      <c r="R544">
        <v>280</v>
      </c>
      <c r="S544" t="str">
        <v>A+++</v>
      </c>
      <c r="T544">
        <v>5</v>
      </c>
      <c r="U544">
        <v>4</v>
      </c>
      <c r="V544" t="str">
        <v>Grondgebonden</v>
      </c>
      <c r="W544" t="str">
        <v>2-onder-1-kapwoning</v>
      </c>
      <c r="X544" t="str">
        <v>N.v.t.</v>
      </c>
      <c r="Y544" t="str">
        <v>Onbekend</v>
      </c>
      <c r="Z544" t="str">
        <v>onbekend</v>
      </c>
      <c r="AA544" t="str">
        <v>Na 2020</v>
      </c>
      <c r="AB544" t="str">
        <v>Nee</v>
      </c>
      <c r="AC544" t="str">
        <v>NEE</v>
      </c>
      <c r="AD544" t="str">
        <v>JA</v>
      </c>
    </row>
    <row r="545">
      <c r="A545" t="str">
        <v>44427059</v>
      </c>
      <c r="B545" t="str">
        <v>https://www.funda.nl/detail/koop/julianadorp/huis-2k3sp-bouwnr-527/44427059/</v>
      </c>
      <c r="C545" t="str">
        <v>Willem Alexanderhof: Fase 6</v>
      </c>
      <c r="D545" t="str">
        <v>2K3sp</v>
      </c>
      <c r="E545" t="str">
        <v>527</v>
      </c>
      <c r="F545" t="str">
        <v>1787</v>
      </c>
      <c r="G545" t="str">
        <v>Julianadorp</v>
      </c>
      <c r="H545" t="str">
        <v>Den Helder</v>
      </c>
      <c r="I545" t="str">
        <v>Noord-Holland</v>
      </c>
      <c r="J545" t="str">
        <v>West-Nederland</v>
      </c>
      <c r="K545" t="str">
        <v>Te koop</v>
      </c>
      <c r="L545" t="str">
        <v>Onbekend</v>
      </c>
      <c r="M545" t="str">
        <v>Onbekend</v>
      </c>
      <c r="N545">
        <v>585000</v>
      </c>
      <c r="O545" t="str">
        <v>v.o.n.</v>
      </c>
      <c r="P545">
        <v>161</v>
      </c>
      <c r="Q545">
        <v>3634</v>
      </c>
      <c r="R545">
        <v>254</v>
      </c>
      <c r="S545" t="str">
        <v>A+++</v>
      </c>
      <c r="T545">
        <v>4</v>
      </c>
      <c r="U545">
        <v>3</v>
      </c>
      <c r="V545" t="str">
        <v>Grondgebonden</v>
      </c>
      <c r="W545" t="str">
        <v>2-onder-1-kapwoning</v>
      </c>
      <c r="X545" t="str">
        <v>N.v.t.</v>
      </c>
      <c r="Y545" t="str">
        <v>Onbekend</v>
      </c>
      <c r="Z545" t="str">
        <v>onbekend</v>
      </c>
      <c r="AA545" t="str">
        <v>Na 2020</v>
      </c>
      <c r="AB545" t="str">
        <v>Nee</v>
      </c>
      <c r="AC545" t="str">
        <v>NEE</v>
      </c>
      <c r="AD545" t="str">
        <v>JA</v>
      </c>
    </row>
    <row r="546">
      <c r="A546" t="str">
        <v>44427040</v>
      </c>
      <c r="B546" t="str">
        <v>https://www.funda.nl/detail/koop/julianadorp/huis-2k2-bouwnr-529/44427040/</v>
      </c>
      <c r="C546" t="str">
        <v>Willem Alexanderhof: Fase 6</v>
      </c>
      <c r="D546" t="str">
        <v>2K2</v>
      </c>
      <c r="E546" t="str">
        <v>529</v>
      </c>
      <c r="F546" t="str">
        <v>1787</v>
      </c>
      <c r="G546" t="str">
        <v>Julianadorp</v>
      </c>
      <c r="H546" t="str">
        <v>Den Helder</v>
      </c>
      <c r="I546" t="str">
        <v>Noord-Holland</v>
      </c>
      <c r="J546" t="str">
        <v>West-Nederland</v>
      </c>
      <c r="K546" t="str">
        <v>V.O.V.</v>
      </c>
      <c r="L546" t="str">
        <v>Onbekend</v>
      </c>
      <c r="M546" t="str">
        <v>Onbekend</v>
      </c>
      <c r="N546">
        <v>560000</v>
      </c>
      <c r="O546" t="str">
        <v>v.o.n.</v>
      </c>
      <c r="P546">
        <v>155</v>
      </c>
      <c r="Q546">
        <v>3613</v>
      </c>
      <c r="R546">
        <v>264</v>
      </c>
      <c r="S546" t="str">
        <v>A+++</v>
      </c>
      <c r="T546">
        <v>5</v>
      </c>
      <c r="U546">
        <v>4</v>
      </c>
      <c r="V546" t="str">
        <v>Grondgebonden</v>
      </c>
      <c r="W546" t="str">
        <v>2-onder-1-kapwoning</v>
      </c>
      <c r="X546" t="str">
        <v>N.v.t.</v>
      </c>
      <c r="Y546" t="str">
        <v>Onbekend</v>
      </c>
      <c r="Z546" t="str">
        <v>onbekend</v>
      </c>
      <c r="AA546" t="str">
        <v>Na 2020</v>
      </c>
      <c r="AB546" t="str">
        <v>Nee</v>
      </c>
      <c r="AC546" t="str">
        <v>NEE</v>
      </c>
      <c r="AD546" t="str">
        <v>JA</v>
      </c>
    </row>
    <row r="547">
      <c r="A547" t="str">
        <v>44427057</v>
      </c>
      <c r="B547" t="str">
        <v>https://www.funda.nl/detail/koop/julianadorp/huis-vs2sp-bouwnr-518/44427057/</v>
      </c>
      <c r="C547" t="str">
        <v>Willem Alexanderhof: Fase 6</v>
      </c>
      <c r="D547" t="str">
        <v>VS2sp</v>
      </c>
      <c r="E547" t="str">
        <v>518</v>
      </c>
      <c r="F547" t="str">
        <v>1787</v>
      </c>
      <c r="G547" t="str">
        <v>Julianadorp</v>
      </c>
      <c r="H547" t="str">
        <v>Den Helder</v>
      </c>
      <c r="I547" t="str">
        <v>Noord-Holland</v>
      </c>
      <c r="J547" t="str">
        <v>West-Nederland</v>
      </c>
      <c r="K547" t="str">
        <v>V.O.V.</v>
      </c>
      <c r="L547" t="str">
        <v>Onbekend</v>
      </c>
      <c r="M547" t="str">
        <v>Onbekend</v>
      </c>
      <c r="N547">
        <v>689000</v>
      </c>
      <c r="O547" t="str">
        <v>v.o.n.</v>
      </c>
      <c r="P547">
        <v>183</v>
      </c>
      <c r="Q547">
        <v>3765</v>
      </c>
      <c r="R547">
        <v>568</v>
      </c>
      <c r="S547" t="str">
        <v>A+++</v>
      </c>
      <c r="T547">
        <v>6</v>
      </c>
      <c r="U547">
        <v>5</v>
      </c>
      <c r="V547" t="str">
        <v>Grondgebonden</v>
      </c>
      <c r="W547" t="str">
        <v>Vrijstaande woning</v>
      </c>
      <c r="X547" t="str">
        <v>N.v.t.</v>
      </c>
      <c r="Y547" t="str">
        <v>Onbekend</v>
      </c>
      <c r="Z547" t="str">
        <v>onbekend</v>
      </c>
      <c r="AA547" t="str">
        <v>Na 2020</v>
      </c>
      <c r="AB547" t="str">
        <v>Nee</v>
      </c>
      <c r="AC547" t="str">
        <v>NEE</v>
      </c>
      <c r="AD547" t="str">
        <v>JA</v>
      </c>
    </row>
    <row r="548">
      <c r="A548" t="str">
        <v>44427943</v>
      </c>
      <c r="B548" t="str">
        <v>https://www.funda.nl/detail/koop/veenendaal/appartement-driekamerappartementen-bouwnr-162/44427943/</v>
      </c>
      <c r="C548" t="str">
        <v>De Nijverheid - Sentido</v>
      </c>
      <c r="D548" t="str">
        <v>Driekamerappartementen</v>
      </c>
      <c r="E548" t="str">
        <v>162</v>
      </c>
      <c r="F548" t="str">
        <v>3903 BK</v>
      </c>
      <c r="G548" t="str">
        <v>Veenendaal</v>
      </c>
      <c r="H548" t="str">
        <v>Veenendaal</v>
      </c>
      <c r="I548" t="str">
        <v>Utrecht</v>
      </c>
      <c r="J548" t="str">
        <v>West-Nederland</v>
      </c>
      <c r="K548" t="str">
        <v>Te koop</v>
      </c>
      <c r="L548" t="str">
        <v>Onbekend</v>
      </c>
      <c r="M548" t="str">
        <v>Onbekend</v>
      </c>
      <c r="N548">
        <v>537500</v>
      </c>
      <c r="O548" t="str">
        <v>v.o.n.</v>
      </c>
      <c r="P548">
        <v>93</v>
      </c>
      <c r="Q548">
        <v>5780</v>
      </c>
      <c r="R548" t="str">
        <v>Onbekend</v>
      </c>
      <c r="S548" t="str">
        <v>A+</v>
      </c>
      <c r="T548">
        <v>3</v>
      </c>
      <c r="U548">
        <v>2</v>
      </c>
      <c r="V548" t="str">
        <v>Appartement</v>
      </c>
      <c r="W548" t="str">
        <v>Appartement</v>
      </c>
      <c r="X548" t="str">
        <v>Appartement 75-100 m²</v>
      </c>
      <c r="Y548" t="str">
        <v>Onbekend</v>
      </c>
      <c r="Z548" t="str">
        <v>onbekend</v>
      </c>
      <c r="AA548" t="str">
        <v>2027</v>
      </c>
      <c r="AB548" t="str">
        <v>Nee</v>
      </c>
      <c r="AC548" t="str">
        <v>NEE</v>
      </c>
      <c r="AD548" t="str">
        <v>JA</v>
      </c>
    </row>
    <row r="549">
      <c r="A549" t="str">
        <v>44427947</v>
      </c>
      <c r="B549" t="str">
        <v>https://www.funda.nl/detail/koop/veenendaal/appartement-driekamerappartementen-bouwnr-125/44427947/</v>
      </c>
      <c r="C549" t="str">
        <v>De Nijverheid - Sentido</v>
      </c>
      <c r="D549" t="str">
        <v>Driekamerappartementen</v>
      </c>
      <c r="E549" t="str">
        <v>125</v>
      </c>
      <c r="F549" t="str">
        <v>3903 BK</v>
      </c>
      <c r="G549" t="str">
        <v>Veenendaal</v>
      </c>
      <c r="H549" t="str">
        <v>Veenendaal</v>
      </c>
      <c r="I549" t="str">
        <v>Utrecht</v>
      </c>
      <c r="J549" t="str">
        <v>West-Nederland</v>
      </c>
      <c r="K549" t="str">
        <v>Te koop</v>
      </c>
      <c r="L549" t="str">
        <v>Onbekend</v>
      </c>
      <c r="M549" t="str">
        <v>Onbekend</v>
      </c>
      <c r="N549">
        <v>499500</v>
      </c>
      <c r="O549" t="str">
        <v>v.o.n.</v>
      </c>
      <c r="P549">
        <v>93</v>
      </c>
      <c r="Q549">
        <v>5371</v>
      </c>
      <c r="R549" t="str">
        <v>Onbekend</v>
      </c>
      <c r="S549" t="str">
        <v>A++</v>
      </c>
      <c r="T549">
        <v>3</v>
      </c>
      <c r="U549">
        <v>2</v>
      </c>
      <c r="V549" t="str">
        <v>Appartement</v>
      </c>
      <c r="W549" t="str">
        <v>Appartement</v>
      </c>
      <c r="X549" t="str">
        <v>Appartement 75-100 m²</v>
      </c>
      <c r="Y549" t="str">
        <v>Onbekend</v>
      </c>
      <c r="Z549" t="str">
        <v>onbekend</v>
      </c>
      <c r="AA549" t="str">
        <v>2027</v>
      </c>
      <c r="AB549" t="str">
        <v>Nee</v>
      </c>
      <c r="AC549" t="str">
        <v>NEE</v>
      </c>
      <c r="AD549" t="str">
        <v>JA</v>
      </c>
    </row>
    <row r="550">
      <c r="A550" t="str">
        <v>44427945</v>
      </c>
      <c r="B550" t="str">
        <v>https://www.funda.nl/detail/koop/veenendaal/appartement-driekamerappartementen-bouwnr-96/44427945/</v>
      </c>
      <c r="C550" t="str">
        <v>De Nijverheid - Sentido</v>
      </c>
      <c r="D550" t="str">
        <v>Driekamerappartementen</v>
      </c>
      <c r="E550" t="str">
        <v>96</v>
      </c>
      <c r="F550" t="str">
        <v>3903 BK</v>
      </c>
      <c r="G550" t="str">
        <v>Veenendaal</v>
      </c>
      <c r="H550" t="str">
        <v>Veenendaal</v>
      </c>
      <c r="I550" t="str">
        <v>Utrecht</v>
      </c>
      <c r="J550" t="str">
        <v>West-Nederland</v>
      </c>
      <c r="K550" t="str">
        <v>Te koop</v>
      </c>
      <c r="L550" t="str">
        <v>2026-07-05</v>
      </c>
      <c r="M550">
        <v>8</v>
      </c>
      <c r="N550">
        <v>497500</v>
      </c>
      <c r="O550" t="str">
        <v>v.o.n.</v>
      </c>
      <c r="P550">
        <v>93</v>
      </c>
      <c r="Q550">
        <v>5349</v>
      </c>
      <c r="R550" t="str">
        <v>Onbekend</v>
      </c>
      <c r="S550" t="str">
        <v>A+++</v>
      </c>
      <c r="T550">
        <v>3</v>
      </c>
      <c r="U550">
        <v>2</v>
      </c>
      <c r="V550" t="str">
        <v>Appartement</v>
      </c>
      <c r="W550" t="str">
        <v>Appartement</v>
      </c>
      <c r="X550" t="str">
        <v>Appartement 75-100 m²</v>
      </c>
      <c r="Y550" t="str">
        <v>Onbekend</v>
      </c>
      <c r="Z550" t="str">
        <v>onbekend</v>
      </c>
      <c r="AA550" t="str">
        <v>2027</v>
      </c>
      <c r="AB550" t="str">
        <v>Nee</v>
      </c>
      <c r="AC550" t="str">
        <v>NEE</v>
      </c>
      <c r="AD550" t="str">
        <v>JA</v>
      </c>
    </row>
    <row r="551">
      <c r="A551" t="str">
        <v>44427910</v>
      </c>
      <c r="B551" t="str">
        <v>https://www.funda.nl/detail/koop/veenendaal/appartement-driekamerappartementen-bouwnr-146/44427910/</v>
      </c>
      <c r="C551" t="str">
        <v>De Nijverheid - Sentido</v>
      </c>
      <c r="D551" t="str">
        <v>Driekamerappartementen</v>
      </c>
      <c r="E551" t="str">
        <v>146</v>
      </c>
      <c r="F551" t="str">
        <v>3903 BK</v>
      </c>
      <c r="G551" t="str">
        <v>Veenendaal</v>
      </c>
      <c r="H551" t="str">
        <v>Veenendaal</v>
      </c>
      <c r="I551" t="str">
        <v>Utrecht</v>
      </c>
      <c r="J551" t="str">
        <v>West-Nederland</v>
      </c>
      <c r="K551" t="str">
        <v>Te koop</v>
      </c>
      <c r="L551" t="str">
        <v>Onbekend</v>
      </c>
      <c r="M551" t="str">
        <v>Onbekend</v>
      </c>
      <c r="N551">
        <v>505000</v>
      </c>
      <c r="O551" t="str">
        <v>v.o.n.</v>
      </c>
      <c r="P551">
        <v>93</v>
      </c>
      <c r="Q551">
        <v>5430</v>
      </c>
      <c r="R551" t="str">
        <v>Onbekend</v>
      </c>
      <c r="S551" t="str">
        <v>A++</v>
      </c>
      <c r="T551">
        <v>3</v>
      </c>
      <c r="U551">
        <v>2</v>
      </c>
      <c r="V551" t="str">
        <v>Appartement</v>
      </c>
      <c r="W551" t="str">
        <v>Appartement</v>
      </c>
      <c r="X551" t="str">
        <v>Appartement 75-100 m²</v>
      </c>
      <c r="Y551" t="str">
        <v>Onbekend</v>
      </c>
      <c r="Z551" t="str">
        <v>onbekend</v>
      </c>
      <c r="AA551" t="str">
        <v>2027</v>
      </c>
      <c r="AB551" t="str">
        <v>Nee</v>
      </c>
      <c r="AC551" t="str">
        <v>NEE</v>
      </c>
      <c r="AD551" t="str">
        <v>JA</v>
      </c>
    </row>
    <row r="552">
      <c r="A552" t="str">
        <v>44427941</v>
      </c>
      <c r="B552" t="str">
        <v>https://www.funda.nl/detail/koop/veenendaal/appartement-dekwoningen-bouwnr-119/44427941/</v>
      </c>
      <c r="C552" t="str">
        <v>De Nijverheid - Sentido</v>
      </c>
      <c r="D552" t="str">
        <v>Dekwoningen</v>
      </c>
      <c r="E552" t="str">
        <v>119</v>
      </c>
      <c r="F552" t="str">
        <v>3903 BK</v>
      </c>
      <c r="G552" t="str">
        <v>Veenendaal</v>
      </c>
      <c r="H552" t="str">
        <v>Veenendaal</v>
      </c>
      <c r="I552" t="str">
        <v>Utrecht</v>
      </c>
      <c r="J552" t="str">
        <v>West-Nederland</v>
      </c>
      <c r="K552" t="str">
        <v>Te koop</v>
      </c>
      <c r="L552" t="str">
        <v>Onbekend</v>
      </c>
      <c r="M552" t="str">
        <v>Onbekend</v>
      </c>
      <c r="N552">
        <v>449500</v>
      </c>
      <c r="O552" t="str">
        <v>v.o.n.</v>
      </c>
      <c r="P552">
        <v>109</v>
      </c>
      <c r="Q552">
        <v>4124</v>
      </c>
      <c r="R552" t="str">
        <v>Onbekend</v>
      </c>
      <c r="S552" t="str">
        <v>A++</v>
      </c>
      <c r="T552">
        <v>4</v>
      </c>
      <c r="U552">
        <v>3</v>
      </c>
      <c r="V552" t="str">
        <v>Appartement</v>
      </c>
      <c r="W552" t="str">
        <v>Appartement</v>
      </c>
      <c r="X552" t="str">
        <v>Appartement &gt;100 m²</v>
      </c>
      <c r="Y552" t="str">
        <v>Onbekend</v>
      </c>
      <c r="Z552" t="str">
        <v>onbekend</v>
      </c>
      <c r="AA552" t="str">
        <v>2027</v>
      </c>
      <c r="AB552" t="str">
        <v>Nee</v>
      </c>
      <c r="AC552" t="str">
        <v>NEE</v>
      </c>
      <c r="AD552" t="str">
        <v>JA</v>
      </c>
    </row>
    <row r="553">
      <c r="A553" t="str">
        <v>44427946</v>
      </c>
      <c r="B553" t="str">
        <v>https://www.funda.nl/detail/koop/veenendaal/appartement-driekamerappartementen-bouwnr-111/44427946/</v>
      </c>
      <c r="C553" t="str">
        <v>De Nijverheid - Sentido</v>
      </c>
      <c r="D553" t="str">
        <v>Driekamerappartementen</v>
      </c>
      <c r="E553" t="str">
        <v>111</v>
      </c>
      <c r="F553" t="str">
        <v>3903 BK</v>
      </c>
      <c r="G553" t="str">
        <v>Veenendaal</v>
      </c>
      <c r="H553" t="str">
        <v>Veenendaal</v>
      </c>
      <c r="I553" t="str">
        <v>Utrecht</v>
      </c>
      <c r="J553" t="str">
        <v>West-Nederland</v>
      </c>
      <c r="K553" t="str">
        <v>Te koop</v>
      </c>
      <c r="L553" t="str">
        <v>Onbekend</v>
      </c>
      <c r="M553" t="str">
        <v>Onbekend</v>
      </c>
      <c r="N553">
        <v>515000</v>
      </c>
      <c r="O553" t="str">
        <v>v.o.n.</v>
      </c>
      <c r="P553">
        <v>97</v>
      </c>
      <c r="Q553">
        <v>5309</v>
      </c>
      <c r="R553" t="str">
        <v>Onbekend</v>
      </c>
      <c r="S553" t="str">
        <v>A++</v>
      </c>
      <c r="T553">
        <v>3</v>
      </c>
      <c r="U553">
        <v>2</v>
      </c>
      <c r="V553" t="str">
        <v>Appartement</v>
      </c>
      <c r="W553" t="str">
        <v>Appartement</v>
      </c>
      <c r="X553" t="str">
        <v>Appartement 75-100 m²</v>
      </c>
      <c r="Y553" t="str">
        <v>Onbekend</v>
      </c>
      <c r="Z553" t="str">
        <v>onbekend</v>
      </c>
      <c r="AA553" t="str">
        <v>2027</v>
      </c>
      <c r="AB553" t="str">
        <v>Nee</v>
      </c>
      <c r="AC553" t="str">
        <v>NEE</v>
      </c>
      <c r="AD553" t="str">
        <v>JA</v>
      </c>
    </row>
    <row r="554">
      <c r="A554" t="str">
        <v>44427931</v>
      </c>
      <c r="B554" t="str">
        <v>https://www.funda.nl/detail/koop/veenendaal/appartement-dekwoningen-bouwnr-118/44427931/</v>
      </c>
      <c r="C554" t="str">
        <v>De Nijverheid - Sentido</v>
      </c>
      <c r="D554" t="str">
        <v>Dekwoningen</v>
      </c>
      <c r="E554" t="str">
        <v>118</v>
      </c>
      <c r="F554" t="str">
        <v>3903 BK</v>
      </c>
      <c r="G554" t="str">
        <v>Veenendaal</v>
      </c>
      <c r="H554" t="str">
        <v>Veenendaal</v>
      </c>
      <c r="I554" t="str">
        <v>Utrecht</v>
      </c>
      <c r="J554" t="str">
        <v>West-Nederland</v>
      </c>
      <c r="K554" t="str">
        <v>Te koop</v>
      </c>
      <c r="L554" t="str">
        <v>Onbekend</v>
      </c>
      <c r="M554" t="str">
        <v>Onbekend</v>
      </c>
      <c r="N554">
        <v>449500</v>
      </c>
      <c r="O554" t="str">
        <v>v.o.n.</v>
      </c>
      <c r="P554">
        <v>109</v>
      </c>
      <c r="Q554">
        <v>4124</v>
      </c>
      <c r="R554" t="str">
        <v>Onbekend</v>
      </c>
      <c r="S554" t="str">
        <v>A++</v>
      </c>
      <c r="T554">
        <v>4</v>
      </c>
      <c r="U554">
        <v>3</v>
      </c>
      <c r="V554" t="str">
        <v>Appartement</v>
      </c>
      <c r="W554" t="str">
        <v>Appartement</v>
      </c>
      <c r="X554" t="str">
        <v>Appartement &gt;100 m²</v>
      </c>
      <c r="Y554" t="str">
        <v>Onbekend</v>
      </c>
      <c r="Z554" t="str">
        <v>onbekend</v>
      </c>
      <c r="AA554" t="str">
        <v>2027</v>
      </c>
      <c r="AB554" t="str">
        <v>Nee</v>
      </c>
      <c r="AC554" t="str">
        <v>NEE</v>
      </c>
      <c r="AD554" t="str">
        <v>JA</v>
      </c>
    </row>
    <row r="555">
      <c r="A555" t="str">
        <v>44427939</v>
      </c>
      <c r="B555" t="str">
        <v>https://www.funda.nl/detail/koop/veenendaal/appartement-dekwoningen-bouwnr-120/44427939/</v>
      </c>
      <c r="C555" t="str">
        <v>De Nijverheid - Sentido</v>
      </c>
      <c r="D555" t="str">
        <v>Dekwoningen</v>
      </c>
      <c r="E555" t="str">
        <v>120</v>
      </c>
      <c r="F555" t="str">
        <v>3903 BK</v>
      </c>
      <c r="G555" t="str">
        <v>Veenendaal</v>
      </c>
      <c r="H555" t="str">
        <v>Veenendaal</v>
      </c>
      <c r="I555" t="str">
        <v>Utrecht</v>
      </c>
      <c r="J555" t="str">
        <v>West-Nederland</v>
      </c>
      <c r="K555" t="str">
        <v>Te koop</v>
      </c>
      <c r="L555" t="str">
        <v>Onbekend</v>
      </c>
      <c r="M555" t="str">
        <v>Onbekend</v>
      </c>
      <c r="N555">
        <v>449500</v>
      </c>
      <c r="O555" t="str">
        <v>v.o.n.</v>
      </c>
      <c r="P555">
        <v>109</v>
      </c>
      <c r="Q555">
        <v>4124</v>
      </c>
      <c r="R555" t="str">
        <v>Onbekend</v>
      </c>
      <c r="S555" t="str">
        <v>A++</v>
      </c>
      <c r="T555">
        <v>4</v>
      </c>
      <c r="U555">
        <v>3</v>
      </c>
      <c r="V555" t="str">
        <v>Appartement</v>
      </c>
      <c r="W555" t="str">
        <v>Appartement</v>
      </c>
      <c r="X555" t="str">
        <v>Appartement &gt;100 m²</v>
      </c>
      <c r="Y555" t="str">
        <v>Onbekend</v>
      </c>
      <c r="Z555" t="str">
        <v>onbekend</v>
      </c>
      <c r="AA555" t="str">
        <v>2027</v>
      </c>
      <c r="AB555" t="str">
        <v>Nee</v>
      </c>
      <c r="AC555" t="str">
        <v>NEE</v>
      </c>
      <c r="AD555" t="str">
        <v>JA</v>
      </c>
    </row>
    <row r="556">
      <c r="A556" t="str">
        <v>44427934</v>
      </c>
      <c r="B556" t="str">
        <v>https://www.funda.nl/detail/koop/veenendaal/appartement-driekamerappartementen-bouwnr-161/44427934/</v>
      </c>
      <c r="C556" t="str">
        <v>De Nijverheid - Sentido</v>
      </c>
      <c r="D556" t="str">
        <v>Driekamerappartementen</v>
      </c>
      <c r="E556" t="str">
        <v>161</v>
      </c>
      <c r="F556" t="str">
        <v>3903 BK</v>
      </c>
      <c r="G556" t="str">
        <v>Veenendaal</v>
      </c>
      <c r="H556" t="str">
        <v>Veenendaal</v>
      </c>
      <c r="I556" t="str">
        <v>Utrecht</v>
      </c>
      <c r="J556" t="str">
        <v>West-Nederland</v>
      </c>
      <c r="K556" t="str">
        <v>Te koop</v>
      </c>
      <c r="L556" t="str">
        <v>Onbekend</v>
      </c>
      <c r="M556" t="str">
        <v>Onbekend</v>
      </c>
      <c r="N556">
        <v>525000</v>
      </c>
      <c r="O556" t="str">
        <v>v.o.n.</v>
      </c>
      <c r="P556">
        <v>97</v>
      </c>
      <c r="Q556">
        <v>5412</v>
      </c>
      <c r="R556" t="str">
        <v>Onbekend</v>
      </c>
      <c r="S556" t="str">
        <v>A++</v>
      </c>
      <c r="T556">
        <v>3</v>
      </c>
      <c r="U556">
        <v>2</v>
      </c>
      <c r="V556" t="str">
        <v>Appartement</v>
      </c>
      <c r="W556" t="str">
        <v>Appartement</v>
      </c>
      <c r="X556" t="str">
        <v>Appartement 75-100 m²</v>
      </c>
      <c r="Y556" t="str">
        <v>Onbekend</v>
      </c>
      <c r="Z556" t="str">
        <v>onbekend</v>
      </c>
      <c r="AA556" t="str">
        <v>2027</v>
      </c>
      <c r="AB556" t="str">
        <v>Nee</v>
      </c>
      <c r="AC556" t="str">
        <v>NEE</v>
      </c>
      <c r="AD556" t="str">
        <v>JA</v>
      </c>
    </row>
    <row r="557">
      <c r="A557" t="str">
        <v>44427933</v>
      </c>
      <c r="B557" t="str">
        <v>https://www.funda.nl/detail/koop/veenendaal/appartement-driekamerappartementen-bouwnr-176/44427933/</v>
      </c>
      <c r="C557" t="str">
        <v>De Nijverheid - Sentido</v>
      </c>
      <c r="D557" t="str">
        <v>Driekamerappartementen</v>
      </c>
      <c r="E557" t="str">
        <v>176</v>
      </c>
      <c r="F557" t="str">
        <v>3903 BK</v>
      </c>
      <c r="G557" t="str">
        <v>Veenendaal</v>
      </c>
      <c r="H557" t="str">
        <v>Veenendaal</v>
      </c>
      <c r="I557" t="str">
        <v>Utrecht</v>
      </c>
      <c r="J557" t="str">
        <v>West-Nederland</v>
      </c>
      <c r="K557" t="str">
        <v>Te koop</v>
      </c>
      <c r="L557" t="str">
        <v>Onbekend</v>
      </c>
      <c r="M557" t="str">
        <v>Onbekend</v>
      </c>
      <c r="N557">
        <v>530000</v>
      </c>
      <c r="O557" t="str">
        <v>v.o.n.</v>
      </c>
      <c r="P557">
        <v>97</v>
      </c>
      <c r="Q557">
        <v>5464</v>
      </c>
      <c r="R557" t="str">
        <v>Onbekend</v>
      </c>
      <c r="S557" t="str">
        <v>A++</v>
      </c>
      <c r="T557">
        <v>3</v>
      </c>
      <c r="U557">
        <v>2</v>
      </c>
      <c r="V557" t="str">
        <v>Appartement</v>
      </c>
      <c r="W557" t="str">
        <v>Appartement</v>
      </c>
      <c r="X557" t="str">
        <v>Appartement 75-100 m²</v>
      </c>
      <c r="Y557" t="str">
        <v>Onbekend</v>
      </c>
      <c r="Z557" t="str">
        <v>onbekend</v>
      </c>
      <c r="AA557" t="str">
        <v>2027</v>
      </c>
      <c r="AB557" t="str">
        <v>Nee</v>
      </c>
      <c r="AC557" t="str">
        <v>NEE</v>
      </c>
      <c r="AD557" t="str">
        <v>JA</v>
      </c>
    </row>
    <row r="558">
      <c r="A558" t="str">
        <v>44427920</v>
      </c>
      <c r="B558" t="str">
        <v>https://www.funda.nl/detail/koop/veenendaal/appartement-dekwoningen-bouwnr-116/44427920/</v>
      </c>
      <c r="C558" t="str">
        <v>De Nijverheid - Sentido</v>
      </c>
      <c r="D558" t="str">
        <v>Dekwoningen</v>
      </c>
      <c r="E558" t="str">
        <v>116</v>
      </c>
      <c r="F558" t="str">
        <v>3903 BK</v>
      </c>
      <c r="G558" t="str">
        <v>Veenendaal</v>
      </c>
      <c r="H558" t="str">
        <v>Veenendaal</v>
      </c>
      <c r="I558" t="str">
        <v>Utrecht</v>
      </c>
      <c r="J558" t="str">
        <v>West-Nederland</v>
      </c>
      <c r="K558" t="str">
        <v>Te koop</v>
      </c>
      <c r="L558" t="str">
        <v>Onbekend</v>
      </c>
      <c r="M558" t="str">
        <v>Onbekend</v>
      </c>
      <c r="N558">
        <v>449500</v>
      </c>
      <c r="O558" t="str">
        <v>v.o.n.</v>
      </c>
      <c r="P558">
        <v>109</v>
      </c>
      <c r="Q558">
        <v>4124</v>
      </c>
      <c r="R558" t="str">
        <v>Onbekend</v>
      </c>
      <c r="S558" t="str">
        <v>A++</v>
      </c>
      <c r="T558">
        <v>4</v>
      </c>
      <c r="U558">
        <v>3</v>
      </c>
      <c r="V558" t="str">
        <v>Appartement</v>
      </c>
      <c r="W558" t="str">
        <v>Appartement</v>
      </c>
      <c r="X558" t="str">
        <v>Appartement &gt;100 m²</v>
      </c>
      <c r="Y558" t="str">
        <v>Onbekend</v>
      </c>
      <c r="Z558" t="str">
        <v>onbekend</v>
      </c>
      <c r="AA558" t="str">
        <v>2027</v>
      </c>
      <c r="AB558" t="str">
        <v>Nee</v>
      </c>
      <c r="AC558" t="str">
        <v>NEE</v>
      </c>
      <c r="AD558" t="str">
        <v>JA</v>
      </c>
    </row>
    <row r="559">
      <c r="A559" t="str">
        <v>44427929</v>
      </c>
      <c r="B559" t="str">
        <v>https://www.funda.nl/detail/koop/veenendaal/appartement-dekwoningen-bouwnr-117/44427929/</v>
      </c>
      <c r="C559" t="str">
        <v>De Nijverheid - Sentido</v>
      </c>
      <c r="D559" t="str">
        <v>Dekwoningen</v>
      </c>
      <c r="E559" t="str">
        <v>117</v>
      </c>
      <c r="F559" t="str">
        <v>3903 BK</v>
      </c>
      <c r="G559" t="str">
        <v>Veenendaal</v>
      </c>
      <c r="H559" t="str">
        <v>Veenendaal</v>
      </c>
      <c r="I559" t="str">
        <v>Utrecht</v>
      </c>
      <c r="J559" t="str">
        <v>West-Nederland</v>
      </c>
      <c r="K559" t="str">
        <v>Te koop</v>
      </c>
      <c r="L559" t="str">
        <v>Onbekend</v>
      </c>
      <c r="M559" t="str">
        <v>Onbekend</v>
      </c>
      <c r="N559">
        <v>449500</v>
      </c>
      <c r="O559" t="str">
        <v>v.o.n.</v>
      </c>
      <c r="P559">
        <v>109</v>
      </c>
      <c r="Q559">
        <v>4124</v>
      </c>
      <c r="R559" t="str">
        <v>Onbekend</v>
      </c>
      <c r="S559" t="str">
        <v>A++</v>
      </c>
      <c r="T559">
        <v>4</v>
      </c>
      <c r="U559">
        <v>3</v>
      </c>
      <c r="V559" t="str">
        <v>Appartement</v>
      </c>
      <c r="W559" t="str">
        <v>Appartement</v>
      </c>
      <c r="X559" t="str">
        <v>Appartement &gt;100 m²</v>
      </c>
      <c r="Y559" t="str">
        <v>Onbekend</v>
      </c>
      <c r="Z559" t="str">
        <v>onbekend</v>
      </c>
      <c r="AA559" t="str">
        <v>2027</v>
      </c>
      <c r="AB559" t="str">
        <v>Nee</v>
      </c>
      <c r="AC559" t="str">
        <v>NEE</v>
      </c>
      <c r="AD559" t="str">
        <v>JA</v>
      </c>
    </row>
    <row r="560">
      <c r="A560" t="str">
        <v>44427927</v>
      </c>
      <c r="B560" t="str">
        <v>https://www.funda.nl/detail/koop/veenendaal/appartement-dekwoningen-bouwnr-121/44427927/</v>
      </c>
      <c r="C560" t="str">
        <v>De Nijverheid - Sentido</v>
      </c>
      <c r="D560" t="str">
        <v>Dekwoningen</v>
      </c>
      <c r="E560" t="str">
        <v>121</v>
      </c>
      <c r="F560" t="str">
        <v>3903 BK</v>
      </c>
      <c r="G560" t="str">
        <v>Veenendaal</v>
      </c>
      <c r="H560" t="str">
        <v>Veenendaal</v>
      </c>
      <c r="I560" t="str">
        <v>Utrecht</v>
      </c>
      <c r="J560" t="str">
        <v>West-Nederland</v>
      </c>
      <c r="K560" t="str">
        <v>Te koop</v>
      </c>
      <c r="L560" t="str">
        <v>Onbekend</v>
      </c>
      <c r="M560" t="str">
        <v>Onbekend</v>
      </c>
      <c r="N560">
        <v>449500</v>
      </c>
      <c r="O560" t="str">
        <v>v.o.n.</v>
      </c>
      <c r="P560">
        <v>109</v>
      </c>
      <c r="Q560">
        <v>4124</v>
      </c>
      <c r="R560" t="str">
        <v>Onbekend</v>
      </c>
      <c r="S560" t="str">
        <v>A++</v>
      </c>
      <c r="T560">
        <v>4</v>
      </c>
      <c r="U560">
        <v>3</v>
      </c>
      <c r="V560" t="str">
        <v>Appartement</v>
      </c>
      <c r="W560" t="str">
        <v>Appartement</v>
      </c>
      <c r="X560" t="str">
        <v>Appartement &gt;100 m²</v>
      </c>
      <c r="Y560" t="str">
        <v>Onbekend</v>
      </c>
      <c r="Z560" t="str">
        <v>onbekend</v>
      </c>
      <c r="AA560" t="str">
        <v>2027</v>
      </c>
      <c r="AB560" t="str">
        <v>Nee</v>
      </c>
      <c r="AC560" t="str">
        <v>NEE</v>
      </c>
      <c r="AD560" t="str">
        <v>JA</v>
      </c>
    </row>
    <row r="561">
      <c r="A561" t="str">
        <v>44427924</v>
      </c>
      <c r="B561" t="str">
        <v>https://www.funda.nl/detail/koop/veenendaal/appartement-driekamerappartementen-bouwnr-140/44427924/</v>
      </c>
      <c r="C561" t="str">
        <v>De Nijverheid - Sentido</v>
      </c>
      <c r="D561" t="str">
        <v>Driekamerappartementen</v>
      </c>
      <c r="E561" t="str">
        <v>140</v>
      </c>
      <c r="F561" t="str">
        <v>3903 BK</v>
      </c>
      <c r="G561" t="str">
        <v>Veenendaal</v>
      </c>
      <c r="H561" t="str">
        <v>Veenendaal</v>
      </c>
      <c r="I561" t="str">
        <v>Utrecht</v>
      </c>
      <c r="J561" t="str">
        <v>West-Nederland</v>
      </c>
      <c r="K561" t="str">
        <v>Te koop</v>
      </c>
      <c r="L561" t="str">
        <v>Onbekend</v>
      </c>
      <c r="M561" t="str">
        <v>Onbekend</v>
      </c>
      <c r="N561">
        <v>520000</v>
      </c>
      <c r="O561" t="str">
        <v>v.o.n.</v>
      </c>
      <c r="P561">
        <v>97</v>
      </c>
      <c r="Q561">
        <v>5361</v>
      </c>
      <c r="R561" t="str">
        <v>Onbekend</v>
      </c>
      <c r="S561" t="str">
        <v>A+</v>
      </c>
      <c r="T561">
        <v>3</v>
      </c>
      <c r="U561">
        <v>2</v>
      </c>
      <c r="V561" t="str">
        <v>Appartement</v>
      </c>
      <c r="W561" t="str">
        <v>Appartement</v>
      </c>
      <c r="X561" t="str">
        <v>Appartement 75-100 m²</v>
      </c>
      <c r="Y561" t="str">
        <v>Onbekend</v>
      </c>
      <c r="Z561" t="str">
        <v>onbekend</v>
      </c>
      <c r="AA561" t="str">
        <v>2027</v>
      </c>
      <c r="AB561" t="str">
        <v>Nee</v>
      </c>
      <c r="AC561" t="str">
        <v>NEE</v>
      </c>
      <c r="AD561" t="str">
        <v>JA</v>
      </c>
    </row>
    <row r="562">
      <c r="A562" t="str">
        <v>44427919</v>
      </c>
      <c r="B562" t="str">
        <v>https://www.funda.nl/detail/koop/veenendaal/appartement-dekwoningen-bouwnr-123/44427919/</v>
      </c>
      <c r="C562" t="str">
        <v>De Nijverheid - Sentido</v>
      </c>
      <c r="D562" t="str">
        <v>Dekwoningen</v>
      </c>
      <c r="E562" t="str">
        <v>123</v>
      </c>
      <c r="F562" t="str">
        <v>3903 BK</v>
      </c>
      <c r="G562" t="str">
        <v>Veenendaal</v>
      </c>
      <c r="H562" t="str">
        <v>Veenendaal</v>
      </c>
      <c r="I562" t="str">
        <v>Utrecht</v>
      </c>
      <c r="J562" t="str">
        <v>West-Nederland</v>
      </c>
      <c r="K562" t="str">
        <v>Te koop</v>
      </c>
      <c r="L562" t="str">
        <v>Onbekend</v>
      </c>
      <c r="M562" t="str">
        <v>Onbekend</v>
      </c>
      <c r="N562">
        <v>449500</v>
      </c>
      <c r="O562" t="str">
        <v>v.o.n.</v>
      </c>
      <c r="P562">
        <v>109</v>
      </c>
      <c r="Q562">
        <v>4124</v>
      </c>
      <c r="R562" t="str">
        <v>Onbekend</v>
      </c>
      <c r="S562" t="str">
        <v>A++</v>
      </c>
      <c r="T562">
        <v>4</v>
      </c>
      <c r="U562">
        <v>3</v>
      </c>
      <c r="V562" t="str">
        <v>Appartement</v>
      </c>
      <c r="W562" t="str">
        <v>Appartement</v>
      </c>
      <c r="X562" t="str">
        <v>Appartement &gt;100 m²</v>
      </c>
      <c r="Y562" t="str">
        <v>Onbekend</v>
      </c>
      <c r="Z562" t="str">
        <v>onbekend</v>
      </c>
      <c r="AA562" t="str">
        <v>2027</v>
      </c>
      <c r="AB562" t="str">
        <v>Nee</v>
      </c>
      <c r="AC562" t="str">
        <v>NEE</v>
      </c>
      <c r="AD562" t="str">
        <v>JA</v>
      </c>
    </row>
    <row r="563">
      <c r="A563" t="str">
        <v>44427916</v>
      </c>
      <c r="B563" t="str">
        <v>https://www.funda.nl/detail/koop/veenendaal/appartement-dekwoningen-bouwnr-122/44427916/</v>
      </c>
      <c r="C563" t="str">
        <v>De Nijverheid - Sentido</v>
      </c>
      <c r="D563" t="str">
        <v>Dekwoningen</v>
      </c>
      <c r="E563" t="str">
        <v>122</v>
      </c>
      <c r="F563" t="str">
        <v>3903 BK</v>
      </c>
      <c r="G563" t="str">
        <v>Veenendaal</v>
      </c>
      <c r="H563" t="str">
        <v>Veenendaal</v>
      </c>
      <c r="I563" t="str">
        <v>Utrecht</v>
      </c>
      <c r="J563" t="str">
        <v>West-Nederland</v>
      </c>
      <c r="K563" t="str">
        <v>Te koop</v>
      </c>
      <c r="L563" t="str">
        <v>Onbekend</v>
      </c>
      <c r="M563" t="str">
        <v>Onbekend</v>
      </c>
      <c r="N563">
        <v>449500</v>
      </c>
      <c r="O563" t="str">
        <v>v.o.n.</v>
      </c>
      <c r="P563">
        <v>109</v>
      </c>
      <c r="Q563">
        <v>4124</v>
      </c>
      <c r="R563" t="str">
        <v>Onbekend</v>
      </c>
      <c r="S563" t="str">
        <v>A++</v>
      </c>
      <c r="T563">
        <v>4</v>
      </c>
      <c r="U563">
        <v>3</v>
      </c>
      <c r="V563" t="str">
        <v>Appartement</v>
      </c>
      <c r="W563" t="str">
        <v>Appartement</v>
      </c>
      <c r="X563" t="str">
        <v>Appartement &gt;100 m²</v>
      </c>
      <c r="Y563" t="str">
        <v>Onbekend</v>
      </c>
      <c r="Z563" t="str">
        <v>onbekend</v>
      </c>
      <c r="AA563" t="str">
        <v>2027</v>
      </c>
      <c r="AB563" t="str">
        <v>Nee</v>
      </c>
      <c r="AC563" t="str">
        <v>NEE</v>
      </c>
      <c r="AD563" t="str">
        <v>JA</v>
      </c>
    </row>
    <row r="564">
      <c r="A564" t="str">
        <v>44427907</v>
      </c>
      <c r="B564" t="str">
        <v>https://www.funda.nl/detail/koop/veenendaal/appartement-tweekamerappartementen-bouwnr-145/44427907/</v>
      </c>
      <c r="C564" t="str">
        <v>De Nijverheid - Sentido</v>
      </c>
      <c r="D564" t="str">
        <v>Tweekamerappartementen</v>
      </c>
      <c r="E564" t="str">
        <v>145</v>
      </c>
      <c r="F564" t="str">
        <v>3903 BK</v>
      </c>
      <c r="G564" t="str">
        <v>Veenendaal</v>
      </c>
      <c r="H564" t="str">
        <v>Veenendaal</v>
      </c>
      <c r="I564" t="str">
        <v>Utrecht</v>
      </c>
      <c r="J564" t="str">
        <v>West-Nederland</v>
      </c>
      <c r="K564" t="str">
        <v>Te koop</v>
      </c>
      <c r="L564" t="str">
        <v>Onbekend</v>
      </c>
      <c r="M564" t="str">
        <v>Onbekend</v>
      </c>
      <c r="N564">
        <v>299500</v>
      </c>
      <c r="O564" t="str">
        <v>v.o.n.</v>
      </c>
      <c r="P564">
        <v>46</v>
      </c>
      <c r="Q564">
        <v>6511</v>
      </c>
      <c r="R564" t="str">
        <v>Onbekend</v>
      </c>
      <c r="S564" t="str">
        <v>A++</v>
      </c>
      <c r="T564">
        <v>2</v>
      </c>
      <c r="U564">
        <v>1</v>
      </c>
      <c r="V564" t="str">
        <v>Appartement</v>
      </c>
      <c r="W564" t="str">
        <v>Appartement</v>
      </c>
      <c r="X564" t="str">
        <v>Appartement &lt;50 m²</v>
      </c>
      <c r="Y564" t="str">
        <v>Onbekend</v>
      </c>
      <c r="Z564" t="str">
        <v>onbekend</v>
      </c>
      <c r="AA564" t="str">
        <v>2027</v>
      </c>
      <c r="AB564" t="str">
        <v>Nee</v>
      </c>
      <c r="AC564" t="str">
        <v>NEE</v>
      </c>
      <c r="AD564" t="str">
        <v>JA</v>
      </c>
    </row>
    <row r="565">
      <c r="A565" t="str">
        <v>44427949</v>
      </c>
      <c r="B565" t="str">
        <v>https://www.funda.nl/detail/koop/veenendaal/appartement-tweekamerappartementen-bouwnr-168/44427949/</v>
      </c>
      <c r="C565" t="str">
        <v>De Nijverheid - Sentido</v>
      </c>
      <c r="D565" t="str">
        <v>Tweekamerappartementen</v>
      </c>
      <c r="E565" t="str">
        <v>168</v>
      </c>
      <c r="F565" t="str">
        <v>3903 BK</v>
      </c>
      <c r="G565" t="str">
        <v>Veenendaal</v>
      </c>
      <c r="H565" t="str">
        <v>Veenendaal</v>
      </c>
      <c r="I565" t="str">
        <v>Utrecht</v>
      </c>
      <c r="J565" t="str">
        <v>West-Nederland</v>
      </c>
      <c r="K565" t="str">
        <v>Te koop</v>
      </c>
      <c r="L565" t="str">
        <v>2026-07-05</v>
      </c>
      <c r="M565">
        <v>8</v>
      </c>
      <c r="N565">
        <v>297500</v>
      </c>
      <c r="O565" t="str">
        <v>v.o.n.</v>
      </c>
      <c r="P565">
        <v>46</v>
      </c>
      <c r="Q565">
        <v>6467</v>
      </c>
      <c r="R565" t="str">
        <v>Onbekend</v>
      </c>
      <c r="S565" t="str">
        <v>A++</v>
      </c>
      <c r="T565">
        <v>2</v>
      </c>
      <c r="U565">
        <v>1</v>
      </c>
      <c r="V565" t="str">
        <v>Appartement</v>
      </c>
      <c r="W565" t="str">
        <v>Appartement</v>
      </c>
      <c r="X565" t="str">
        <v>Appartement &lt;50 m²</v>
      </c>
      <c r="Y565" t="str">
        <v>Onbekend</v>
      </c>
      <c r="Z565" t="str">
        <v>onbekend</v>
      </c>
      <c r="AA565" t="str">
        <v>2027</v>
      </c>
      <c r="AB565" t="str">
        <v>Nee</v>
      </c>
      <c r="AC565" t="str">
        <v>NEE</v>
      </c>
      <c r="AD565" t="str">
        <v>JA</v>
      </c>
    </row>
    <row r="566">
      <c r="A566" t="str">
        <v>44427948</v>
      </c>
      <c r="B566" t="str">
        <v>https://www.funda.nl/detail/koop/veenendaal/appartement-tweekamerappartementen-bouwnr-174/44427948/</v>
      </c>
      <c r="C566" t="str">
        <v>De Nijverheid - Sentido</v>
      </c>
      <c r="D566" t="str">
        <v>Tweekamerappartementen</v>
      </c>
      <c r="E566" t="str">
        <v>174</v>
      </c>
      <c r="F566" t="str">
        <v>3903 BK</v>
      </c>
      <c r="G566" t="str">
        <v>Veenendaal</v>
      </c>
      <c r="H566" t="str">
        <v>Veenendaal</v>
      </c>
      <c r="I566" t="str">
        <v>Utrecht</v>
      </c>
      <c r="J566" t="str">
        <v>West-Nederland</v>
      </c>
      <c r="K566" t="str">
        <v>Te koop</v>
      </c>
      <c r="L566" t="str">
        <v>Onbekend</v>
      </c>
      <c r="M566" t="str">
        <v>Onbekend</v>
      </c>
      <c r="N566">
        <v>297500</v>
      </c>
      <c r="O566" t="str">
        <v>v.o.n.</v>
      </c>
      <c r="P566">
        <v>46</v>
      </c>
      <c r="Q566">
        <v>6467</v>
      </c>
      <c r="R566" t="str">
        <v>Onbekend</v>
      </c>
      <c r="S566" t="str">
        <v>A++</v>
      </c>
      <c r="T566">
        <v>2</v>
      </c>
      <c r="U566">
        <v>1</v>
      </c>
      <c r="V566" t="str">
        <v>Appartement</v>
      </c>
      <c r="W566" t="str">
        <v>Appartement</v>
      </c>
      <c r="X566" t="str">
        <v>Appartement &lt;50 m²</v>
      </c>
      <c r="Y566" t="str">
        <v>Onbekend</v>
      </c>
      <c r="Z566" t="str">
        <v>onbekend</v>
      </c>
      <c r="AA566" t="str">
        <v>2027</v>
      </c>
      <c r="AB566" t="str">
        <v>Nee</v>
      </c>
      <c r="AC566" t="str">
        <v>NEE</v>
      </c>
      <c r="AD566" t="str">
        <v>JA</v>
      </c>
    </row>
    <row r="567">
      <c r="A567" t="str">
        <v>44427936</v>
      </c>
      <c r="B567" t="str">
        <v>https://www.funda.nl/detail/koop/veenendaal/appartement-tweekamerappartementen-bouwnr-170/44427936/</v>
      </c>
      <c r="C567" t="str">
        <v>De Nijverheid - Sentido</v>
      </c>
      <c r="D567" t="str">
        <v>Tweekamerappartementen</v>
      </c>
      <c r="E567" t="str">
        <v>170</v>
      </c>
      <c r="F567" t="str">
        <v>3903 BK</v>
      </c>
      <c r="G567" t="str">
        <v>Veenendaal</v>
      </c>
      <c r="H567" t="str">
        <v>Veenendaal</v>
      </c>
      <c r="I567" t="str">
        <v>Utrecht</v>
      </c>
      <c r="J567" t="str">
        <v>West-Nederland</v>
      </c>
      <c r="K567" t="str">
        <v>Te koop</v>
      </c>
      <c r="L567" t="str">
        <v>Onbekend</v>
      </c>
      <c r="M567" t="str">
        <v>Onbekend</v>
      </c>
      <c r="N567">
        <v>297500</v>
      </c>
      <c r="O567" t="str">
        <v>v.o.n.</v>
      </c>
      <c r="P567">
        <v>46</v>
      </c>
      <c r="Q567">
        <v>6467</v>
      </c>
      <c r="R567" t="str">
        <v>Onbekend</v>
      </c>
      <c r="S567" t="str">
        <v>A++</v>
      </c>
      <c r="T567">
        <v>2</v>
      </c>
      <c r="U567">
        <v>1</v>
      </c>
      <c r="V567" t="str">
        <v>Appartement</v>
      </c>
      <c r="W567" t="str">
        <v>Appartement</v>
      </c>
      <c r="X567" t="str">
        <v>Appartement &lt;50 m²</v>
      </c>
      <c r="Y567" t="str">
        <v>Onbekend</v>
      </c>
      <c r="Z567" t="str">
        <v>onbekend</v>
      </c>
      <c r="AA567" t="str">
        <v>2027</v>
      </c>
      <c r="AB567" t="str">
        <v>Nee</v>
      </c>
      <c r="AC567" t="str">
        <v>NEE</v>
      </c>
      <c r="AD567" t="str">
        <v>JA</v>
      </c>
    </row>
    <row r="568">
      <c r="A568" t="str">
        <v>44427935</v>
      </c>
      <c r="B568" t="str">
        <v>https://www.funda.nl/detail/koop/veenendaal/appartement-tweekamerappartementen-bouwnr-163/44427935/</v>
      </c>
      <c r="C568" t="str">
        <v>De Nijverheid - Sentido</v>
      </c>
      <c r="D568" t="str">
        <v>Tweekamerappartementen</v>
      </c>
      <c r="E568" t="str">
        <v>163</v>
      </c>
      <c r="F568" t="str">
        <v>3903 BK</v>
      </c>
      <c r="G568" t="str">
        <v>Veenendaal</v>
      </c>
      <c r="H568" t="str">
        <v>Veenendaal</v>
      </c>
      <c r="I568" t="str">
        <v>Utrecht</v>
      </c>
      <c r="J568" t="str">
        <v>West-Nederland</v>
      </c>
      <c r="K568" t="str">
        <v>Te koop</v>
      </c>
      <c r="L568" t="str">
        <v>Onbekend</v>
      </c>
      <c r="M568" t="str">
        <v>Onbekend</v>
      </c>
      <c r="N568">
        <v>309500</v>
      </c>
      <c r="O568" t="str">
        <v>v.o.n.</v>
      </c>
      <c r="P568">
        <v>46</v>
      </c>
      <c r="Q568">
        <v>6728</v>
      </c>
      <c r="R568" t="str">
        <v>Onbekend</v>
      </c>
      <c r="S568" t="str">
        <v>A+</v>
      </c>
      <c r="T568">
        <v>2</v>
      </c>
      <c r="U568">
        <v>1</v>
      </c>
      <c r="V568" t="str">
        <v>Appartement</v>
      </c>
      <c r="W568" t="str">
        <v>Appartement</v>
      </c>
      <c r="X568" t="str">
        <v>Appartement &lt;50 m²</v>
      </c>
      <c r="Y568" t="str">
        <v>Onbekend</v>
      </c>
      <c r="Z568" t="str">
        <v>onbekend</v>
      </c>
      <c r="AA568" t="str">
        <v>2027</v>
      </c>
      <c r="AB568" t="str">
        <v>Nee</v>
      </c>
      <c r="AC568" t="str">
        <v>NEE</v>
      </c>
      <c r="AD568" t="str">
        <v>JA</v>
      </c>
    </row>
    <row r="569">
      <c r="A569" t="str">
        <v>44427928</v>
      </c>
      <c r="B569" t="str">
        <v>https://www.funda.nl/detail/koop/veenendaal/appartement-tweekamerappartementen-bouwnr-166/44427928/</v>
      </c>
      <c r="C569" t="str">
        <v>De Nijverheid - Sentido</v>
      </c>
      <c r="D569" t="str">
        <v>Tweekamerappartementen</v>
      </c>
      <c r="E569" t="str">
        <v>166</v>
      </c>
      <c r="F569" t="str">
        <v>3903 BK</v>
      </c>
      <c r="G569" t="str">
        <v>Veenendaal</v>
      </c>
      <c r="H569" t="str">
        <v>Veenendaal</v>
      </c>
      <c r="I569" t="str">
        <v>Utrecht</v>
      </c>
      <c r="J569" t="str">
        <v>West-Nederland</v>
      </c>
      <c r="K569" t="str">
        <v>Te koop</v>
      </c>
      <c r="L569" t="str">
        <v>Onbekend</v>
      </c>
      <c r="M569" t="str">
        <v>Onbekend</v>
      </c>
      <c r="N569">
        <v>297500</v>
      </c>
      <c r="O569" t="str">
        <v>v.o.n.</v>
      </c>
      <c r="P569">
        <v>46</v>
      </c>
      <c r="Q569">
        <v>6467</v>
      </c>
      <c r="R569" t="str">
        <v>Onbekend</v>
      </c>
      <c r="S569" t="str">
        <v>A++</v>
      </c>
      <c r="T569">
        <v>2</v>
      </c>
      <c r="U569">
        <v>1</v>
      </c>
      <c r="V569" t="str">
        <v>Appartement</v>
      </c>
      <c r="W569" t="str">
        <v>Appartement</v>
      </c>
      <c r="X569" t="str">
        <v>Appartement &lt;50 m²</v>
      </c>
      <c r="Y569" t="str">
        <v>Onbekend</v>
      </c>
      <c r="Z569" t="str">
        <v>onbekend</v>
      </c>
      <c r="AA569" t="str">
        <v>2027</v>
      </c>
      <c r="AB569" t="str">
        <v>Nee</v>
      </c>
      <c r="AC569" t="str">
        <v>NEE</v>
      </c>
      <c r="AD569" t="str">
        <v>JA</v>
      </c>
    </row>
    <row r="570">
      <c r="A570" t="str">
        <v>44427926</v>
      </c>
      <c r="B570" t="str">
        <v>https://www.funda.nl/detail/koop/veenendaal/appartement-tweekamerappartementen-bouwnr-172/44427926/</v>
      </c>
      <c r="C570" t="str">
        <v>De Nijverheid - Sentido</v>
      </c>
      <c r="D570" t="str">
        <v>Tweekamerappartementen</v>
      </c>
      <c r="E570" t="str">
        <v>172</v>
      </c>
      <c r="F570" t="str">
        <v>3903 BK</v>
      </c>
      <c r="G570" t="str">
        <v>Veenendaal</v>
      </c>
      <c r="H570" t="str">
        <v>Veenendaal</v>
      </c>
      <c r="I570" t="str">
        <v>Utrecht</v>
      </c>
      <c r="J570" t="str">
        <v>West-Nederland</v>
      </c>
      <c r="K570" t="str">
        <v>Te koop</v>
      </c>
      <c r="L570" t="str">
        <v>Onbekend</v>
      </c>
      <c r="M570" t="str">
        <v>Onbekend</v>
      </c>
      <c r="N570">
        <v>297500</v>
      </c>
      <c r="O570" t="str">
        <v>v.o.n.</v>
      </c>
      <c r="P570">
        <v>46</v>
      </c>
      <c r="Q570">
        <v>6467</v>
      </c>
      <c r="R570" t="str">
        <v>Onbekend</v>
      </c>
      <c r="S570" t="str">
        <v>A++</v>
      </c>
      <c r="T570">
        <v>2</v>
      </c>
      <c r="U570">
        <v>1</v>
      </c>
      <c r="V570" t="str">
        <v>Appartement</v>
      </c>
      <c r="W570" t="str">
        <v>Appartement</v>
      </c>
      <c r="X570" t="str">
        <v>Appartement &lt;50 m²</v>
      </c>
      <c r="Y570" t="str">
        <v>Onbekend</v>
      </c>
      <c r="Z570" t="str">
        <v>onbekend</v>
      </c>
      <c r="AA570" t="str">
        <v>2027</v>
      </c>
      <c r="AB570" t="str">
        <v>Nee</v>
      </c>
      <c r="AC570" t="str">
        <v>NEE</v>
      </c>
      <c r="AD570" t="str">
        <v>JA</v>
      </c>
    </row>
    <row r="571">
      <c r="A571" t="str">
        <v>44427917</v>
      </c>
      <c r="B571" t="str">
        <v>https://www.funda.nl/detail/koop/veenendaal/appartement-tweekamerappartementen-bouwnr-164/44427917/</v>
      </c>
      <c r="C571" t="str">
        <v>De Nijverheid - Sentido</v>
      </c>
      <c r="D571" t="str">
        <v>Tweekamerappartementen</v>
      </c>
      <c r="E571" t="str">
        <v>164</v>
      </c>
      <c r="F571" t="str">
        <v>3903 BK</v>
      </c>
      <c r="G571" t="str">
        <v>Veenendaal</v>
      </c>
      <c r="H571" t="str">
        <v>Veenendaal</v>
      </c>
      <c r="I571" t="str">
        <v>Utrecht</v>
      </c>
      <c r="J571" t="str">
        <v>West-Nederland</v>
      </c>
      <c r="K571" t="str">
        <v>Te koop</v>
      </c>
      <c r="L571" t="str">
        <v>Onbekend</v>
      </c>
      <c r="M571" t="str">
        <v>Onbekend</v>
      </c>
      <c r="N571">
        <v>297500</v>
      </c>
      <c r="O571" t="str">
        <v>v.o.n.</v>
      </c>
      <c r="P571">
        <v>47</v>
      </c>
      <c r="Q571">
        <v>6330</v>
      </c>
      <c r="R571" t="str">
        <v>Onbekend</v>
      </c>
      <c r="S571" t="str">
        <v>A++</v>
      </c>
      <c r="T571">
        <v>2</v>
      </c>
      <c r="U571">
        <v>1</v>
      </c>
      <c r="V571" t="str">
        <v>Appartement</v>
      </c>
      <c r="W571" t="str">
        <v>Appartement</v>
      </c>
      <c r="X571" t="str">
        <v>Appartement &lt;50 m²</v>
      </c>
      <c r="Y571" t="str">
        <v>Onbekend</v>
      </c>
      <c r="Z571" t="str">
        <v>onbekend</v>
      </c>
      <c r="AA571" t="str">
        <v>2027</v>
      </c>
      <c r="AB571" t="str">
        <v>Nee</v>
      </c>
      <c r="AC571" t="str">
        <v>NEE</v>
      </c>
      <c r="AD571" t="str">
        <v>JA</v>
      </c>
    </row>
    <row r="572">
      <c r="A572" t="str">
        <v>44427914</v>
      </c>
      <c r="B572" t="str">
        <v>https://www.funda.nl/detail/koop/veenendaal/appartement-tweekamerappartementen-bouwnr-147/44427914/</v>
      </c>
      <c r="C572" t="str">
        <v>De Nijverheid - Sentido</v>
      </c>
      <c r="D572" t="str">
        <v>Tweekamerappartementen</v>
      </c>
      <c r="E572" t="str">
        <v>147</v>
      </c>
      <c r="F572" t="str">
        <v>3903 BK</v>
      </c>
      <c r="G572" t="str">
        <v>Veenendaal</v>
      </c>
      <c r="H572" t="str">
        <v>Veenendaal</v>
      </c>
      <c r="I572" t="str">
        <v>Utrecht</v>
      </c>
      <c r="J572" t="str">
        <v>West-Nederland</v>
      </c>
      <c r="K572" t="str">
        <v>Te koop</v>
      </c>
      <c r="L572" t="str">
        <v>Onbekend</v>
      </c>
      <c r="M572" t="str">
        <v>Onbekend</v>
      </c>
      <c r="N572">
        <v>299500</v>
      </c>
      <c r="O572" t="str">
        <v>v.o.n.</v>
      </c>
      <c r="P572">
        <v>47</v>
      </c>
      <c r="Q572">
        <v>6372</v>
      </c>
      <c r="R572" t="str">
        <v>Onbekend</v>
      </c>
      <c r="S572" t="str">
        <v>A++</v>
      </c>
      <c r="T572">
        <v>2</v>
      </c>
      <c r="U572">
        <v>1</v>
      </c>
      <c r="V572" t="str">
        <v>Appartement</v>
      </c>
      <c r="W572" t="str">
        <v>Appartement</v>
      </c>
      <c r="X572" t="str">
        <v>Appartement &lt;50 m²</v>
      </c>
      <c r="Y572" t="str">
        <v>Onbekend</v>
      </c>
      <c r="Z572" t="str">
        <v>onbekend</v>
      </c>
      <c r="AA572" t="str">
        <v>2027</v>
      </c>
      <c r="AB572" t="str">
        <v>Nee</v>
      </c>
      <c r="AC572" t="str">
        <v>NEE</v>
      </c>
      <c r="AD572" t="str">
        <v>JA</v>
      </c>
    </row>
    <row r="573">
      <c r="A573" t="str">
        <v>44427900</v>
      </c>
      <c r="B573" t="str">
        <v>https://www.funda.nl/detail/koop/veenendaal/appartement-tweekamerappartementen-bouwnr-149/44427900/</v>
      </c>
      <c r="C573" t="str">
        <v>De Nijverheid - Sentido</v>
      </c>
      <c r="D573" t="str">
        <v>Tweekamerappartementen</v>
      </c>
      <c r="E573" t="str">
        <v>149</v>
      </c>
      <c r="F573" t="str">
        <v>3903 BK</v>
      </c>
      <c r="G573" t="str">
        <v>Veenendaal</v>
      </c>
      <c r="H573" t="str">
        <v>Veenendaal</v>
      </c>
      <c r="I573" t="str">
        <v>Utrecht</v>
      </c>
      <c r="J573" t="str">
        <v>West-Nederland</v>
      </c>
      <c r="K573" t="str">
        <v>Te koop</v>
      </c>
      <c r="L573" t="str">
        <v>Onbekend</v>
      </c>
      <c r="M573" t="str">
        <v>Onbekend</v>
      </c>
      <c r="N573">
        <v>295000</v>
      </c>
      <c r="O573" t="str">
        <v>v.o.n.</v>
      </c>
      <c r="P573">
        <v>47</v>
      </c>
      <c r="Q573">
        <v>6277</v>
      </c>
      <c r="R573" t="str">
        <v>Onbekend</v>
      </c>
      <c r="S573" t="str">
        <v>A++</v>
      </c>
      <c r="T573">
        <v>2</v>
      </c>
      <c r="U573">
        <v>1</v>
      </c>
      <c r="V573" t="str">
        <v>Appartement</v>
      </c>
      <c r="W573" t="str">
        <v>Appartement</v>
      </c>
      <c r="X573" t="str">
        <v>Appartement &lt;50 m²</v>
      </c>
      <c r="Y573" t="str">
        <v>Onbekend</v>
      </c>
      <c r="Z573" t="str">
        <v>onbekend</v>
      </c>
      <c r="AA573" t="str">
        <v>2027</v>
      </c>
      <c r="AB573" t="str">
        <v>Nee</v>
      </c>
      <c r="AC573" t="str">
        <v>NEE</v>
      </c>
      <c r="AD573" t="str">
        <v>JA</v>
      </c>
    </row>
    <row r="574">
      <c r="A574" t="str">
        <v>44427909</v>
      </c>
      <c r="B574" t="str">
        <v>https://www.funda.nl/detail/koop/veenendaal/appartement-tweekamerappartementen-bouwnr-150/44427909/</v>
      </c>
      <c r="C574" t="str">
        <v>De Nijverheid - Sentido</v>
      </c>
      <c r="D574" t="str">
        <v>Tweekamerappartementen</v>
      </c>
      <c r="E574" t="str">
        <v>150</v>
      </c>
      <c r="F574" t="str">
        <v>3903 BK</v>
      </c>
      <c r="G574" t="str">
        <v>Veenendaal</v>
      </c>
      <c r="H574" t="str">
        <v>Veenendaal</v>
      </c>
      <c r="I574" t="str">
        <v>Utrecht</v>
      </c>
      <c r="J574" t="str">
        <v>West-Nederland</v>
      </c>
      <c r="K574" t="str">
        <v>Te koop</v>
      </c>
      <c r="L574" t="str">
        <v>Onbekend</v>
      </c>
      <c r="M574" t="str">
        <v>Onbekend</v>
      </c>
      <c r="N574">
        <v>289500</v>
      </c>
      <c r="O574" t="str">
        <v>v.o.n.</v>
      </c>
      <c r="P574">
        <v>47</v>
      </c>
      <c r="Q574">
        <v>6160</v>
      </c>
      <c r="R574" t="str">
        <v>Onbekend</v>
      </c>
      <c r="S574" t="str">
        <v>A++</v>
      </c>
      <c r="T574">
        <v>2</v>
      </c>
      <c r="U574">
        <v>1</v>
      </c>
      <c r="V574" t="str">
        <v>Appartement</v>
      </c>
      <c r="W574" t="str">
        <v>Appartement</v>
      </c>
      <c r="X574" t="str">
        <v>Appartement &lt;50 m²</v>
      </c>
      <c r="Y574" t="str">
        <v>Onbekend</v>
      </c>
      <c r="Z574" t="str">
        <v>onbekend</v>
      </c>
      <c r="AA574" t="str">
        <v>2027</v>
      </c>
      <c r="AB574" t="str">
        <v>Nee</v>
      </c>
      <c r="AC574" t="str">
        <v>NEE</v>
      </c>
      <c r="AD574" t="str">
        <v>JA</v>
      </c>
    </row>
    <row r="575">
      <c r="A575" t="str">
        <v>44427906</v>
      </c>
      <c r="B575" t="str">
        <v>https://www.funda.nl/detail/koop/veenendaal/appartement-tweekamerappartementen-bouwnr-95/44427906/</v>
      </c>
      <c r="C575" t="str">
        <v>De Nijverheid - Sentido</v>
      </c>
      <c r="D575" t="str">
        <v>Tweekamerappartementen</v>
      </c>
      <c r="E575" t="str">
        <v>95</v>
      </c>
      <c r="F575" t="str">
        <v>3903 BK</v>
      </c>
      <c r="G575" t="str">
        <v>Veenendaal</v>
      </c>
      <c r="H575" t="str">
        <v>Veenendaal</v>
      </c>
      <c r="I575" t="str">
        <v>Utrecht</v>
      </c>
      <c r="J575" t="str">
        <v>West-Nederland</v>
      </c>
      <c r="K575" t="str">
        <v>Te koop</v>
      </c>
      <c r="L575" t="str">
        <v>Onbekend</v>
      </c>
      <c r="M575" t="str">
        <v>Onbekend</v>
      </c>
      <c r="N575">
        <v>285000</v>
      </c>
      <c r="O575" t="str">
        <v>v.o.n.</v>
      </c>
      <c r="P575">
        <v>46</v>
      </c>
      <c r="Q575">
        <v>6196</v>
      </c>
      <c r="R575" t="str">
        <v>Onbekend</v>
      </c>
      <c r="S575" t="str">
        <v>A++</v>
      </c>
      <c r="T575">
        <v>2</v>
      </c>
      <c r="U575">
        <v>1</v>
      </c>
      <c r="V575" t="str">
        <v>Appartement</v>
      </c>
      <c r="W575" t="str">
        <v>Appartement</v>
      </c>
      <c r="X575" t="str">
        <v>Appartement &lt;50 m²</v>
      </c>
      <c r="Y575" t="str">
        <v>Onbekend</v>
      </c>
      <c r="Z575" t="str">
        <v>onbekend</v>
      </c>
      <c r="AA575" t="str">
        <v>2027</v>
      </c>
      <c r="AB575" t="str">
        <v>Nee</v>
      </c>
      <c r="AC575" t="str">
        <v>NEE</v>
      </c>
      <c r="AD575" t="str">
        <v>JA</v>
      </c>
    </row>
    <row r="576">
      <c r="A576" t="str">
        <v>44427904</v>
      </c>
      <c r="B576" t="str">
        <v>https://www.funda.nl/detail/koop/veenendaal/appartement-tweekamerappartementen-bouwnr-124/44427904/</v>
      </c>
      <c r="C576" t="str">
        <v>De Nijverheid - Sentido</v>
      </c>
      <c r="D576" t="str">
        <v>Tweekamerappartementen</v>
      </c>
      <c r="E576" t="str">
        <v>124</v>
      </c>
      <c r="F576" t="str">
        <v>3903 BK</v>
      </c>
      <c r="G576" t="str">
        <v>Veenendaal</v>
      </c>
      <c r="H576" t="str">
        <v>Veenendaal</v>
      </c>
      <c r="I576" t="str">
        <v>Utrecht</v>
      </c>
      <c r="J576" t="str">
        <v>West-Nederland</v>
      </c>
      <c r="K576" t="str">
        <v>Te koop</v>
      </c>
      <c r="L576" t="str">
        <v>Onbekend</v>
      </c>
      <c r="M576" t="str">
        <v>Onbekend</v>
      </c>
      <c r="N576">
        <v>285000</v>
      </c>
      <c r="O576" t="str">
        <v>v.o.n.</v>
      </c>
      <c r="P576">
        <v>46</v>
      </c>
      <c r="Q576">
        <v>6196</v>
      </c>
      <c r="R576" t="str">
        <v>Onbekend</v>
      </c>
      <c r="S576" t="str">
        <v>A++</v>
      </c>
      <c r="T576">
        <v>2</v>
      </c>
      <c r="U576">
        <v>1</v>
      </c>
      <c r="V576" t="str">
        <v>Appartement</v>
      </c>
      <c r="W576" t="str">
        <v>Appartement</v>
      </c>
      <c r="X576" t="str">
        <v>Appartement &lt;50 m²</v>
      </c>
      <c r="Y576" t="str">
        <v>Onbekend</v>
      </c>
      <c r="Z576" t="str">
        <v>onbekend</v>
      </c>
      <c r="AA576" t="str">
        <v>2027</v>
      </c>
      <c r="AB576" t="str">
        <v>Nee</v>
      </c>
      <c r="AC576" t="str">
        <v>NEE</v>
      </c>
      <c r="AD576" t="str">
        <v>JA</v>
      </c>
    </row>
    <row r="577">
      <c r="A577" t="str">
        <v>44427940</v>
      </c>
      <c r="B577" t="str">
        <v>https://www.funda.nl/detail/koop/veenendaal/appartement-tweekamerappartementen-bouwnr-175/44427940/</v>
      </c>
      <c r="C577" t="str">
        <v>De Nijverheid - Sentido</v>
      </c>
      <c r="D577" t="str">
        <v>Tweekamerappartementen</v>
      </c>
      <c r="E577" t="str">
        <v>175</v>
      </c>
      <c r="F577" t="str">
        <v>3903 BK</v>
      </c>
      <c r="G577" t="str">
        <v>Veenendaal</v>
      </c>
      <c r="H577" t="str">
        <v>Veenendaal</v>
      </c>
      <c r="I577" t="str">
        <v>Utrecht</v>
      </c>
      <c r="J577" t="str">
        <v>West-Nederland</v>
      </c>
      <c r="K577" t="str">
        <v>Te koop</v>
      </c>
      <c r="L577" t="str">
        <v>Onbekend</v>
      </c>
      <c r="M577" t="str">
        <v>Onbekend</v>
      </c>
      <c r="N577">
        <v>292500</v>
      </c>
      <c r="O577" t="str">
        <v>v.o.n.</v>
      </c>
      <c r="P577">
        <v>46</v>
      </c>
      <c r="Q577">
        <v>6359</v>
      </c>
      <c r="R577" t="str">
        <v>Onbekend</v>
      </c>
      <c r="S577" t="str">
        <v>A++</v>
      </c>
      <c r="T577">
        <v>2</v>
      </c>
      <c r="U577">
        <v>1</v>
      </c>
      <c r="V577" t="str">
        <v>Appartement</v>
      </c>
      <c r="W577" t="str">
        <v>Appartement</v>
      </c>
      <c r="X577" t="str">
        <v>Appartement &lt;50 m²</v>
      </c>
      <c r="Y577" t="str">
        <v>Onbekend</v>
      </c>
      <c r="Z577" t="str">
        <v>onbekend</v>
      </c>
      <c r="AA577" t="str">
        <v>2027</v>
      </c>
      <c r="AB577" t="str">
        <v>Nee</v>
      </c>
      <c r="AC577" t="str">
        <v>NEE</v>
      </c>
      <c r="AD577" t="str">
        <v>JA</v>
      </c>
    </row>
    <row r="578">
      <c r="A578" t="str">
        <v>44427944</v>
      </c>
      <c r="B578" t="str">
        <v>https://www.funda.nl/detail/koop/veenendaal/appartement-tweekamerappartementen-bouwnr-171/44427944/</v>
      </c>
      <c r="C578" t="str">
        <v>De Nijverheid - Sentido</v>
      </c>
      <c r="D578" t="str">
        <v>Tweekamerappartementen</v>
      </c>
      <c r="E578" t="str">
        <v>171</v>
      </c>
      <c r="F578" t="str">
        <v>3903 BK</v>
      </c>
      <c r="G578" t="str">
        <v>Veenendaal</v>
      </c>
      <c r="H578" t="str">
        <v>Veenendaal</v>
      </c>
      <c r="I578" t="str">
        <v>Utrecht</v>
      </c>
      <c r="J578" t="str">
        <v>West-Nederland</v>
      </c>
      <c r="K578" t="str">
        <v>Te koop</v>
      </c>
      <c r="L578" t="str">
        <v>Onbekend</v>
      </c>
      <c r="M578" t="str">
        <v>Onbekend</v>
      </c>
      <c r="N578">
        <v>292500</v>
      </c>
      <c r="O578" t="str">
        <v>v.o.n.</v>
      </c>
      <c r="P578">
        <v>46</v>
      </c>
      <c r="Q578">
        <v>6359</v>
      </c>
      <c r="R578" t="str">
        <v>Onbekend</v>
      </c>
      <c r="S578" t="str">
        <v>A++</v>
      </c>
      <c r="T578">
        <v>2</v>
      </c>
      <c r="U578">
        <v>1</v>
      </c>
      <c r="V578" t="str">
        <v>Appartement</v>
      </c>
      <c r="W578" t="str">
        <v>Appartement</v>
      </c>
      <c r="X578" t="str">
        <v>Appartement &lt;50 m²</v>
      </c>
      <c r="Y578" t="str">
        <v>Onbekend</v>
      </c>
      <c r="Z578" t="str">
        <v>onbekend</v>
      </c>
      <c r="AA578" t="str">
        <v>2027</v>
      </c>
      <c r="AB578" t="str">
        <v>Nee</v>
      </c>
      <c r="AC578" t="str">
        <v>NEE</v>
      </c>
      <c r="AD578" t="str">
        <v>JA</v>
      </c>
    </row>
    <row r="579">
      <c r="A579" t="str">
        <v>44427932</v>
      </c>
      <c r="B579" t="str">
        <v>https://www.funda.nl/detail/koop/veenendaal/appartement-tweekamerappartementen-bouwnr-158/44427932/</v>
      </c>
      <c r="C579" t="str">
        <v>De Nijverheid - Sentido</v>
      </c>
      <c r="D579" t="str">
        <v>Tweekamerappartementen</v>
      </c>
      <c r="E579" t="str">
        <v>158</v>
      </c>
      <c r="F579" t="str">
        <v>3903 BK</v>
      </c>
      <c r="G579" t="str">
        <v>Veenendaal</v>
      </c>
      <c r="H579" t="str">
        <v>Veenendaal</v>
      </c>
      <c r="I579" t="str">
        <v>Utrecht</v>
      </c>
      <c r="J579" t="str">
        <v>West-Nederland</v>
      </c>
      <c r="K579" t="str">
        <v>Te koop</v>
      </c>
      <c r="L579" t="str">
        <v>Onbekend</v>
      </c>
      <c r="M579" t="str">
        <v>Onbekend</v>
      </c>
      <c r="N579">
        <v>289500</v>
      </c>
      <c r="O579" t="str">
        <v>v.o.n.</v>
      </c>
      <c r="P579">
        <v>46</v>
      </c>
      <c r="Q579">
        <v>6293</v>
      </c>
      <c r="R579" t="str">
        <v>Onbekend</v>
      </c>
      <c r="S579" t="str">
        <v>A++</v>
      </c>
      <c r="T579">
        <v>2</v>
      </c>
      <c r="U579">
        <v>1</v>
      </c>
      <c r="V579" t="str">
        <v>Appartement</v>
      </c>
      <c r="W579" t="str">
        <v>Appartement</v>
      </c>
      <c r="X579" t="str">
        <v>Appartement &lt;50 m²</v>
      </c>
      <c r="Y579" t="str">
        <v>Onbekend</v>
      </c>
      <c r="Z579" t="str">
        <v>onbekend</v>
      </c>
      <c r="AA579" t="str">
        <v>2027</v>
      </c>
      <c r="AB579" t="str">
        <v>Nee</v>
      </c>
      <c r="AC579" t="str">
        <v>NEE</v>
      </c>
      <c r="AD579" t="str">
        <v>JA</v>
      </c>
    </row>
  </sheetData>
  <autoFilter ref="A1:AD579"/>
  <ignoredErrors>
    <ignoredError numberStoredAsText="1" sqref="A1:AD5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40.83203125" customWidth="1"/>
    <col min="2" max="2" width="16.83203125" customWidth="1"/>
  </cols>
  <sheetData>
    <row r="1">
      <c r="A1" t="str">
        <v>Samenvatting Nederland - Nieuwbouwwoningen Funda (laatste 10 dagen)</v>
      </c>
    </row>
    <row r="3">
      <c r="A3" t="str">
        <v>Kerncijfers</v>
      </c>
      <c r="B3" t="str">
        <v>Waarde</v>
      </c>
    </row>
    <row r="4">
      <c r="A4" t="str">
        <v>Aantal woningen</v>
      </c>
      <c r="B4">
        <f>COUNTA('Alle woningen'!A2:A579)</f>
        <v>578</v>
      </c>
    </row>
    <row r="5">
      <c r="A5" t="str">
        <v>Gemiddelde VON-prijs (€)</v>
      </c>
      <c r="B5">
        <f>ROUND(AVERAGE('Alle woningen'!N2:N579),0)</f>
        <v>562556</v>
      </c>
    </row>
    <row r="6">
      <c r="A6" t="str">
        <v>Mediaan VON-prijs (€)</v>
      </c>
      <c r="B6">
        <f>ROUND(MEDIAN('Alle woningen'!N2:N579),0)</f>
        <v>505000</v>
      </c>
    </row>
    <row r="7">
      <c r="A7" t="str">
        <v>Gemiddelde VON-prijs per m² (€)</v>
      </c>
      <c r="B7">
        <f>ROUND(AVERAGE('Alle woningen'!Q2:Q579),0)</f>
        <v>5367</v>
      </c>
    </row>
    <row r="8">
      <c r="A8" t="str">
        <v>Gemiddelde GBO (m²)</v>
      </c>
      <c r="B8">
        <f>ROUND(AVERAGE('Alle woningen'!P2:P579),0)</f>
        <v>107</v>
      </c>
    </row>
    <row r="10">
      <c r="A10" t="str">
        <v>Verdeling per status</v>
      </c>
      <c r="B10" t="str">
        <v>Aantal</v>
      </c>
    </row>
    <row r="11">
      <c r="A11" t="str">
        <v>Te koop</v>
      </c>
      <c r="B11">
        <f>COUNTIF('Alle woningen'!K2:K579,"Te koop")</f>
        <v>557</v>
      </c>
    </row>
    <row r="12">
      <c r="A12" t="str">
        <v>Verkocht</v>
      </c>
      <c r="B12">
        <f>COUNTIF('Alle woningen'!K2:K579,"Verkocht")</f>
        <v>0</v>
      </c>
    </row>
    <row r="13">
      <c r="A13" t="str">
        <v>V.O.V.</v>
      </c>
      <c r="B13">
        <f>COUNTIF('Alle woningen'!K2:K579,"V.O.V.")</f>
        <v>21</v>
      </c>
    </row>
    <row r="15">
      <c r="A15" t="str">
        <v>Verdeling per woningtype</v>
      </c>
      <c r="B15" t="str">
        <v>Aantal</v>
      </c>
    </row>
    <row r="16">
      <c r="A16" t="str">
        <v>Vrijstaande woning</v>
      </c>
      <c r="B16">
        <f>COUNTIF('Alle woningen'!W2:W579,"Vrijstaande woning")</f>
        <v>27</v>
      </c>
    </row>
    <row r="17">
      <c r="A17" t="str">
        <v>2-onder-1-kapwoning</v>
      </c>
      <c r="B17">
        <f>COUNTIF('Alle woningen'!W2:W579,"2-onder-1-kapwoning")</f>
        <v>67</v>
      </c>
    </row>
    <row r="18">
      <c r="A18" t="str">
        <v>Hoekwoning</v>
      </c>
      <c r="B18">
        <f>COUNTIF('Alle woningen'!W2:W579,"Hoekwoning")</f>
        <v>58</v>
      </c>
    </row>
    <row r="19">
      <c r="A19" t="str">
        <v>Tussenwoning</v>
      </c>
      <c r="B19">
        <f>COUNTIF('Alle woningen'!W2:W579,"Tussenwoning")</f>
        <v>100</v>
      </c>
    </row>
    <row r="20">
      <c r="A20" t="str">
        <v>Eindwoning</v>
      </c>
      <c r="B20">
        <f>COUNTIF('Alle woningen'!W2:W579,"Eindwoning")</f>
        <v>6</v>
      </c>
    </row>
    <row r="21">
      <c r="A21" t="str">
        <v>Geschakelde woning</v>
      </c>
      <c r="B21">
        <f>COUNTIF('Alle woningen'!W2:W579,"Geschakelde woning")</f>
        <v>5</v>
      </c>
    </row>
    <row r="22">
      <c r="A22" t="str">
        <v>Herenhuis</v>
      </c>
      <c r="B22">
        <f>COUNTIF('Alle woningen'!W2:W579,"Herenhuis")</f>
        <v>0</v>
      </c>
    </row>
    <row r="23">
      <c r="A23" t="str">
        <v>Bungalow</v>
      </c>
      <c r="B23">
        <f>COUNTIF('Alle woningen'!W2:W579,"Bungalow")</f>
        <v>0</v>
      </c>
    </row>
    <row r="24">
      <c r="A24" t="str">
        <v>Eengezinswoning</v>
      </c>
      <c r="B24">
        <f>COUNTIF('Alle woningen'!W2:W579,"Eengezinswoning")</f>
        <v>0</v>
      </c>
    </row>
    <row r="25">
      <c r="A25" t="str">
        <v>Woonhuis</v>
      </c>
      <c r="B25">
        <f>COUNTIF('Alle woningen'!W2:W579,"Woonhuis")</f>
        <v>0</v>
      </c>
    </row>
    <row r="26">
      <c r="A26" t="str">
        <v>Overig grondgebonden</v>
      </c>
      <c r="B26">
        <f>COUNTIF('Alle woningen'!W2:W579,"Overig grondgebonden")</f>
        <v>0</v>
      </c>
    </row>
    <row r="27">
      <c r="A27" t="str">
        <v>Appartement</v>
      </c>
      <c r="B27">
        <f>COUNTIF('Alle woningen'!W2:W579,"Appartement")</f>
        <v>314</v>
      </c>
    </row>
    <row r="29">
      <c r="A29" t="str">
        <v>Verdeling per appartementcategorie</v>
      </c>
      <c r="B29" t="str">
        <v>Aantal</v>
      </c>
    </row>
    <row r="30">
      <c r="A30" t="str">
        <v>Appartement &lt;50 m²</v>
      </c>
      <c r="B30">
        <f>COUNTIF('Alle woningen'!X2:X579,"Appartement &lt;50 m²")</f>
        <v>64</v>
      </c>
    </row>
    <row r="31">
      <c r="A31" t="str">
        <v>Appartement 50-75 m²</v>
      </c>
      <c r="B31">
        <f>COUNTIF('Alle woningen'!X2:X579,"Appartement 50-75 m²")</f>
        <v>64</v>
      </c>
    </row>
    <row r="32">
      <c r="A32" t="str">
        <v>Appartement 75-100 m²</v>
      </c>
      <c r="B32">
        <f>COUNTIF('Alle woningen'!X2:X579,"Appartement 75-100 m²")</f>
        <v>87</v>
      </c>
    </row>
    <row r="33">
      <c r="A33" t="str">
        <v>Appartement &gt;100 m²</v>
      </c>
      <c r="B33">
        <f>COUNTIF('Alle woningen'!X2:X579,"Appartement &gt;100 m²")</f>
        <v>96</v>
      </c>
    </row>
  </sheetData>
  <ignoredErrors>
    <ignoredError numberStoredAsText="1" sqref="A1:B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Provincie</v>
      </c>
      <c r="B1" t="str">
        <v>Aantal woningen</v>
      </c>
      <c r="C1" t="str">
        <v>Aantal te koop</v>
      </c>
      <c r="D1" t="str">
        <v>Aantal verkocht</v>
      </c>
      <c r="E1" t="str">
        <v>Aantal V.O.V.</v>
      </c>
      <c r="F1" t="str">
        <v>Gemiddelde VON-prijs (€)</v>
      </c>
      <c r="G1" t="str">
        <v>Mediaan VON-prijs (€)</v>
      </c>
      <c r="H1" t="str">
        <v>Gemiddelde VON-prijs per m² (€)</v>
      </c>
      <c r="I1" t="str">
        <v>Mediaan VON-prijs per m² (€)</v>
      </c>
      <c r="J1" t="str">
        <v>Gemiddelde GBO (m²)</v>
      </c>
      <c r="K1" t="str">
        <v>Gemiddelde looptijd (dagen)</v>
      </c>
      <c r="L1" t="str">
        <v>Aandeel met parkeerplaats (%)</v>
      </c>
    </row>
    <row r="2">
      <c r="A2" t="str">
        <v>Drenthe</v>
      </c>
      <c r="B2">
        <f>COUNTIF('Alle woningen'!I2:I579,"Drenthe")</f>
        <v>18</v>
      </c>
      <c r="C2">
        <f>COUNTIFS('Alle woningen'!I2:I579,"Drenthe",'Alle woningen'!K2:K579,"Te koop")</f>
        <v>14</v>
      </c>
      <c r="D2">
        <f>COUNTIFS('Alle woningen'!I2:I579,"Drenthe",'Alle woningen'!K2:K579,"Verkocht")</f>
        <v>0</v>
      </c>
      <c r="E2">
        <f>COUNTIFS('Alle woningen'!I2:I579,"Drenthe",'Alle woningen'!K2:K579,"V.O.V.")</f>
        <v>4</v>
      </c>
      <c r="F2">
        <f>ROUND(AVERAGEIF('Alle woningen'!I2:I579,"Drenthe",'Alle woningen'!N2:N579),0)</f>
        <v>674667</v>
      </c>
      <c r="G2">
        <v>672500</v>
      </c>
      <c r="H2">
        <f>ROUND(AVERAGEIF('Alle woningen'!I2:I579,"Drenthe",'Alle woningen'!Q2:Q579),0)</f>
        <v>6038</v>
      </c>
      <c r="I2">
        <v>6124</v>
      </c>
      <c r="J2">
        <f>ROUND(AVERAGEIF('Alle woningen'!I2:I579,"Drenthe",'Alle woningen'!P2:P579),0)</f>
        <v>111</v>
      </c>
      <c r="K2">
        <v>8</v>
      </c>
      <c r="L2">
        <v>100</v>
      </c>
    </row>
    <row r="3">
      <c r="A3" t="str">
        <v>Flevoland</v>
      </c>
      <c r="B3">
        <f>COUNTIF('Alle woningen'!I2:I579,"Flevoland")</f>
        <v>3</v>
      </c>
      <c r="C3">
        <f>COUNTIFS('Alle woningen'!I2:I579,"Flevoland",'Alle woningen'!K2:K579,"Te koop")</f>
        <v>3</v>
      </c>
      <c r="D3">
        <f>COUNTIFS('Alle woningen'!I2:I579,"Flevoland",'Alle woningen'!K2:K579,"Verkocht")</f>
        <v>0</v>
      </c>
      <c r="E3">
        <f>COUNTIFS('Alle woningen'!I2:I579,"Flevoland",'Alle woningen'!K2:K579,"V.O.V.")</f>
        <v>0</v>
      </c>
      <c r="F3">
        <f>ROUND(AVERAGEIF('Alle woningen'!I2:I579,"Flevoland",'Alle woningen'!N2:N579),0)</f>
        <v>743333</v>
      </c>
      <c r="G3">
        <v>725000</v>
      </c>
      <c r="H3">
        <f>ROUND(AVERAGEIF('Alle woningen'!I2:I579,"Flevoland",'Alle woningen'!Q2:Q579),0)</f>
        <v>5332</v>
      </c>
      <c r="I3">
        <v>4677</v>
      </c>
      <c r="J3">
        <f>ROUND(AVERAGEIF('Alle woningen'!I2:I579,"Flevoland",'Alle woningen'!P2:P579),0)</f>
        <v>143</v>
      </c>
      <c r="K3">
        <v>0</v>
      </c>
      <c r="L3">
        <v>100</v>
      </c>
    </row>
    <row r="4">
      <c r="A4" t="str">
        <v>Gelderland</v>
      </c>
      <c r="B4">
        <f>COUNTIF('Alle woningen'!I2:I579,"Gelderland")</f>
        <v>19</v>
      </c>
      <c r="C4">
        <f>COUNTIFS('Alle woningen'!I2:I579,"Gelderland",'Alle woningen'!K2:K579,"Te koop")</f>
        <v>18</v>
      </c>
      <c r="D4">
        <f>COUNTIFS('Alle woningen'!I2:I579,"Gelderland",'Alle woningen'!K2:K579,"Verkocht")</f>
        <v>0</v>
      </c>
      <c r="E4">
        <f>COUNTIFS('Alle woningen'!I2:I579,"Gelderland",'Alle woningen'!K2:K579,"V.O.V.")</f>
        <v>1</v>
      </c>
      <c r="F4">
        <f>ROUND(AVERAGEIF('Alle woningen'!I2:I579,"Gelderland",'Alle woningen'!N2:N579),0)</f>
        <v>503389</v>
      </c>
      <c r="G4">
        <v>427000</v>
      </c>
      <c r="H4">
        <f>ROUND(AVERAGEIF('Alle woningen'!I2:I579,"Gelderland",'Alle woningen'!Q2:Q579),0)</f>
        <v>5093</v>
      </c>
      <c r="I4">
        <v>5318</v>
      </c>
      <c r="J4">
        <f>ROUND(AVERAGEIF('Alle woningen'!I2:I579,"Gelderland",'Alle woningen'!P2:P579),0)</f>
        <v>104</v>
      </c>
      <c r="K4">
        <v>6</v>
      </c>
      <c r="L4">
        <v>89.5</v>
      </c>
    </row>
    <row r="5">
      <c r="A5" t="str">
        <v>Groningen</v>
      </c>
      <c r="B5">
        <f>COUNTIF('Alle woningen'!I2:I579,"Groningen")</f>
        <v>3</v>
      </c>
      <c r="C5">
        <f>COUNTIFS('Alle woningen'!I2:I579,"Groningen",'Alle woningen'!K2:K579,"Te koop")</f>
        <v>3</v>
      </c>
      <c r="D5">
        <f>COUNTIFS('Alle woningen'!I2:I579,"Groningen",'Alle woningen'!K2:K579,"Verkocht")</f>
        <v>0</v>
      </c>
      <c r="E5">
        <f>COUNTIFS('Alle woningen'!I2:I579,"Groningen",'Alle woningen'!K2:K579,"V.O.V.")</f>
        <v>0</v>
      </c>
      <c r="F5">
        <f>ROUND(AVERAGEIF('Alle woningen'!I2:I579,"Groningen",'Alle woningen'!N2:N579),0)</f>
        <v>381667</v>
      </c>
      <c r="G5">
        <v>355000</v>
      </c>
      <c r="H5">
        <f>ROUND(AVERAGEIF('Alle woningen'!I2:I579,"Groningen",'Alle woningen'!Q2:Q579),0)</f>
        <v>3622</v>
      </c>
      <c r="I5">
        <v>3381</v>
      </c>
      <c r="J5">
        <f>ROUND(AVERAGEIF('Alle woningen'!I2:I579,"Groningen",'Alle woningen'!P2:P579),0)</f>
        <v>108</v>
      </c>
      <c r="K5">
        <v>0</v>
      </c>
      <c r="L5">
        <v>100</v>
      </c>
    </row>
    <row r="6">
      <c r="A6" t="str">
        <v>Limburg</v>
      </c>
      <c r="B6">
        <f>COUNTIF('Alle woningen'!I2:I579,"Limburg")</f>
        <v>44</v>
      </c>
      <c r="C6">
        <f>COUNTIFS('Alle woningen'!I2:I579,"Limburg",'Alle woningen'!K2:K579,"Te koop")</f>
        <v>42</v>
      </c>
      <c r="D6">
        <f>COUNTIFS('Alle woningen'!I2:I579,"Limburg",'Alle woningen'!K2:K579,"Verkocht")</f>
        <v>0</v>
      </c>
      <c r="E6">
        <f>COUNTIFS('Alle woningen'!I2:I579,"Limburg",'Alle woningen'!K2:K579,"V.O.V.")</f>
        <v>2</v>
      </c>
      <c r="F6">
        <f>ROUND(AVERAGEIF('Alle woningen'!I2:I579,"Limburg",'Alle woningen'!N2:N579),0)</f>
        <v>514386</v>
      </c>
      <c r="G6">
        <v>419500</v>
      </c>
      <c r="H6">
        <f>ROUND(AVERAGEIF('Alle woningen'!I2:I579,"Limburg",'Alle woningen'!Q2:Q579),0)</f>
        <v>4708</v>
      </c>
      <c r="I6">
        <v>4335</v>
      </c>
      <c r="J6">
        <f>ROUND(AVERAGEIF('Alle woningen'!I2:I579,"Limburg",'Alle woningen'!P2:P579),0)</f>
        <v>107</v>
      </c>
      <c r="K6">
        <v>6</v>
      </c>
      <c r="L6">
        <v>70.5</v>
      </c>
    </row>
    <row r="7">
      <c r="A7" t="str">
        <v>Noord-Brabant</v>
      </c>
      <c r="B7">
        <f>COUNTIF('Alle woningen'!I2:I579,"Noord-Brabant")</f>
        <v>173</v>
      </c>
      <c r="C7">
        <f>COUNTIFS('Alle woningen'!I2:I579,"Noord-Brabant",'Alle woningen'!K2:K579,"Te koop")</f>
        <v>173</v>
      </c>
      <c r="D7">
        <f>COUNTIFS('Alle woningen'!I2:I579,"Noord-Brabant",'Alle woningen'!K2:K579,"Verkocht")</f>
        <v>0</v>
      </c>
      <c r="E7">
        <f>COUNTIFS('Alle woningen'!I2:I579,"Noord-Brabant",'Alle woningen'!K2:K579,"V.O.V.")</f>
        <v>0</v>
      </c>
      <c r="F7">
        <f>ROUND(AVERAGEIF('Alle woningen'!I2:I579,"Noord-Brabant",'Alle woningen'!N2:N579),0)</f>
        <v>569374</v>
      </c>
      <c r="G7">
        <v>503000</v>
      </c>
      <c r="H7">
        <f>ROUND(AVERAGEIF('Alle woningen'!I2:I579,"Noord-Brabant",'Alle woningen'!Q2:Q579),0)</f>
        <v>5503</v>
      </c>
      <c r="I7">
        <v>5227</v>
      </c>
      <c r="J7">
        <f>ROUND(AVERAGEIF('Alle woningen'!I2:I579,"Noord-Brabant",'Alle woningen'!P2:P579),0)</f>
        <v>104</v>
      </c>
      <c r="K7">
        <v>5</v>
      </c>
      <c r="L7">
        <v>98.3</v>
      </c>
    </row>
    <row r="8">
      <c r="A8" t="str">
        <v>Noord-Holland</v>
      </c>
      <c r="B8">
        <f>COUNTIF('Alle woningen'!I2:I579,"Noord-Holland")</f>
        <v>45</v>
      </c>
      <c r="C8">
        <f>COUNTIFS('Alle woningen'!I2:I579,"Noord-Holland",'Alle woningen'!K2:K579,"Te koop")</f>
        <v>31</v>
      </c>
      <c r="D8">
        <f>COUNTIFS('Alle woningen'!I2:I579,"Noord-Holland",'Alle woningen'!K2:K579,"Verkocht")</f>
        <v>0</v>
      </c>
      <c r="E8">
        <f>COUNTIFS('Alle woningen'!I2:I579,"Noord-Holland",'Alle woningen'!K2:K579,"V.O.V.")</f>
        <v>14</v>
      </c>
      <c r="F8">
        <f>ROUND(AVERAGEIF('Alle woningen'!I2:I579,"Noord-Holland",'Alle woningen'!N2:N579),0)</f>
        <v>798339</v>
      </c>
      <c r="G8">
        <v>599000</v>
      </c>
      <c r="H8">
        <f>ROUND(AVERAGEIF('Alle woningen'!I2:I579,"Noord-Holland",'Alle woningen'!Q2:Q579),0)</f>
        <v>7588</v>
      </c>
      <c r="I8">
        <v>6395</v>
      </c>
      <c r="J8">
        <f>ROUND(AVERAGEIF('Alle woningen'!I2:I579,"Noord-Holland",'Alle woningen'!P2:P579),0)</f>
        <v>116</v>
      </c>
      <c r="K8">
        <v>6</v>
      </c>
      <c r="L8">
        <v>53.3</v>
      </c>
    </row>
    <row r="9">
      <c r="A9" t="str">
        <v>Onbekend</v>
      </c>
      <c r="B9">
        <f>COUNTIF('Alle woningen'!I2:I579,"Onbekend")</f>
        <v>1</v>
      </c>
      <c r="C9">
        <f>COUNTIFS('Alle woningen'!I2:I579,"Onbekend",'Alle woningen'!K2:K579,"Te koop")</f>
        <v>1</v>
      </c>
      <c r="D9">
        <f>COUNTIFS('Alle woningen'!I2:I579,"Onbekend",'Alle woningen'!K2:K579,"Verkocht")</f>
        <v>0</v>
      </c>
      <c r="E9">
        <f>COUNTIFS('Alle woningen'!I2:I579,"Onbekend",'Alle woningen'!K2:K579,"V.O.V.")</f>
        <v>0</v>
      </c>
      <c r="F9">
        <f>ROUND(AVERAGEIF('Alle woningen'!I2:I579,"Onbekend",'Alle woningen'!N2:N579),0)</f>
        <v>718000</v>
      </c>
      <c r="G9">
        <v>718000</v>
      </c>
      <c r="H9">
        <f>ROUND(AVERAGEIF('Alle woningen'!I2:I579,"Onbekend",'Alle woningen'!Q2:Q579),0)</f>
        <v>4952</v>
      </c>
      <c r="I9">
        <v>4952</v>
      </c>
      <c r="J9">
        <f>ROUND(AVERAGEIF('Alle woningen'!I2:I579,"Onbekend",'Alle woningen'!P2:P579),0)</f>
        <v>145</v>
      </c>
      <c r="K9">
        <v>2</v>
      </c>
      <c r="L9">
        <v>0</v>
      </c>
    </row>
    <row r="10">
      <c r="A10" t="str">
        <v>Overijssel</v>
      </c>
      <c r="B10">
        <f>COUNTIF('Alle woningen'!I2:I579,"Overijssel")</f>
        <v>86</v>
      </c>
      <c r="C10">
        <f>COUNTIFS('Alle woningen'!I2:I579,"Overijssel",'Alle woningen'!K2:K579,"Te koop")</f>
        <v>86</v>
      </c>
      <c r="D10">
        <f>COUNTIFS('Alle woningen'!I2:I579,"Overijssel",'Alle woningen'!K2:K579,"Verkocht")</f>
        <v>0</v>
      </c>
      <c r="E10">
        <f>COUNTIFS('Alle woningen'!I2:I579,"Overijssel",'Alle woningen'!K2:K579,"V.O.V.")</f>
        <v>0</v>
      </c>
      <c r="F10">
        <f>ROUND(AVERAGEIF('Alle woningen'!I2:I579,"Overijssel",'Alle woningen'!N2:N579),0)</f>
        <v>444032</v>
      </c>
      <c r="G10">
        <v>405000</v>
      </c>
      <c r="H10">
        <f>ROUND(AVERAGEIF('Alle woningen'!I2:I579,"Overijssel",'Alle woningen'!Q2:Q579),0)</f>
        <v>4639</v>
      </c>
      <c r="I10">
        <v>4685</v>
      </c>
      <c r="J10">
        <f>ROUND(AVERAGEIF('Alle woningen'!I2:I579,"Overijssel",'Alle woningen'!P2:P579),0)</f>
        <v>97</v>
      </c>
      <c r="K10">
        <v>7</v>
      </c>
      <c r="L10">
        <v>96.5</v>
      </c>
    </row>
    <row r="11">
      <c r="A11" t="str">
        <v>Utrecht</v>
      </c>
      <c r="B11">
        <f>COUNTIF('Alle woningen'!I2:I579,"Utrecht")</f>
        <v>81</v>
      </c>
      <c r="C11">
        <f>COUNTIFS('Alle woningen'!I2:I579,"Utrecht",'Alle woningen'!K2:K579,"Te koop")</f>
        <v>81</v>
      </c>
      <c r="D11">
        <f>COUNTIFS('Alle woningen'!I2:I579,"Utrecht",'Alle woningen'!K2:K579,"Verkocht")</f>
        <v>0</v>
      </c>
      <c r="E11">
        <f>COUNTIFS('Alle woningen'!I2:I579,"Utrecht",'Alle woningen'!K2:K579,"V.O.V.")</f>
        <v>0</v>
      </c>
      <c r="F11">
        <f>ROUND(AVERAGEIF('Alle woningen'!I2:I579,"Utrecht",'Alle woningen'!N2:N579),0)</f>
        <v>468840</v>
      </c>
      <c r="G11">
        <v>397000</v>
      </c>
      <c r="H11">
        <f>ROUND(AVERAGEIF('Alle woningen'!I2:I579,"Utrecht",'Alle woningen'!Q2:Q579),0)</f>
        <v>5516</v>
      </c>
      <c r="I11">
        <v>5412</v>
      </c>
      <c r="J11">
        <f>ROUND(AVERAGEIF('Alle woningen'!I2:I579,"Utrecht",'Alle woningen'!P2:P579),0)</f>
        <v>88</v>
      </c>
      <c r="K11">
        <v>7</v>
      </c>
      <c r="L11">
        <v>60.5</v>
      </c>
    </row>
    <row r="12">
      <c r="A12" t="str">
        <v>Zeeland</v>
      </c>
      <c r="B12">
        <f>COUNTIF('Alle woningen'!I2:I579,"Zeeland")</f>
        <v>7</v>
      </c>
      <c r="C12">
        <f>COUNTIFS('Alle woningen'!I2:I579,"Zeeland",'Alle woningen'!K2:K579,"Te koop")</f>
        <v>7</v>
      </c>
      <c r="D12">
        <f>COUNTIFS('Alle woningen'!I2:I579,"Zeeland",'Alle woningen'!K2:K579,"Verkocht")</f>
        <v>0</v>
      </c>
      <c r="E12">
        <f>COUNTIFS('Alle woningen'!I2:I579,"Zeeland",'Alle woningen'!K2:K579,"V.O.V.")</f>
        <v>0</v>
      </c>
      <c r="F12">
        <f>ROUND(AVERAGEIF('Alle woningen'!I2:I579,"Zeeland",'Alle woningen'!N2:N579),0)</f>
        <v>454914</v>
      </c>
      <c r="G12">
        <v>449900</v>
      </c>
      <c r="H12">
        <f>ROUND(AVERAGEIF('Alle woningen'!I2:I579,"Zeeland",'Alle woningen'!Q2:Q579),0)</f>
        <v>4229</v>
      </c>
      <c r="I12">
        <v>4099</v>
      </c>
      <c r="J12">
        <f>ROUND(AVERAGEIF('Alle woningen'!I2:I579,"Zeeland",'Alle woningen'!P2:P579),0)</f>
        <v>109</v>
      </c>
      <c r="K12">
        <v>0</v>
      </c>
      <c r="L12">
        <v>100</v>
      </c>
    </row>
    <row r="13">
      <c r="A13" t="str">
        <v>Zuid-Holland</v>
      </c>
      <c r="B13">
        <f>COUNTIF('Alle woningen'!I2:I579,"Zuid-Holland")</f>
        <v>98</v>
      </c>
      <c r="C13">
        <f>COUNTIFS('Alle woningen'!I2:I579,"Zuid-Holland",'Alle woningen'!K2:K579,"Te koop")</f>
        <v>98</v>
      </c>
      <c r="D13">
        <f>COUNTIFS('Alle woningen'!I2:I579,"Zuid-Holland",'Alle woningen'!K2:K579,"Verkocht")</f>
        <v>0</v>
      </c>
      <c r="E13">
        <f>COUNTIFS('Alle woningen'!I2:I579,"Zuid-Holland",'Alle woningen'!K2:K579,"V.O.V.")</f>
        <v>0</v>
      </c>
      <c r="F13">
        <f>ROUND(AVERAGEIF('Alle woningen'!I2:I579,"Zuid-Holland",'Alle woningen'!N2:N579),0)</f>
        <v>642337</v>
      </c>
      <c r="G13">
        <v>602250</v>
      </c>
      <c r="H13">
        <f>ROUND(AVERAGEIF('Alle woningen'!I2:I579,"Zuid-Holland",'Alle woningen'!Q2:Q579),0)</f>
        <v>4987</v>
      </c>
      <c r="I13">
        <v>4709</v>
      </c>
      <c r="J13">
        <f>ROUND(AVERAGEIF('Alle woningen'!I2:I579,"Zuid-Holland",'Alle woningen'!P2:P579),0)</f>
        <v>132</v>
      </c>
      <c r="K13">
        <v>6</v>
      </c>
      <c r="L13">
        <v>91.8</v>
      </c>
    </row>
  </sheetData>
  <autoFilter ref="A1:L13"/>
  <ignoredErrors>
    <ignoredError numberStoredAsText="1" sqref="A1:L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Regio</v>
      </c>
      <c r="B1" t="str">
        <v>Aantal woningen</v>
      </c>
      <c r="C1" t="str">
        <v>Aantal te koop</v>
      </c>
      <c r="D1" t="str">
        <v>Aantal verkocht</v>
      </c>
      <c r="E1" t="str">
        <v>Aantal V.O.V.</v>
      </c>
      <c r="F1" t="str">
        <v>Gemiddelde VON-prijs (€)</v>
      </c>
      <c r="G1" t="str">
        <v>Mediaan VON-prijs (€)</v>
      </c>
      <c r="H1" t="str">
        <v>Gemiddelde VON-prijs per m² (€)</v>
      </c>
      <c r="I1" t="str">
        <v>Mediaan VON-prijs per m² (€)</v>
      </c>
      <c r="J1" t="str">
        <v>Gemiddelde GBO (m²)</v>
      </c>
      <c r="K1" t="str">
        <v>Gemiddelde looptijd (dagen)</v>
      </c>
      <c r="L1" t="str">
        <v>Aandeel met parkeerplaats (%)</v>
      </c>
    </row>
    <row r="2">
      <c r="A2" t="str">
        <v>Noord-Nederland</v>
      </c>
      <c r="B2">
        <f>COUNTIF('Alle woningen'!J2:J579,"Noord-Nederland")</f>
        <v>21</v>
      </c>
      <c r="C2">
        <f>COUNTIFS('Alle woningen'!J2:J579,"Noord-Nederland",'Alle woningen'!K2:K579,"Te koop")</f>
        <v>17</v>
      </c>
      <c r="D2">
        <f>COUNTIFS('Alle woningen'!J2:J579,"Noord-Nederland",'Alle woningen'!K2:K579,"Verkocht")</f>
        <v>0</v>
      </c>
      <c r="E2">
        <f>COUNTIFS('Alle woningen'!J2:J579,"Noord-Nederland",'Alle woningen'!K2:K579,"V.O.V.")</f>
        <v>4</v>
      </c>
      <c r="F2">
        <f>ROUND(AVERAGEIF('Alle woningen'!J2:J579,"Noord-Nederland",'Alle woningen'!N2:N579),0)</f>
        <v>632810</v>
      </c>
      <c r="G2">
        <v>660000</v>
      </c>
      <c r="H2">
        <f>ROUND(AVERAGEIF('Alle woningen'!J2:J579,"Noord-Nederland",'Alle woningen'!Q2:Q579),0)</f>
        <v>5693</v>
      </c>
      <c r="I2">
        <v>6027</v>
      </c>
      <c r="J2">
        <f>ROUND(AVERAGEIF('Alle woningen'!J2:J579,"Noord-Nederland",'Alle woningen'!P2:P579),0)</f>
        <v>111</v>
      </c>
      <c r="K2">
        <v>8</v>
      </c>
      <c r="L2">
        <v>100</v>
      </c>
    </row>
    <row r="3">
      <c r="A3" t="str">
        <v>Onbekend</v>
      </c>
      <c r="B3">
        <f>COUNTIF('Alle woningen'!J2:J579,"Onbekend")</f>
        <v>1</v>
      </c>
      <c r="C3">
        <f>COUNTIFS('Alle woningen'!J2:J579,"Onbekend",'Alle woningen'!K2:K579,"Te koop")</f>
        <v>1</v>
      </c>
      <c r="D3">
        <f>COUNTIFS('Alle woningen'!J2:J579,"Onbekend",'Alle woningen'!K2:K579,"Verkocht")</f>
        <v>0</v>
      </c>
      <c r="E3">
        <f>COUNTIFS('Alle woningen'!J2:J579,"Onbekend",'Alle woningen'!K2:K579,"V.O.V.")</f>
        <v>0</v>
      </c>
      <c r="F3">
        <f>ROUND(AVERAGEIF('Alle woningen'!J2:J579,"Onbekend",'Alle woningen'!N2:N579),0)</f>
        <v>718000</v>
      </c>
      <c r="G3">
        <v>718000</v>
      </c>
      <c r="H3">
        <f>ROUND(AVERAGEIF('Alle woningen'!J2:J579,"Onbekend",'Alle woningen'!Q2:Q579),0)</f>
        <v>4952</v>
      </c>
      <c r="I3">
        <v>4952</v>
      </c>
      <c r="J3">
        <f>ROUND(AVERAGEIF('Alle woningen'!J2:J579,"Onbekend",'Alle woningen'!P2:P579),0)</f>
        <v>145</v>
      </c>
      <c r="K3">
        <v>2</v>
      </c>
      <c r="L3">
        <v>0</v>
      </c>
    </row>
    <row r="4">
      <c r="A4" t="str">
        <v>Oost-Nederland</v>
      </c>
      <c r="B4">
        <f>COUNTIF('Alle woningen'!J2:J579,"Oost-Nederland")</f>
        <v>108</v>
      </c>
      <c r="C4">
        <f>COUNTIFS('Alle woningen'!J2:J579,"Oost-Nederland",'Alle woningen'!K2:K579,"Te koop")</f>
        <v>107</v>
      </c>
      <c r="D4">
        <f>COUNTIFS('Alle woningen'!J2:J579,"Oost-Nederland",'Alle woningen'!K2:K579,"Verkocht")</f>
        <v>0</v>
      </c>
      <c r="E4">
        <f>COUNTIFS('Alle woningen'!J2:J579,"Oost-Nederland",'Alle woningen'!K2:K579,"V.O.V.")</f>
        <v>1</v>
      </c>
      <c r="F4">
        <f>ROUND(AVERAGEIF('Alle woningen'!J2:J579,"Oost-Nederland",'Alle woningen'!N2:N579),0)</f>
        <v>462788</v>
      </c>
      <c r="G4">
        <v>427000</v>
      </c>
      <c r="H4">
        <f>ROUND(AVERAGEIF('Alle woningen'!J2:J579,"Oost-Nederland",'Alle woningen'!Q2:Q579),0)</f>
        <v>4738</v>
      </c>
      <c r="I4">
        <v>4744</v>
      </c>
      <c r="J4">
        <f>ROUND(AVERAGEIF('Alle woningen'!J2:J579,"Oost-Nederland",'Alle woningen'!P2:P579),0)</f>
        <v>99</v>
      </c>
      <c r="K4">
        <v>7</v>
      </c>
      <c r="L4">
        <v>95.4</v>
      </c>
    </row>
    <row r="5">
      <c r="A5" t="str">
        <v>West-Nederland</v>
      </c>
      <c r="B5">
        <f>COUNTIF('Alle woningen'!J2:J579,"West-Nederland")</f>
        <v>231</v>
      </c>
      <c r="C5">
        <f>COUNTIFS('Alle woningen'!J2:J579,"West-Nederland",'Alle woningen'!K2:K579,"Te koop")</f>
        <v>217</v>
      </c>
      <c r="D5">
        <f>COUNTIFS('Alle woningen'!J2:J579,"West-Nederland",'Alle woningen'!K2:K579,"Verkocht")</f>
        <v>0</v>
      </c>
      <c r="E5">
        <f>COUNTIFS('Alle woningen'!J2:J579,"West-Nederland",'Alle woningen'!K2:K579,"V.O.V.")</f>
        <v>14</v>
      </c>
      <c r="F5">
        <f>ROUND(AVERAGEIF('Alle woningen'!J2:J579,"West-Nederland",'Alle woningen'!N2:N579),0)</f>
        <v>606211</v>
      </c>
      <c r="G5">
        <v>584000</v>
      </c>
      <c r="H5">
        <f>ROUND(AVERAGEIF('Alle woningen'!J2:J579,"West-Nederland",'Alle woningen'!Q2:Q579),0)</f>
        <v>5656</v>
      </c>
      <c r="I5">
        <v>5225</v>
      </c>
      <c r="J5">
        <f>ROUND(AVERAGEIF('Alle woningen'!J2:J579,"West-Nederland",'Alle woningen'!P2:P579),0)</f>
        <v>113</v>
      </c>
      <c r="K5">
        <v>6</v>
      </c>
      <c r="L5">
        <v>73.6</v>
      </c>
    </row>
    <row r="6">
      <c r="A6" t="str">
        <v>Zuid-Nederland</v>
      </c>
      <c r="B6">
        <f>COUNTIF('Alle woningen'!J2:J579,"Zuid-Nederland")</f>
        <v>217</v>
      </c>
      <c r="C6">
        <f>COUNTIFS('Alle woningen'!J2:J579,"Zuid-Nederland",'Alle woningen'!K2:K579,"Te koop")</f>
        <v>215</v>
      </c>
      <c r="D6">
        <f>COUNTIFS('Alle woningen'!J2:J579,"Zuid-Nederland",'Alle woningen'!K2:K579,"Verkocht")</f>
        <v>0</v>
      </c>
      <c r="E6">
        <f>COUNTIFS('Alle woningen'!J2:J579,"Zuid-Nederland",'Alle woningen'!K2:K579,"V.O.V.")</f>
        <v>2</v>
      </c>
      <c r="F6">
        <f>ROUND(AVERAGEIF('Alle woningen'!J2:J579,"Zuid-Nederland",'Alle woningen'!N2:N579),0)</f>
        <v>558224</v>
      </c>
      <c r="G6">
        <v>492500</v>
      </c>
      <c r="H6">
        <f>ROUND(AVERAGEIF('Alle woningen'!J2:J579,"Zuid-Nederland",'Alle woningen'!Q2:Q579),0)</f>
        <v>5342</v>
      </c>
      <c r="I6">
        <v>5136</v>
      </c>
      <c r="J6">
        <f>ROUND(AVERAGEIF('Alle woningen'!J2:J579,"Zuid-Nederland",'Alle woningen'!P2:P579),0)</f>
        <v>105</v>
      </c>
      <c r="K6">
        <v>5</v>
      </c>
      <c r="L6">
        <v>92.6</v>
      </c>
    </row>
  </sheetData>
  <autoFilter ref="A1:L6"/>
  <ignoredErrors>
    <ignoredError numberStoredAsText="1" sqref="A1:L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64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Gemeente</v>
      </c>
      <c r="B1" t="str">
        <v>Aantal woningen</v>
      </c>
      <c r="C1" t="str">
        <v>Aantal te koop</v>
      </c>
      <c r="D1" t="str">
        <v>Aantal verkocht</v>
      </c>
      <c r="E1" t="str">
        <v>Aantal V.O.V.</v>
      </c>
      <c r="F1" t="str">
        <v>Gemiddelde VON-prijs (€)</v>
      </c>
      <c r="G1" t="str">
        <v>Mediaan VON-prijs (€)</v>
      </c>
      <c r="H1" t="str">
        <v>Gemiddelde VON-prijs per m² (€)</v>
      </c>
      <c r="I1" t="str">
        <v>Mediaan VON-prijs per m² (€)</v>
      </c>
      <c r="J1" t="str">
        <v>Gemiddelde GBO (m²)</v>
      </c>
      <c r="K1" t="str">
        <v>Gemiddelde looptijd (dagen)</v>
      </c>
      <c r="L1" t="str">
        <v>Aandeel met parkeerplaats (%)</v>
      </c>
    </row>
    <row r="2">
      <c r="A2" t="str">
        <v>'s-Gravenhage</v>
      </c>
      <c r="B2">
        <f>COUNTIF('Alle woningen'!H2:H579,"'s-Gravenhage")</f>
        <v>2</v>
      </c>
      <c r="C2">
        <f>COUNTIFS('Alle woningen'!H2:H579,"'s-Gravenhage",'Alle woningen'!K2:K579,"Te koop")</f>
        <v>2</v>
      </c>
      <c r="D2">
        <f>COUNTIFS('Alle woningen'!H2:H579,"'s-Gravenhage",'Alle woningen'!K2:K579,"Verkocht")</f>
        <v>0</v>
      </c>
      <c r="E2">
        <f>COUNTIFS('Alle woningen'!H2:H579,"'s-Gravenhage",'Alle woningen'!K2:K579,"V.O.V.")</f>
        <v>0</v>
      </c>
      <c r="F2">
        <f>ROUND(AVERAGEIF('Alle woningen'!H2:H579,"'s-Gravenhage",'Alle woningen'!N2:N579),0)</f>
        <v>575750</v>
      </c>
      <c r="G2">
        <v>575750</v>
      </c>
      <c r="H2">
        <f>ROUND(AVERAGEIF('Alle woningen'!H2:H579,"'s-Gravenhage",'Alle woningen'!Q2:Q579),0)</f>
        <v>7066</v>
      </c>
      <c r="I2">
        <v>7066</v>
      </c>
      <c r="J2">
        <f>ROUND(AVERAGEIF('Alle woningen'!H2:H579,"'s-Gravenhage",'Alle woningen'!P2:P579),0)</f>
        <v>83</v>
      </c>
      <c r="K2">
        <v>0</v>
      </c>
      <c r="L2">
        <v>0</v>
      </c>
    </row>
    <row r="3">
      <c r="A3" t="str">
        <v>Aalten</v>
      </c>
      <c r="B3">
        <f>COUNTIF('Alle woningen'!H2:H579,"Aalten")</f>
        <v>1</v>
      </c>
      <c r="C3">
        <f>COUNTIFS('Alle woningen'!H2:H579,"Aalten",'Alle woningen'!K2:K579,"Te koop")</f>
        <v>1</v>
      </c>
      <c r="D3">
        <f>COUNTIFS('Alle woningen'!H2:H579,"Aalten",'Alle woningen'!K2:K579,"Verkocht")</f>
        <v>0</v>
      </c>
      <c r="E3">
        <f>COUNTIFS('Alle woningen'!H2:H579,"Aalten",'Alle woningen'!K2:K579,"V.O.V.")</f>
        <v>0</v>
      </c>
      <c r="F3">
        <f>ROUND(AVERAGEIF('Alle woningen'!H2:H579,"Aalten",'Alle woningen'!N2:N579),0)</f>
        <v>452000</v>
      </c>
      <c r="G3">
        <v>452000</v>
      </c>
      <c r="H3">
        <f>ROUND(AVERAGEIF('Alle woningen'!H2:H579,"Aalten",'Alle woningen'!Q2:Q579),0)</f>
        <v>5318</v>
      </c>
      <c r="I3">
        <v>5318</v>
      </c>
      <c r="J3">
        <f>ROUND(AVERAGEIF('Alle woningen'!H2:H579,"Aalten",'Alle woningen'!P2:P579),0)</f>
        <v>85</v>
      </c>
      <c r="K3">
        <v>0</v>
      </c>
      <c r="L3">
        <v>100</v>
      </c>
    </row>
    <row r="4">
      <c r="A4" t="str">
        <v>Alkmaar</v>
      </c>
      <c r="B4">
        <f>COUNTIF('Alle woningen'!H2:H579,"Alkmaar")</f>
        <v>2</v>
      </c>
      <c r="C4">
        <f>COUNTIFS('Alle woningen'!H2:H579,"Alkmaar",'Alle woningen'!K2:K579,"Te koop")</f>
        <v>0</v>
      </c>
      <c r="D4">
        <f>COUNTIFS('Alle woningen'!H2:H579,"Alkmaar",'Alle woningen'!K2:K579,"Verkocht")</f>
        <v>0</v>
      </c>
      <c r="E4">
        <f>COUNTIFS('Alle woningen'!H2:H579,"Alkmaar",'Alle woningen'!K2:K579,"V.O.V.")</f>
        <v>2</v>
      </c>
      <c r="F4">
        <f>ROUND(AVERAGEIF('Alle woningen'!H2:H579,"Alkmaar",'Alle woningen'!N2:N579),0)</f>
        <v>440000</v>
      </c>
      <c r="G4">
        <v>440000</v>
      </c>
      <c r="H4">
        <f>ROUND(AVERAGEIF('Alle woningen'!H2:H579,"Alkmaar",'Alle woningen'!Q2:Q579),0)</f>
        <v>5924</v>
      </c>
      <c r="I4">
        <v>5924</v>
      </c>
      <c r="J4">
        <f>ROUND(AVERAGEIF('Alle woningen'!H2:H579,"Alkmaar",'Alle woningen'!P2:P579),0)</f>
        <v>75</v>
      </c>
      <c r="K4">
        <v>0</v>
      </c>
      <c r="L4">
        <v>0</v>
      </c>
    </row>
    <row r="5">
      <c r="A5" t="str">
        <v>Almere</v>
      </c>
      <c r="B5">
        <f>COUNTIF('Alle woningen'!H2:H579,"Almere")</f>
        <v>1</v>
      </c>
      <c r="C5">
        <f>COUNTIFS('Alle woningen'!H2:H579,"Almere",'Alle woningen'!K2:K579,"Te koop")</f>
        <v>1</v>
      </c>
      <c r="D5">
        <f>COUNTIFS('Alle woningen'!H2:H579,"Almere",'Alle woningen'!K2:K579,"Verkocht")</f>
        <v>0</v>
      </c>
      <c r="E5">
        <f>COUNTIFS('Alle woningen'!H2:H579,"Almere",'Alle woningen'!K2:K579,"V.O.V.")</f>
        <v>0</v>
      </c>
      <c r="F5">
        <f>ROUND(AVERAGEIF('Alle woningen'!H2:H579,"Almere",'Alle woningen'!N2:N579),0)</f>
        <v>795000</v>
      </c>
      <c r="G5">
        <v>795000</v>
      </c>
      <c r="H5">
        <f>ROUND(AVERAGEIF('Alle woningen'!H2:H579,"Almere",'Alle woningen'!Q2:Q579),0)</f>
        <v>6737</v>
      </c>
      <c r="I5">
        <v>6737</v>
      </c>
      <c r="J5">
        <f>ROUND(AVERAGEIF('Alle woningen'!H2:H579,"Almere",'Alle woningen'!P2:P579),0)</f>
        <v>118</v>
      </c>
      <c r="K5">
        <v>0</v>
      </c>
      <c r="L5">
        <v>100</v>
      </c>
    </row>
    <row r="6">
      <c r="A6" t="str">
        <v>Amersfoort</v>
      </c>
      <c r="B6">
        <f>COUNTIF('Alle woningen'!H2:H579,"Amersfoort")</f>
        <v>1</v>
      </c>
      <c r="C6">
        <f>COUNTIFS('Alle woningen'!H2:H579,"Amersfoort",'Alle woningen'!K2:K579,"Te koop")</f>
        <v>1</v>
      </c>
      <c r="D6">
        <f>COUNTIFS('Alle woningen'!H2:H579,"Amersfoort",'Alle woningen'!K2:K579,"Verkocht")</f>
        <v>0</v>
      </c>
      <c r="E6">
        <f>COUNTIFS('Alle woningen'!H2:H579,"Amersfoort",'Alle woningen'!K2:K579,"V.O.V.")</f>
        <v>0</v>
      </c>
      <c r="F6">
        <f>ROUND(AVERAGEIF('Alle woningen'!H2:H579,"Amersfoort",'Alle woningen'!N2:N579),0)</f>
        <v>339000</v>
      </c>
      <c r="G6">
        <v>339000</v>
      </c>
      <c r="H6">
        <f>ROUND(AVERAGEIF('Alle woningen'!H2:H579,"Amersfoort",'Alle woningen'!Q2:Q579),0)</f>
        <v>7884</v>
      </c>
      <c r="I6">
        <v>7884</v>
      </c>
      <c r="J6">
        <f>ROUND(AVERAGEIF('Alle woningen'!H2:H579,"Amersfoort",'Alle woningen'!P2:P579),0)</f>
        <v>43</v>
      </c>
      <c r="K6">
        <v>0</v>
      </c>
      <c r="L6">
        <v>100</v>
      </c>
    </row>
    <row r="7">
      <c r="A7" t="str">
        <v>Amsterdam</v>
      </c>
      <c r="B7">
        <f>COUNTIF('Alle woningen'!H2:H579,"Amsterdam")</f>
        <v>15</v>
      </c>
      <c r="C7">
        <f>COUNTIFS('Alle woningen'!H2:H579,"Amsterdam",'Alle woningen'!K2:K579,"Te koop")</f>
        <v>15</v>
      </c>
      <c r="D7">
        <f>COUNTIFS('Alle woningen'!H2:H579,"Amsterdam",'Alle woningen'!K2:K579,"Verkocht")</f>
        <v>0</v>
      </c>
      <c r="E7">
        <f>COUNTIFS('Alle woningen'!H2:H579,"Amsterdam",'Alle woningen'!K2:K579,"V.O.V.")</f>
        <v>0</v>
      </c>
      <c r="F7">
        <f>ROUND(AVERAGEIF('Alle woningen'!H2:H579,"Amsterdam",'Alle woningen'!N2:N579),0)</f>
        <v>1197133</v>
      </c>
      <c r="G7">
        <v>1070000</v>
      </c>
      <c r="H7">
        <f>ROUND(AVERAGEIF('Alle woningen'!H2:H579,"Amsterdam",'Alle woningen'!Q2:Q579),0)</f>
        <v>12337</v>
      </c>
      <c r="I7">
        <v>15940</v>
      </c>
      <c r="J7">
        <f>ROUND(AVERAGEIF('Alle woningen'!H2:H579,"Amsterdam",'Alle woningen'!P2:P579),0)</f>
        <v>93</v>
      </c>
      <c r="K7">
        <v>0</v>
      </c>
      <c r="L7">
        <v>100</v>
      </c>
    </row>
    <row r="8">
      <c r="A8" t="str">
        <v>Bergen op Zoom</v>
      </c>
      <c r="B8">
        <f>COUNTIF('Alle woningen'!H2:H579,"Bergen op Zoom")</f>
        <v>1</v>
      </c>
      <c r="C8">
        <f>COUNTIFS('Alle woningen'!H2:H579,"Bergen op Zoom",'Alle woningen'!K2:K579,"Te koop")</f>
        <v>1</v>
      </c>
      <c r="D8">
        <f>COUNTIFS('Alle woningen'!H2:H579,"Bergen op Zoom",'Alle woningen'!K2:K579,"Verkocht")</f>
        <v>0</v>
      </c>
      <c r="E8">
        <f>COUNTIFS('Alle woningen'!H2:H579,"Bergen op Zoom",'Alle woningen'!K2:K579,"V.O.V.")</f>
        <v>0</v>
      </c>
      <c r="F8">
        <f>ROUND(AVERAGEIF('Alle woningen'!H2:H579,"Bergen op Zoom",'Alle woningen'!N2:N579),0)</f>
        <v>250000</v>
      </c>
      <c r="G8">
        <v>250000</v>
      </c>
      <c r="H8">
        <f>ROUND(AVERAGEIF('Alle woningen'!H2:H579,"Bergen op Zoom",'Alle woningen'!Q2:Q579),0)</f>
        <v>4386</v>
      </c>
      <c r="I8">
        <v>4386</v>
      </c>
      <c r="J8">
        <f>ROUND(AVERAGEIF('Alle woningen'!H2:H579,"Bergen op Zoom",'Alle woningen'!P2:P579),0)</f>
        <v>57</v>
      </c>
      <c r="K8">
        <v>8</v>
      </c>
      <c r="L8">
        <v>100</v>
      </c>
    </row>
    <row r="9">
      <c r="A9" t="str">
        <v>Berkelland</v>
      </c>
      <c r="B9">
        <f>COUNTIF('Alle woningen'!H2:H579,"Berkelland")</f>
        <v>1</v>
      </c>
      <c r="C9">
        <f>COUNTIFS('Alle woningen'!H2:H579,"Berkelland",'Alle woningen'!K2:K579,"Te koop")</f>
        <v>1</v>
      </c>
      <c r="D9">
        <f>COUNTIFS('Alle woningen'!H2:H579,"Berkelland",'Alle woningen'!K2:K579,"Verkocht")</f>
        <v>0</v>
      </c>
      <c r="E9">
        <f>COUNTIFS('Alle woningen'!H2:H579,"Berkelland",'Alle woningen'!K2:K579,"V.O.V.")</f>
        <v>0</v>
      </c>
      <c r="F9">
        <f>ROUND(AVERAGEIF('Alle woningen'!H2:H579,"Berkelland",'Alle woningen'!N2:N579),0)</f>
        <v>350000</v>
      </c>
      <c r="G9">
        <v>350000</v>
      </c>
      <c r="H9">
        <f>ROUND(AVERAGEIF('Alle woningen'!H2:H579,"Berkelland",'Alle woningen'!Q2:Q579),0)</f>
        <v>1777</v>
      </c>
      <c r="I9">
        <v>1777</v>
      </c>
      <c r="J9">
        <f>ROUND(AVERAGEIF('Alle woningen'!H2:H579,"Berkelland",'Alle woningen'!P2:P579),0)</f>
        <v>197</v>
      </c>
      <c r="K9">
        <v>0</v>
      </c>
      <c r="L9">
        <v>100</v>
      </c>
    </row>
    <row r="10">
      <c r="A10" t="str">
        <v>Bernheze</v>
      </c>
      <c r="B10">
        <f>COUNTIF('Alle woningen'!H2:H579,"Bernheze")</f>
        <v>4</v>
      </c>
      <c r="C10">
        <f>COUNTIFS('Alle woningen'!H2:H579,"Bernheze",'Alle woningen'!K2:K579,"Te koop")</f>
        <v>4</v>
      </c>
      <c r="D10">
        <f>COUNTIFS('Alle woningen'!H2:H579,"Bernheze",'Alle woningen'!K2:K579,"Verkocht")</f>
        <v>0</v>
      </c>
      <c r="E10">
        <f>COUNTIFS('Alle woningen'!H2:H579,"Bernheze",'Alle woningen'!K2:K579,"V.O.V.")</f>
        <v>0</v>
      </c>
      <c r="F10">
        <f>ROUND(AVERAGEIF('Alle woningen'!H2:H579,"Bernheze",'Alle woningen'!N2:N579),0)</f>
        <v>521800</v>
      </c>
      <c r="G10">
        <v>522050</v>
      </c>
      <c r="H10">
        <f>ROUND(AVERAGEIF('Alle woningen'!H2:H579,"Bernheze",'Alle woningen'!Q2:Q579),0)</f>
        <v>4077</v>
      </c>
      <c r="I10">
        <v>4079</v>
      </c>
      <c r="J10">
        <f>ROUND(AVERAGEIF('Alle woningen'!H2:H579,"Bernheze",'Alle woningen'!P2:P579),0)</f>
        <v>128</v>
      </c>
      <c r="K10">
        <v>4</v>
      </c>
      <c r="L10">
        <v>100</v>
      </c>
    </row>
    <row r="11">
      <c r="A11" t="str">
        <v>Borsele</v>
      </c>
      <c r="B11">
        <f>COUNTIF('Alle woningen'!H2:H579,"Borsele")</f>
        <v>1</v>
      </c>
      <c r="C11">
        <f>COUNTIFS('Alle woningen'!H2:H579,"Borsele",'Alle woningen'!K2:K579,"Te koop")</f>
        <v>1</v>
      </c>
      <c r="D11">
        <f>COUNTIFS('Alle woningen'!H2:H579,"Borsele",'Alle woningen'!K2:K579,"Verkocht")</f>
        <v>0</v>
      </c>
      <c r="E11">
        <f>COUNTIFS('Alle woningen'!H2:H579,"Borsele",'Alle woningen'!K2:K579,"V.O.V.")</f>
        <v>0</v>
      </c>
      <c r="F11">
        <f>ROUND(AVERAGEIF('Alle woningen'!H2:H579,"Borsele",'Alle woningen'!N2:N579),0)</f>
        <v>585000</v>
      </c>
      <c r="G11">
        <v>585000</v>
      </c>
      <c r="H11">
        <f>ROUND(AVERAGEIF('Alle woningen'!H2:H579,"Borsele",'Alle woningen'!Q2:Q579),0)</f>
        <v>3611</v>
      </c>
      <c r="I11">
        <v>3611</v>
      </c>
      <c r="J11">
        <f>ROUND(AVERAGEIF('Alle woningen'!H2:H579,"Borsele",'Alle woningen'!P2:P579),0)</f>
        <v>162</v>
      </c>
      <c r="K11">
        <v>0</v>
      </c>
      <c r="L11">
        <v>100</v>
      </c>
    </row>
    <row r="12">
      <c r="A12" t="str">
        <v>Breda</v>
      </c>
      <c r="B12">
        <f>COUNTIF('Alle woningen'!H2:H579,"Breda")</f>
        <v>6</v>
      </c>
      <c r="C12">
        <f>COUNTIFS('Alle woningen'!H2:H579,"Breda",'Alle woningen'!K2:K579,"Te koop")</f>
        <v>6</v>
      </c>
      <c r="D12">
        <f>COUNTIFS('Alle woningen'!H2:H579,"Breda",'Alle woningen'!K2:K579,"Verkocht")</f>
        <v>0</v>
      </c>
      <c r="E12">
        <f>COUNTIFS('Alle woningen'!H2:H579,"Breda",'Alle woningen'!K2:K579,"V.O.V.")</f>
        <v>0</v>
      </c>
      <c r="F12">
        <f>ROUND(AVERAGEIF('Alle woningen'!H2:H579,"Breda",'Alle woningen'!N2:N579),0)</f>
        <v>439167</v>
      </c>
      <c r="G12">
        <v>457500</v>
      </c>
      <c r="H12">
        <f>ROUND(AVERAGEIF('Alle woningen'!H2:H579,"Breda",'Alle woningen'!Q2:Q579),0)</f>
        <v>5761</v>
      </c>
      <c r="I12">
        <v>5817</v>
      </c>
      <c r="J12">
        <f>ROUND(AVERAGEIF('Alle woningen'!H2:H579,"Breda",'Alle woningen'!P2:P579),0)</f>
        <v>76</v>
      </c>
      <c r="K12">
        <v>0</v>
      </c>
      <c r="L12">
        <v>100</v>
      </c>
    </row>
    <row r="13">
      <c r="A13" t="str">
        <v>Brummen</v>
      </c>
      <c r="B13">
        <f>COUNTIF('Alle woningen'!H2:H579,"Brummen")</f>
        <v>1</v>
      </c>
      <c r="C13">
        <f>COUNTIFS('Alle woningen'!H2:H579,"Brummen",'Alle woningen'!K2:K579,"Te koop")</f>
        <v>1</v>
      </c>
      <c r="D13">
        <f>COUNTIFS('Alle woningen'!H2:H579,"Brummen",'Alle woningen'!K2:K579,"Verkocht")</f>
        <v>0</v>
      </c>
      <c r="E13">
        <f>COUNTIFS('Alle woningen'!H2:H579,"Brummen",'Alle woningen'!K2:K579,"V.O.V.")</f>
        <v>0</v>
      </c>
      <c r="F13">
        <f>ROUND(AVERAGEIF('Alle woningen'!H2:H579,"Brummen",'Alle woningen'!N2:N579),0)</f>
        <v>970000</v>
      </c>
      <c r="G13">
        <v>970000</v>
      </c>
      <c r="H13">
        <f>ROUND(AVERAGEIF('Alle woningen'!H2:H579,"Brummen",'Alle woningen'!Q2:Q579),0)</f>
        <v>6690</v>
      </c>
      <c r="I13">
        <v>6690</v>
      </c>
      <c r="J13">
        <f>ROUND(AVERAGEIF('Alle woningen'!H2:H579,"Brummen",'Alle woningen'!P2:P579),0)</f>
        <v>145</v>
      </c>
      <c r="K13">
        <v>0</v>
      </c>
      <c r="L13">
        <v>100</v>
      </c>
    </row>
    <row r="14">
      <c r="A14" t="str">
        <v>Brunssum</v>
      </c>
      <c r="B14">
        <f>COUNTIF('Alle woningen'!H2:H579,"Brunssum")</f>
        <v>2</v>
      </c>
      <c r="C14">
        <f>COUNTIFS('Alle woningen'!H2:H579,"Brunssum",'Alle woningen'!K2:K579,"Te koop")</f>
        <v>2</v>
      </c>
      <c r="D14">
        <f>COUNTIFS('Alle woningen'!H2:H579,"Brunssum",'Alle woningen'!K2:K579,"Verkocht")</f>
        <v>0</v>
      </c>
      <c r="E14">
        <f>COUNTIFS('Alle woningen'!H2:H579,"Brunssum",'Alle woningen'!K2:K579,"V.O.V.")</f>
        <v>0</v>
      </c>
      <c r="F14">
        <f>ROUND(AVERAGEIF('Alle woningen'!H2:H579,"Brunssum",'Alle woningen'!N2:N579),0)</f>
        <v>384500</v>
      </c>
      <c r="G14">
        <v>384500</v>
      </c>
      <c r="H14">
        <f>ROUND(AVERAGEIF('Alle woningen'!H2:H579,"Brunssum",'Alle woningen'!Q2:Q579),0)</f>
        <v>4134</v>
      </c>
      <c r="I14">
        <v>4134</v>
      </c>
      <c r="J14">
        <f>ROUND(AVERAGEIF('Alle woningen'!H2:H579,"Brunssum",'Alle woningen'!P2:P579),0)</f>
        <v>93</v>
      </c>
      <c r="K14">
        <v>0</v>
      </c>
      <c r="L14">
        <v>100</v>
      </c>
    </row>
    <row r="15">
      <c r="A15" t="str">
        <v>Capelle aan den IJssel</v>
      </c>
      <c r="B15">
        <f>COUNTIF('Alle woningen'!H2:H579,"Capelle aan den IJssel")</f>
        <v>2</v>
      </c>
      <c r="C15">
        <f>COUNTIFS('Alle woningen'!H2:H579,"Capelle aan den IJssel",'Alle woningen'!K2:K579,"Te koop")</f>
        <v>2</v>
      </c>
      <c r="D15">
        <f>COUNTIFS('Alle woningen'!H2:H579,"Capelle aan den IJssel",'Alle woningen'!K2:K579,"Verkocht")</f>
        <v>0</v>
      </c>
      <c r="E15">
        <f>COUNTIFS('Alle woningen'!H2:H579,"Capelle aan den IJssel",'Alle woningen'!K2:K579,"V.O.V.")</f>
        <v>0</v>
      </c>
      <c r="F15">
        <f>ROUND(AVERAGEIF('Alle woningen'!H2:H579,"Capelle aan den IJssel",'Alle woningen'!N2:N579),0)</f>
        <v>316250</v>
      </c>
      <c r="G15">
        <v>316250</v>
      </c>
      <c r="H15">
        <f>ROUND(AVERAGEIF('Alle woningen'!H2:H579,"Capelle aan den IJssel",'Alle woningen'!Q2:Q579),0)</f>
        <v>7224</v>
      </c>
      <c r="I15">
        <v>7224</v>
      </c>
      <c r="J15">
        <f>ROUND(AVERAGEIF('Alle woningen'!H2:H579,"Capelle aan den IJssel",'Alle woningen'!P2:P579),0)</f>
        <v>44</v>
      </c>
      <c r="K15">
        <v>0</v>
      </c>
      <c r="L15">
        <v>100</v>
      </c>
    </row>
    <row r="16">
      <c r="A16" t="str">
        <v>Den Helder</v>
      </c>
      <c r="B16">
        <f>COUNTIF('Alle woningen'!H2:H579,"Den Helder")</f>
        <v>15</v>
      </c>
      <c r="C16">
        <f>COUNTIFS('Alle woningen'!H2:H579,"Den Helder",'Alle woningen'!K2:K579,"Te koop")</f>
        <v>6</v>
      </c>
      <c r="D16">
        <f>COUNTIFS('Alle woningen'!H2:H579,"Den Helder",'Alle woningen'!K2:K579,"Verkocht")</f>
        <v>0</v>
      </c>
      <c r="E16">
        <f>COUNTIFS('Alle woningen'!H2:H579,"Den Helder",'Alle woningen'!K2:K579,"V.O.V.")</f>
        <v>9</v>
      </c>
      <c r="F16">
        <f>ROUND(AVERAGEIF('Alle woningen'!H2:H579,"Den Helder",'Alle woningen'!N2:N579),0)</f>
        <v>601033</v>
      </c>
      <c r="G16">
        <v>585000</v>
      </c>
      <c r="H16">
        <f>ROUND(AVERAGEIF('Alle woningen'!H2:H579,"Den Helder",'Alle woningen'!Q2:Q579),0)</f>
        <v>3784</v>
      </c>
      <c r="I16">
        <v>3634</v>
      </c>
      <c r="J16">
        <f>ROUND(AVERAGEIF('Alle woningen'!H2:H579,"Den Helder",'Alle woningen'!P2:P579),0)</f>
        <v>159</v>
      </c>
      <c r="K16">
        <v>8</v>
      </c>
      <c r="L16">
        <v>0</v>
      </c>
    </row>
    <row r="17">
      <c r="A17" t="str">
        <v>Deventer</v>
      </c>
      <c r="B17">
        <f>COUNTIF('Alle woningen'!H2:H579,"Deventer")</f>
        <v>1</v>
      </c>
      <c r="C17">
        <f>COUNTIFS('Alle woningen'!H2:H579,"Deventer",'Alle woningen'!K2:K579,"Te koop")</f>
        <v>1</v>
      </c>
      <c r="D17">
        <f>COUNTIFS('Alle woningen'!H2:H579,"Deventer",'Alle woningen'!K2:K579,"Verkocht")</f>
        <v>0</v>
      </c>
      <c r="E17">
        <f>COUNTIFS('Alle woningen'!H2:H579,"Deventer",'Alle woningen'!K2:K579,"V.O.V.")</f>
        <v>0</v>
      </c>
      <c r="F17">
        <f>ROUND(AVERAGEIF('Alle woningen'!H2:H579,"Deventer",'Alle woningen'!N2:N579),0)</f>
        <v>810000</v>
      </c>
      <c r="G17">
        <v>810000</v>
      </c>
      <c r="H17">
        <f>ROUND(AVERAGEIF('Alle woningen'!H2:H579,"Deventer",'Alle woningen'!Q2:Q579),0)</f>
        <v>5260</v>
      </c>
      <c r="I17">
        <v>5260</v>
      </c>
      <c r="J17">
        <f>ROUND(AVERAGEIF('Alle woningen'!H2:H579,"Deventer",'Alle woningen'!P2:P579),0)</f>
        <v>154</v>
      </c>
      <c r="K17">
        <v>0</v>
      </c>
      <c r="L17">
        <v>100</v>
      </c>
    </row>
    <row r="18">
      <c r="A18" t="str">
        <v>Diemen</v>
      </c>
      <c r="B18">
        <f>COUNTIF('Alle woningen'!H2:H579,"Diemen")</f>
        <v>1</v>
      </c>
      <c r="C18">
        <f>COUNTIFS('Alle woningen'!H2:H579,"Diemen",'Alle woningen'!K2:K579,"Te koop")</f>
        <v>1</v>
      </c>
      <c r="D18">
        <f>COUNTIFS('Alle woningen'!H2:H579,"Diemen",'Alle woningen'!K2:K579,"Verkocht")</f>
        <v>0</v>
      </c>
      <c r="E18">
        <f>COUNTIFS('Alle woningen'!H2:H579,"Diemen",'Alle woningen'!K2:K579,"V.O.V.")</f>
        <v>0</v>
      </c>
      <c r="F18">
        <f>ROUND(AVERAGEIF('Alle woningen'!H2:H579,"Diemen",'Alle woningen'!N2:N579),0)</f>
        <v>1085995</v>
      </c>
      <c r="G18">
        <v>1085995</v>
      </c>
      <c r="H18">
        <f>ROUND(AVERAGEIF('Alle woningen'!H2:H579,"Diemen",'Alle woningen'!Q2:Q579),0)</f>
        <v>6582</v>
      </c>
      <c r="I18">
        <v>6582</v>
      </c>
      <c r="J18">
        <f>ROUND(AVERAGEIF('Alle woningen'!H2:H579,"Diemen",'Alle woningen'!P2:P579),0)</f>
        <v>165</v>
      </c>
      <c r="K18">
        <v>0</v>
      </c>
      <c r="L18">
        <v>100</v>
      </c>
    </row>
    <row r="19">
      <c r="A19" t="str">
        <v>Dinkelland</v>
      </c>
      <c r="B19">
        <f>COUNTIF('Alle woningen'!H2:H579,"Dinkelland")</f>
        <v>10</v>
      </c>
      <c r="C19">
        <f>COUNTIFS('Alle woningen'!H2:H579,"Dinkelland",'Alle woningen'!K2:K579,"Te koop")</f>
        <v>10</v>
      </c>
      <c r="D19">
        <f>COUNTIFS('Alle woningen'!H2:H579,"Dinkelland",'Alle woningen'!K2:K579,"Verkocht")</f>
        <v>0</v>
      </c>
      <c r="E19">
        <f>COUNTIFS('Alle woningen'!H2:H579,"Dinkelland",'Alle woningen'!K2:K579,"V.O.V.")</f>
        <v>0</v>
      </c>
      <c r="F19">
        <f>ROUND(AVERAGEIF('Alle woningen'!H2:H579,"Dinkelland",'Alle woningen'!N2:N579),0)</f>
        <v>503700</v>
      </c>
      <c r="G19">
        <v>496500</v>
      </c>
      <c r="H19">
        <f>ROUND(AVERAGEIF('Alle woningen'!H2:H579,"Dinkelland",'Alle woningen'!Q2:Q579),0)</f>
        <v>3731</v>
      </c>
      <c r="I19">
        <v>3677</v>
      </c>
      <c r="J19">
        <f>ROUND(AVERAGEIF('Alle woningen'!H2:H579,"Dinkelland",'Alle woningen'!P2:P579),0)</f>
        <v>134</v>
      </c>
      <c r="K19">
        <v>8</v>
      </c>
      <c r="L19">
        <v>100</v>
      </c>
    </row>
    <row r="20">
      <c r="A20" t="str">
        <v>Doetinchem</v>
      </c>
      <c r="B20">
        <f>COUNTIF('Alle woningen'!H2:H579,"Doetinchem")</f>
        <v>1</v>
      </c>
      <c r="C20">
        <f>COUNTIFS('Alle woningen'!H2:H579,"Doetinchem",'Alle woningen'!K2:K579,"Te koop")</f>
        <v>1</v>
      </c>
      <c r="D20">
        <f>COUNTIFS('Alle woningen'!H2:H579,"Doetinchem",'Alle woningen'!K2:K579,"Verkocht")</f>
        <v>0</v>
      </c>
      <c r="E20">
        <f>COUNTIFS('Alle woningen'!H2:H579,"Doetinchem",'Alle woningen'!K2:K579,"V.O.V.")</f>
        <v>0</v>
      </c>
      <c r="F20">
        <f>ROUND(AVERAGEIF('Alle woningen'!H2:H579,"Doetinchem",'Alle woningen'!N2:N579),0)</f>
        <v>838500</v>
      </c>
      <c r="G20">
        <v>838500</v>
      </c>
      <c r="H20">
        <f>ROUND(AVERAGEIF('Alle woningen'!H2:H579,"Doetinchem",'Alle woningen'!Q2:Q579),0)</f>
        <v>4322</v>
      </c>
      <c r="I20">
        <v>4322</v>
      </c>
      <c r="J20">
        <f>ROUND(AVERAGEIF('Alle woningen'!H2:H579,"Doetinchem",'Alle woningen'!P2:P579),0)</f>
        <v>194</v>
      </c>
      <c r="K20">
        <v>0</v>
      </c>
      <c r="L20">
        <v>100</v>
      </c>
    </row>
    <row r="21">
      <c r="A21" t="str">
        <v>Dronten</v>
      </c>
      <c r="B21">
        <f>COUNTIF('Alle woningen'!H2:H579,"Dronten")</f>
        <v>2</v>
      </c>
      <c r="C21">
        <f>COUNTIFS('Alle woningen'!H2:H579,"Dronten",'Alle woningen'!K2:K579,"Te koop")</f>
        <v>2</v>
      </c>
      <c r="D21">
        <f>COUNTIFS('Alle woningen'!H2:H579,"Dronten",'Alle woningen'!K2:K579,"Verkocht")</f>
        <v>0</v>
      </c>
      <c r="E21">
        <f>COUNTIFS('Alle woningen'!H2:H579,"Dronten",'Alle woningen'!K2:K579,"V.O.V.")</f>
        <v>0</v>
      </c>
      <c r="F21">
        <f>ROUND(AVERAGEIF('Alle woningen'!H2:H579,"Dronten",'Alle woningen'!N2:N579),0)</f>
        <v>717500</v>
      </c>
      <c r="G21">
        <v>717500</v>
      </c>
      <c r="H21">
        <f>ROUND(AVERAGEIF('Alle woningen'!H2:H579,"Dronten",'Alle woningen'!Q2:Q579),0)</f>
        <v>4629</v>
      </c>
      <c r="I21">
        <v>4629</v>
      </c>
      <c r="J21">
        <f>ROUND(AVERAGEIF('Alle woningen'!H2:H579,"Dronten",'Alle woningen'!P2:P579),0)</f>
        <v>155</v>
      </c>
      <c r="K21">
        <v>0</v>
      </c>
      <c r="L21">
        <v>100</v>
      </c>
    </row>
    <row r="22">
      <c r="A22" t="str">
        <v>Echt-Susteren</v>
      </c>
      <c r="B22">
        <f>COUNTIF('Alle woningen'!H2:H579,"Echt-Susteren")</f>
        <v>2</v>
      </c>
      <c r="C22">
        <f>COUNTIFS('Alle woningen'!H2:H579,"Echt-Susteren",'Alle woningen'!K2:K579,"Te koop")</f>
        <v>2</v>
      </c>
      <c r="D22">
        <f>COUNTIFS('Alle woningen'!H2:H579,"Echt-Susteren",'Alle woningen'!K2:K579,"Verkocht")</f>
        <v>0</v>
      </c>
      <c r="E22">
        <f>COUNTIFS('Alle woningen'!H2:H579,"Echt-Susteren",'Alle woningen'!K2:K579,"V.O.V.")</f>
        <v>0</v>
      </c>
      <c r="F22">
        <f>ROUND(AVERAGEIF('Alle woningen'!H2:H579,"Echt-Susteren",'Alle woningen'!N2:N579),0)</f>
        <v>420000</v>
      </c>
      <c r="G22">
        <v>420000</v>
      </c>
      <c r="H22">
        <f>ROUND(AVERAGEIF('Alle woningen'!H2:H579,"Echt-Susteren",'Alle woningen'!Q2:Q579),0)</f>
        <v>4000</v>
      </c>
      <c r="I22">
        <v>4000</v>
      </c>
      <c r="J22">
        <f>ROUND(AVERAGEIF('Alle woningen'!H2:H579,"Echt-Susteren",'Alle woningen'!P2:P579),0)</f>
        <v>105</v>
      </c>
      <c r="K22">
        <v>6</v>
      </c>
      <c r="L22">
        <v>100</v>
      </c>
    </row>
    <row r="23">
      <c r="A23" t="str">
        <v>Eindhoven</v>
      </c>
      <c r="B23">
        <f>COUNTIF('Alle woningen'!H2:H579,"Eindhoven")</f>
        <v>6</v>
      </c>
      <c r="C23">
        <f>COUNTIFS('Alle woningen'!H2:H579,"Eindhoven",'Alle woningen'!K2:K579,"Te koop")</f>
        <v>6</v>
      </c>
      <c r="D23">
        <f>COUNTIFS('Alle woningen'!H2:H579,"Eindhoven",'Alle woningen'!K2:K579,"Verkocht")</f>
        <v>0</v>
      </c>
      <c r="E23">
        <f>COUNTIFS('Alle woningen'!H2:H579,"Eindhoven",'Alle woningen'!K2:K579,"V.O.V.")</f>
        <v>0</v>
      </c>
      <c r="F23">
        <f>ROUND(AVERAGEIF('Alle woningen'!H2:H579,"Eindhoven",'Alle woningen'!N2:N579),0)</f>
        <v>441667</v>
      </c>
      <c r="G23">
        <v>400000</v>
      </c>
      <c r="H23">
        <f>ROUND(AVERAGEIF('Alle woningen'!H2:H579,"Eindhoven",'Alle woningen'!Q2:Q579),0)</f>
        <v>5794</v>
      </c>
      <c r="I23">
        <v>5769</v>
      </c>
      <c r="J23">
        <f>ROUND(AVERAGEIF('Alle woningen'!H2:H579,"Eindhoven",'Alle woningen'!P2:P579),0)</f>
        <v>77</v>
      </c>
      <c r="K23">
        <v>0</v>
      </c>
      <c r="L23">
        <v>100</v>
      </c>
    </row>
    <row r="24">
      <c r="A24" t="str">
        <v>Emmen</v>
      </c>
      <c r="B24">
        <f>COUNTIF('Alle woningen'!H2:H579,"Emmen")</f>
        <v>2</v>
      </c>
      <c r="C24">
        <f>COUNTIFS('Alle woningen'!H2:H579,"Emmen",'Alle woningen'!K2:K579,"Te koop")</f>
        <v>2</v>
      </c>
      <c r="D24">
        <f>COUNTIFS('Alle woningen'!H2:H579,"Emmen",'Alle woningen'!K2:K579,"Verkocht")</f>
        <v>0</v>
      </c>
      <c r="E24">
        <f>COUNTIFS('Alle woningen'!H2:H579,"Emmen",'Alle woningen'!K2:K579,"V.O.V.")</f>
        <v>0</v>
      </c>
      <c r="F24">
        <f>ROUND(AVERAGEIF('Alle woningen'!H2:H579,"Emmen",'Alle woningen'!N2:N579),0)</f>
        <v>432000</v>
      </c>
      <c r="G24">
        <v>432000</v>
      </c>
      <c r="H24">
        <f>ROUND(AVERAGEIF('Alle woningen'!H2:H579,"Emmen",'Alle woningen'!Q2:Q579),0)</f>
        <v>5192</v>
      </c>
      <c r="I24">
        <v>5192</v>
      </c>
      <c r="J24">
        <f>ROUND(AVERAGEIF('Alle woningen'!H2:H579,"Emmen",'Alle woningen'!P2:P579),0)</f>
        <v>84</v>
      </c>
      <c r="K24">
        <v>0</v>
      </c>
      <c r="L24">
        <v>100</v>
      </c>
    </row>
    <row r="25">
      <c r="A25" t="str">
        <v>Enschede</v>
      </c>
      <c r="B25">
        <f>COUNTIF('Alle woningen'!H2:H579,"Enschede")</f>
        <v>1</v>
      </c>
      <c r="C25">
        <f>COUNTIFS('Alle woningen'!H2:H579,"Enschede",'Alle woningen'!K2:K579,"Te koop")</f>
        <v>1</v>
      </c>
      <c r="D25">
        <f>COUNTIFS('Alle woningen'!H2:H579,"Enschede",'Alle woningen'!K2:K579,"Verkocht")</f>
        <v>0</v>
      </c>
      <c r="E25">
        <f>COUNTIFS('Alle woningen'!H2:H579,"Enschede",'Alle woningen'!K2:K579,"V.O.V.")</f>
        <v>0</v>
      </c>
      <c r="F25">
        <f>ROUND(AVERAGEIF('Alle woningen'!H2:H579,"Enschede",'Alle woningen'!N2:N579),0)</f>
        <v>585000</v>
      </c>
      <c r="G25">
        <v>585000</v>
      </c>
      <c r="H25">
        <f>ROUND(AVERAGEIF('Alle woningen'!H2:H579,"Enschede",'Alle woningen'!Q2:Q579),0)</f>
        <v>3679</v>
      </c>
      <c r="I25">
        <v>3679</v>
      </c>
      <c r="J25">
        <f>ROUND(AVERAGEIF('Alle woningen'!H2:H579,"Enschede",'Alle woningen'!P2:P579),0)</f>
        <v>159</v>
      </c>
      <c r="K25">
        <v>0</v>
      </c>
      <c r="L25">
        <v>100</v>
      </c>
    </row>
    <row r="26">
      <c r="A26" t="str">
        <v>Gennep</v>
      </c>
      <c r="B26">
        <f>COUNTIF('Alle woningen'!H2:H579,"Gennep")</f>
        <v>3</v>
      </c>
      <c r="C26">
        <f>COUNTIFS('Alle woningen'!H2:H579,"Gennep",'Alle woningen'!K2:K579,"Te koop")</f>
        <v>3</v>
      </c>
      <c r="D26">
        <f>COUNTIFS('Alle woningen'!H2:H579,"Gennep",'Alle woningen'!K2:K579,"Verkocht")</f>
        <v>0</v>
      </c>
      <c r="E26">
        <f>COUNTIFS('Alle woningen'!H2:H579,"Gennep",'Alle woningen'!K2:K579,"V.O.V.")</f>
        <v>0</v>
      </c>
      <c r="F26">
        <f>ROUND(AVERAGEIF('Alle woningen'!H2:H579,"Gennep",'Alle woningen'!N2:N579),0)</f>
        <v>402667</v>
      </c>
      <c r="G26">
        <v>413000</v>
      </c>
      <c r="H26">
        <f>ROUND(AVERAGEIF('Alle woningen'!H2:H579,"Gennep",'Alle woningen'!Q2:Q579),0)</f>
        <v>4691</v>
      </c>
      <c r="I26">
        <v>4872</v>
      </c>
      <c r="J26">
        <f>ROUND(AVERAGEIF('Alle woningen'!H2:H579,"Gennep",'Alle woningen'!P2:P579),0)</f>
        <v>86</v>
      </c>
      <c r="K26">
        <v>0</v>
      </c>
      <c r="L26">
        <v>100</v>
      </c>
    </row>
    <row r="27">
      <c r="A27" t="str">
        <v>Gilze en Rijen</v>
      </c>
      <c r="B27">
        <f>COUNTIF('Alle woningen'!H2:H579,"Gilze en Rijen")</f>
        <v>10</v>
      </c>
      <c r="C27">
        <f>COUNTIFS('Alle woningen'!H2:H579,"Gilze en Rijen",'Alle woningen'!K2:K579,"Te koop")</f>
        <v>10</v>
      </c>
      <c r="D27">
        <f>COUNTIFS('Alle woningen'!H2:H579,"Gilze en Rijen",'Alle woningen'!K2:K579,"Verkocht")</f>
        <v>0</v>
      </c>
      <c r="E27">
        <f>COUNTIFS('Alle woningen'!H2:H579,"Gilze en Rijen",'Alle woningen'!K2:K579,"V.O.V.")</f>
        <v>0</v>
      </c>
      <c r="F27">
        <f>ROUND(AVERAGEIF('Alle woningen'!H2:H579,"Gilze en Rijen",'Alle woningen'!N2:N579),0)</f>
        <v>612100</v>
      </c>
      <c r="G27">
        <v>610500</v>
      </c>
      <c r="H27">
        <f>ROUND(AVERAGEIF('Alle woningen'!H2:H579,"Gilze en Rijen",'Alle woningen'!Q2:Q579),0)</f>
        <v>4897</v>
      </c>
      <c r="I27">
        <v>4884</v>
      </c>
      <c r="J27">
        <f>ROUND(AVERAGEIF('Alle woningen'!H2:H579,"Gilze en Rijen",'Alle woningen'!P2:P579),0)</f>
        <v>125</v>
      </c>
      <c r="K27">
        <v>8</v>
      </c>
      <c r="L27">
        <v>100</v>
      </c>
    </row>
    <row r="28">
      <c r="A28" t="str">
        <v>Gooise Meren</v>
      </c>
      <c r="B28">
        <f>COUNTIF('Alle woningen'!H2:H579,"Gooise Meren")</f>
        <v>3</v>
      </c>
      <c r="C28">
        <f>COUNTIFS('Alle woningen'!H2:H579,"Gooise Meren",'Alle woningen'!K2:K579,"Te koop")</f>
        <v>2</v>
      </c>
      <c r="D28">
        <f>COUNTIFS('Alle woningen'!H2:H579,"Gooise Meren",'Alle woningen'!K2:K579,"Verkocht")</f>
        <v>0</v>
      </c>
      <c r="E28">
        <f>COUNTIFS('Alle woningen'!H2:H579,"Gooise Meren",'Alle woningen'!K2:K579,"V.O.V.")</f>
        <v>1</v>
      </c>
      <c r="F28">
        <f>ROUND(AVERAGEIF('Alle woningen'!H2:H579,"Gooise Meren",'Alle woningen'!N2:N579),0)</f>
        <v>761667</v>
      </c>
      <c r="G28">
        <v>750000</v>
      </c>
      <c r="H28">
        <f>ROUND(AVERAGEIF('Alle woningen'!H2:H579,"Gooise Meren",'Alle woningen'!Q2:Q579),0)</f>
        <v>6740</v>
      </c>
      <c r="I28">
        <v>6637</v>
      </c>
      <c r="J28">
        <f>ROUND(AVERAGEIF('Alle woningen'!H2:H579,"Gooise Meren",'Alle woningen'!P2:P579),0)</f>
        <v>113</v>
      </c>
      <c r="K28">
        <v>3</v>
      </c>
      <c r="L28">
        <v>100</v>
      </c>
    </row>
    <row r="29">
      <c r="A29" t="str">
        <v>Haarlem</v>
      </c>
      <c r="B29">
        <f>COUNTIF('Alle woningen'!H2:H579,"Haarlem")</f>
        <v>3</v>
      </c>
      <c r="C29">
        <f>COUNTIFS('Alle woningen'!H2:H579,"Haarlem",'Alle woningen'!K2:K579,"Te koop")</f>
        <v>1</v>
      </c>
      <c r="D29">
        <f>COUNTIFS('Alle woningen'!H2:H579,"Haarlem",'Alle woningen'!K2:K579,"Verkocht")</f>
        <v>0</v>
      </c>
      <c r="E29">
        <f>COUNTIFS('Alle woningen'!H2:H579,"Haarlem",'Alle woningen'!K2:K579,"V.O.V.")</f>
        <v>2</v>
      </c>
      <c r="F29">
        <f>ROUND(AVERAGEIF('Alle woningen'!H2:H579,"Haarlem",'Alle woningen'!N2:N579),0)</f>
        <v>390333</v>
      </c>
      <c r="G29">
        <v>398000</v>
      </c>
      <c r="H29">
        <f>ROUND(AVERAGEIF('Alle woningen'!H2:H579,"Haarlem",'Alle woningen'!Q2:Q579),0)</f>
        <v>8049</v>
      </c>
      <c r="I29">
        <v>8468</v>
      </c>
      <c r="J29">
        <f>ROUND(AVERAGEIF('Alle woningen'!H2:H579,"Haarlem",'Alle woningen'!P2:P579),0)</f>
        <v>49</v>
      </c>
      <c r="K29">
        <v>0</v>
      </c>
      <c r="L29">
        <v>0</v>
      </c>
    </row>
    <row r="30">
      <c r="A30" t="str">
        <v>Haarlemmermeer</v>
      </c>
      <c r="B30">
        <f>COUNTIF('Alle woningen'!H2:H579,"Haarlemmermeer")</f>
        <v>1</v>
      </c>
      <c r="C30">
        <f>COUNTIFS('Alle woningen'!H2:H579,"Haarlemmermeer",'Alle woningen'!K2:K579,"Te koop")</f>
        <v>1</v>
      </c>
      <c r="D30">
        <f>COUNTIFS('Alle woningen'!H2:H579,"Haarlemmermeer",'Alle woningen'!K2:K579,"Verkocht")</f>
        <v>0</v>
      </c>
      <c r="E30">
        <f>COUNTIFS('Alle woningen'!H2:H579,"Haarlemmermeer",'Alle woningen'!K2:K579,"V.O.V.")</f>
        <v>0</v>
      </c>
      <c r="F30">
        <f>ROUND(AVERAGEIF('Alle woningen'!H2:H579,"Haarlemmermeer",'Alle woningen'!N2:N579),0)</f>
        <v>399000</v>
      </c>
      <c r="G30">
        <v>399000</v>
      </c>
      <c r="H30">
        <f>ROUND(AVERAGEIF('Alle woningen'!H2:H579,"Haarlemmermeer",'Alle woningen'!Q2:Q579),0)</f>
        <v>8143</v>
      </c>
      <c r="I30">
        <v>8143</v>
      </c>
      <c r="J30">
        <f>ROUND(AVERAGEIF('Alle woningen'!H2:H579,"Haarlemmermeer",'Alle woningen'!P2:P579),0)</f>
        <v>49</v>
      </c>
      <c r="K30">
        <v>0</v>
      </c>
      <c r="L30">
        <v>0</v>
      </c>
    </row>
    <row r="31">
      <c r="A31" t="str">
        <v>Halderberge</v>
      </c>
      <c r="B31">
        <f>COUNTIF('Alle woningen'!H2:H579,"Halderberge")</f>
        <v>74</v>
      </c>
      <c r="C31">
        <f>COUNTIFS('Alle woningen'!H2:H579,"Halderberge",'Alle woningen'!K2:K579,"Te koop")</f>
        <v>74</v>
      </c>
      <c r="D31">
        <f>COUNTIFS('Alle woningen'!H2:H579,"Halderberge",'Alle woningen'!K2:K579,"Verkocht")</f>
        <v>0</v>
      </c>
      <c r="E31">
        <f>COUNTIFS('Alle woningen'!H2:H579,"Halderberge",'Alle woningen'!K2:K579,"V.O.V.")</f>
        <v>0</v>
      </c>
      <c r="F31">
        <f>ROUND(AVERAGEIF('Alle woningen'!H2:H579,"Halderberge",'Alle woningen'!N2:N579),0)</f>
        <v>516054</v>
      </c>
      <c r="G31">
        <v>500250</v>
      </c>
      <c r="H31">
        <f>ROUND(AVERAGEIF('Alle woningen'!H2:H579,"Halderberge",'Alle woningen'!Q2:Q579),0)</f>
        <v>4348</v>
      </c>
      <c r="I31">
        <v>4032</v>
      </c>
      <c r="J31">
        <f>ROUND(AVERAGEIF('Alle woningen'!H2:H579,"Halderberge",'Alle woningen'!P2:P579),0)</f>
        <v>119</v>
      </c>
      <c r="K31">
        <v>4</v>
      </c>
      <c r="L31">
        <v>100</v>
      </c>
    </row>
    <row r="32">
      <c r="A32" t="str">
        <v>Hardenberg</v>
      </c>
      <c r="B32">
        <f>COUNTIF('Alle woningen'!H2:H579,"Hardenberg")</f>
        <v>1</v>
      </c>
      <c r="C32">
        <f>COUNTIFS('Alle woningen'!H2:H579,"Hardenberg",'Alle woningen'!K2:K579,"Te koop")</f>
        <v>1</v>
      </c>
      <c r="D32">
        <f>COUNTIFS('Alle woningen'!H2:H579,"Hardenberg",'Alle woningen'!K2:K579,"Verkocht")</f>
        <v>0</v>
      </c>
      <c r="E32">
        <f>COUNTIFS('Alle woningen'!H2:H579,"Hardenberg",'Alle woningen'!K2:K579,"V.O.V.")</f>
        <v>0</v>
      </c>
      <c r="F32">
        <f>ROUND(AVERAGEIF('Alle woningen'!H2:H579,"Hardenberg",'Alle woningen'!N2:N579),0)</f>
        <v>467000</v>
      </c>
      <c r="G32">
        <v>467000</v>
      </c>
      <c r="H32">
        <f>ROUND(AVERAGEIF('Alle woningen'!H2:H579,"Hardenberg",'Alle woningen'!Q2:Q579),0)</f>
        <v>3072</v>
      </c>
      <c r="I32">
        <v>3072</v>
      </c>
      <c r="J32">
        <f>ROUND(AVERAGEIF('Alle woningen'!H2:H579,"Hardenberg",'Alle woningen'!P2:P579),0)</f>
        <v>152</v>
      </c>
      <c r="K32">
        <v>0</v>
      </c>
      <c r="L32">
        <v>100</v>
      </c>
    </row>
    <row r="33">
      <c r="A33" t="str">
        <v>Hengelo (O)</v>
      </c>
      <c r="B33">
        <f>COUNTIF('Alle woningen'!H2:H579,"Hengelo (O)")</f>
        <v>70</v>
      </c>
      <c r="C33">
        <f>COUNTIFS('Alle woningen'!H2:H579,"Hengelo (O)",'Alle woningen'!K2:K579,"Te koop")</f>
        <v>70</v>
      </c>
      <c r="D33">
        <f>COUNTIFS('Alle woningen'!H2:H579,"Hengelo (O)",'Alle woningen'!K2:K579,"Verkocht")</f>
        <v>0</v>
      </c>
      <c r="E33">
        <f>COUNTIFS('Alle woningen'!H2:H579,"Hengelo (O)",'Alle woningen'!K2:K579,"V.O.V.")</f>
        <v>0</v>
      </c>
      <c r="F33">
        <f>ROUND(AVERAGEIF('Alle woningen'!H2:H579,"Hengelo (O)",'Alle woningen'!N2:N579),0)</f>
        <v>430561</v>
      </c>
      <c r="G33">
        <v>385000</v>
      </c>
      <c r="H33">
        <f>ROUND(AVERAGEIF('Alle woningen'!H2:H579,"Hengelo (O)",'Alle woningen'!Q2:Q579),0)</f>
        <v>4842</v>
      </c>
      <c r="I33">
        <v>5000</v>
      </c>
      <c r="J33">
        <f>ROUND(AVERAGEIF('Alle woningen'!H2:H579,"Hengelo (O)",'Alle woningen'!P2:P579),0)</f>
        <v>89</v>
      </c>
      <c r="K33">
        <v>7</v>
      </c>
      <c r="L33">
        <v>100</v>
      </c>
    </row>
    <row r="34">
      <c r="A34" t="str">
        <v>Hoogeveen</v>
      </c>
      <c r="B34">
        <f>COUNTIF('Alle woningen'!H2:H579,"Hoogeveen")</f>
        <v>16</v>
      </c>
      <c r="C34">
        <f>COUNTIFS('Alle woningen'!H2:H579,"Hoogeveen",'Alle woningen'!K2:K579,"Te koop")</f>
        <v>12</v>
      </c>
      <c r="D34">
        <f>COUNTIFS('Alle woningen'!H2:H579,"Hoogeveen",'Alle woningen'!K2:K579,"Verkocht")</f>
        <v>0</v>
      </c>
      <c r="E34">
        <f>COUNTIFS('Alle woningen'!H2:H579,"Hoogeveen",'Alle woningen'!K2:K579,"V.O.V.")</f>
        <v>4</v>
      </c>
      <c r="F34">
        <f>ROUND(AVERAGEIF('Alle woningen'!H2:H579,"Hoogeveen",'Alle woningen'!N2:N579),0)</f>
        <v>705000</v>
      </c>
      <c r="G34">
        <v>675000</v>
      </c>
      <c r="H34">
        <f>ROUND(AVERAGEIF('Alle woningen'!H2:H579,"Hoogeveen",'Alle woningen'!Q2:Q579),0)</f>
        <v>6143</v>
      </c>
      <c r="I34">
        <v>6168</v>
      </c>
      <c r="J34">
        <f>ROUND(AVERAGEIF('Alle woningen'!H2:H579,"Hoogeveen",'Alle woningen'!P2:P579),0)</f>
        <v>115</v>
      </c>
      <c r="K34">
        <v>8</v>
      </c>
      <c r="L34">
        <v>100</v>
      </c>
    </row>
    <row r="35">
      <c r="A35" t="str">
        <v>Hoorn</v>
      </c>
      <c r="B35">
        <f>COUNTIF('Alle woningen'!H2:H579,"Hoorn")</f>
        <v>1</v>
      </c>
      <c r="C35">
        <f>COUNTIFS('Alle woningen'!H2:H579,"Hoorn",'Alle woningen'!K2:K579,"Te koop")</f>
        <v>1</v>
      </c>
      <c r="D35">
        <f>COUNTIFS('Alle woningen'!H2:H579,"Hoorn",'Alle woningen'!K2:K579,"Verkocht")</f>
        <v>0</v>
      </c>
      <c r="E35">
        <f>COUNTIFS('Alle woningen'!H2:H579,"Hoorn",'Alle woningen'!K2:K579,"V.O.V.")</f>
        <v>0</v>
      </c>
      <c r="F35">
        <f>ROUND(AVERAGEIF('Alle woningen'!H2:H579,"Hoorn",'Alle woningen'!N2:N579),0)</f>
        <v>434250</v>
      </c>
      <c r="G35">
        <v>434250</v>
      </c>
      <c r="H35">
        <f>ROUND(AVERAGEIF('Alle woningen'!H2:H579,"Hoorn",'Alle woningen'!Q2:Q579),0)</f>
        <v>5428</v>
      </c>
      <c r="I35">
        <v>5428</v>
      </c>
      <c r="J35">
        <f>ROUND(AVERAGEIF('Alle woningen'!H2:H579,"Hoorn",'Alle woningen'!P2:P579),0)</f>
        <v>80</v>
      </c>
      <c r="K35">
        <v>0</v>
      </c>
      <c r="L35">
        <v>100</v>
      </c>
    </row>
    <row r="36">
      <c r="A36" t="str">
        <v>Hulst</v>
      </c>
      <c r="B36">
        <f>COUNTIF('Alle woningen'!H2:H579,"Hulst")</f>
        <v>6</v>
      </c>
      <c r="C36">
        <f>COUNTIFS('Alle woningen'!H2:H579,"Hulst",'Alle woningen'!K2:K579,"Te koop")</f>
        <v>6</v>
      </c>
      <c r="D36">
        <f>COUNTIFS('Alle woningen'!H2:H579,"Hulst",'Alle woningen'!K2:K579,"Verkocht")</f>
        <v>0</v>
      </c>
      <c r="E36">
        <f>COUNTIFS('Alle woningen'!H2:H579,"Hulst",'Alle woningen'!K2:K579,"V.O.V.")</f>
        <v>0</v>
      </c>
      <c r="F36">
        <f>ROUND(AVERAGEIF('Alle woningen'!H2:H579,"Hulst",'Alle woningen'!N2:N579),0)</f>
        <v>433233</v>
      </c>
      <c r="G36">
        <v>429900</v>
      </c>
      <c r="H36">
        <f>ROUND(AVERAGEIF('Alle woningen'!H2:H579,"Hulst",'Alle woningen'!Q2:Q579),0)</f>
        <v>4332</v>
      </c>
      <c r="I36">
        <v>4299</v>
      </c>
      <c r="J36">
        <f>ROUND(AVERAGEIF('Alle woningen'!H2:H579,"Hulst",'Alle woningen'!P2:P579),0)</f>
        <v>100</v>
      </c>
      <c r="K36">
        <v>0</v>
      </c>
      <c r="L36">
        <v>100</v>
      </c>
    </row>
    <row r="37">
      <c r="A37" t="str">
        <v>Landgraaf</v>
      </c>
      <c r="B37">
        <f>COUNTIF('Alle woningen'!H2:H579,"Landgraaf")</f>
        <v>13</v>
      </c>
      <c r="C37">
        <f>COUNTIFS('Alle woningen'!H2:H579,"Landgraaf",'Alle woningen'!K2:K579,"Te koop")</f>
        <v>13</v>
      </c>
      <c r="D37">
        <f>COUNTIFS('Alle woningen'!H2:H579,"Landgraaf",'Alle woningen'!K2:K579,"Verkocht")</f>
        <v>0</v>
      </c>
      <c r="E37">
        <f>COUNTIFS('Alle woningen'!H2:H579,"Landgraaf",'Alle woningen'!K2:K579,"V.O.V.")</f>
        <v>0</v>
      </c>
      <c r="F37">
        <f>ROUND(AVERAGEIF('Alle woningen'!H2:H579,"Landgraaf",'Alle woningen'!N2:N579),0)</f>
        <v>367315</v>
      </c>
      <c r="G37">
        <v>378450</v>
      </c>
      <c r="H37">
        <f>ROUND(AVERAGEIF('Alle woningen'!H2:H579,"Landgraaf",'Alle woningen'!Q2:Q579),0)</f>
        <v>4368</v>
      </c>
      <c r="I37">
        <v>4335</v>
      </c>
      <c r="J37">
        <f>ROUND(AVERAGEIF('Alle woningen'!H2:H579,"Landgraaf",'Alle woningen'!P2:P579),0)</f>
        <v>84</v>
      </c>
      <c r="K37">
        <v>7</v>
      </c>
      <c r="L37">
        <v>0</v>
      </c>
    </row>
    <row r="38">
      <c r="A38" t="str">
        <v>Lingewaard</v>
      </c>
      <c r="B38">
        <f>COUNTIF('Alle woningen'!H2:H579,"Lingewaard")</f>
        <v>1</v>
      </c>
      <c r="C38">
        <f>COUNTIFS('Alle woningen'!H2:H579,"Lingewaard",'Alle woningen'!K2:K579,"Te koop")</f>
        <v>1</v>
      </c>
      <c r="D38">
        <f>COUNTIFS('Alle woningen'!H2:H579,"Lingewaard",'Alle woningen'!K2:K579,"Verkocht")</f>
        <v>0</v>
      </c>
      <c r="E38">
        <f>COUNTIFS('Alle woningen'!H2:H579,"Lingewaard",'Alle woningen'!K2:K579,"V.O.V.")</f>
        <v>0</v>
      </c>
      <c r="F38">
        <f>ROUND(AVERAGEIF('Alle woningen'!H2:H579,"Lingewaard",'Alle woningen'!N2:N579),0)</f>
        <v>398000</v>
      </c>
      <c r="G38">
        <v>398000</v>
      </c>
      <c r="H38">
        <f>ROUND(AVERAGEIF('Alle woningen'!H2:H579,"Lingewaard",'Alle woningen'!Q2:Q579),0)</f>
        <v>5686</v>
      </c>
      <c r="I38">
        <v>5686</v>
      </c>
      <c r="J38">
        <f>ROUND(AVERAGEIF('Alle woningen'!H2:H579,"Lingewaard",'Alle woningen'!P2:P579),0)</f>
        <v>70</v>
      </c>
      <c r="K38">
        <v>0</v>
      </c>
      <c r="L38">
        <v>0</v>
      </c>
    </row>
    <row r="39">
      <c r="A39" t="str">
        <v>Lochem</v>
      </c>
      <c r="B39">
        <f>COUNTIF('Alle woningen'!H2:H579,"Lochem")</f>
        <v>6</v>
      </c>
      <c r="C39">
        <f>COUNTIFS('Alle woningen'!H2:H579,"Lochem",'Alle woningen'!K2:K579,"Te koop")</f>
        <v>6</v>
      </c>
      <c r="D39">
        <f>COUNTIFS('Alle woningen'!H2:H579,"Lochem",'Alle woningen'!K2:K579,"Verkocht")</f>
        <v>0</v>
      </c>
      <c r="E39">
        <f>COUNTIFS('Alle woningen'!H2:H579,"Lochem",'Alle woningen'!K2:K579,"V.O.V.")</f>
        <v>0</v>
      </c>
      <c r="F39">
        <f>ROUND(AVERAGEIF('Alle woningen'!H2:H579,"Lochem",'Alle woningen'!N2:N579),0)</f>
        <v>484817</v>
      </c>
      <c r="G39">
        <v>484500</v>
      </c>
      <c r="H39">
        <f>ROUND(AVERAGEIF('Alle woningen'!H2:H579,"Lochem",'Alle woningen'!Q2:Q579),0)</f>
        <v>5950</v>
      </c>
      <c r="I39">
        <v>5961</v>
      </c>
      <c r="J39">
        <f>ROUND(AVERAGEIF('Alle woningen'!H2:H579,"Lochem",'Alle woningen'!P2:P579),0)</f>
        <v>81</v>
      </c>
      <c r="K39">
        <v>7</v>
      </c>
      <c r="L39">
        <v>83.3</v>
      </c>
    </row>
    <row r="40">
      <c r="A40" t="str">
        <v>Losser</v>
      </c>
      <c r="B40">
        <f>COUNTIF('Alle woningen'!H2:H579,"Losser")</f>
        <v>3</v>
      </c>
      <c r="C40">
        <f>COUNTIFS('Alle woningen'!H2:H579,"Losser",'Alle woningen'!K2:K579,"Te koop")</f>
        <v>3</v>
      </c>
      <c r="D40">
        <f>COUNTIFS('Alle woningen'!H2:H579,"Losser",'Alle woningen'!K2:K579,"Verkocht")</f>
        <v>0</v>
      </c>
      <c r="E40">
        <f>COUNTIFS('Alle woningen'!H2:H579,"Losser",'Alle woningen'!K2:K579,"V.O.V.")</f>
        <v>0</v>
      </c>
      <c r="F40">
        <f>ROUND(AVERAGEIF('Alle woningen'!H2:H579,"Losser",'Alle woningen'!N2:N579),0)</f>
        <v>382833</v>
      </c>
      <c r="G40">
        <v>375000</v>
      </c>
      <c r="H40">
        <f>ROUND(AVERAGEIF('Alle woningen'!H2:H579,"Losser",'Alle woningen'!Q2:Q579),0)</f>
        <v>3567</v>
      </c>
      <c r="I40">
        <v>3676</v>
      </c>
      <c r="J40">
        <f>ROUND(AVERAGEIF('Alle woningen'!H2:H579,"Losser",'Alle woningen'!P2:P579),0)</f>
        <v>0</v>
      </c>
      <c r="K40">
        <v>7</v>
      </c>
      <c r="L40">
        <v>0</v>
      </c>
    </row>
    <row r="41">
      <c r="A41" t="str">
        <v>Maashorst</v>
      </c>
      <c r="B41">
        <f>COUNTIF('Alle woningen'!H2:H579,"Maashorst")</f>
        <v>1</v>
      </c>
      <c r="C41">
        <f>COUNTIFS('Alle woningen'!H2:H579,"Maashorst",'Alle woningen'!K2:K579,"Te koop")</f>
        <v>1</v>
      </c>
      <c r="D41">
        <f>COUNTIFS('Alle woningen'!H2:H579,"Maashorst",'Alle woningen'!K2:K579,"Verkocht")</f>
        <v>0</v>
      </c>
      <c r="E41">
        <f>COUNTIFS('Alle woningen'!H2:H579,"Maashorst",'Alle woningen'!K2:K579,"V.O.V.")</f>
        <v>0</v>
      </c>
      <c r="F41">
        <f>ROUND(AVERAGEIF('Alle woningen'!H2:H579,"Maashorst",'Alle woningen'!N2:N579),0)</f>
        <v>435000</v>
      </c>
      <c r="G41">
        <v>435000</v>
      </c>
      <c r="H41">
        <f>ROUND(AVERAGEIF('Alle woningen'!H2:H579,"Maashorst",'Alle woningen'!Q2:Q579),0)</f>
        <v>5370</v>
      </c>
      <c r="I41">
        <v>5370</v>
      </c>
      <c r="J41">
        <f>ROUND(AVERAGEIF('Alle woningen'!H2:H579,"Maashorst",'Alle woningen'!P2:P579),0)</f>
        <v>81</v>
      </c>
      <c r="K41">
        <v>0</v>
      </c>
      <c r="L41">
        <v>100</v>
      </c>
    </row>
    <row r="42">
      <c r="A42" t="str">
        <v>Maassluis</v>
      </c>
      <c r="B42">
        <f>COUNTIF('Alle woningen'!H2:H579,"Maassluis")</f>
        <v>46</v>
      </c>
      <c r="C42">
        <f>COUNTIFS('Alle woningen'!H2:H579,"Maassluis",'Alle woningen'!K2:K579,"Te koop")</f>
        <v>46</v>
      </c>
      <c r="D42">
        <f>COUNTIFS('Alle woningen'!H2:H579,"Maassluis",'Alle woningen'!K2:K579,"Verkocht")</f>
        <v>0</v>
      </c>
      <c r="E42">
        <f>COUNTIFS('Alle woningen'!H2:H579,"Maassluis",'Alle woningen'!K2:K579,"V.O.V.")</f>
        <v>0</v>
      </c>
      <c r="F42">
        <f>ROUND(AVERAGEIF('Alle woningen'!H2:H579,"Maassluis",'Alle woningen'!N2:N579),0)</f>
        <v>702228</v>
      </c>
      <c r="G42">
        <v>715000</v>
      </c>
      <c r="H42">
        <f>ROUND(AVERAGEIF('Alle woningen'!H2:H579,"Maassluis",'Alle woningen'!Q2:Q579),0)</f>
        <v>4720</v>
      </c>
      <c r="I42">
        <v>4647</v>
      </c>
      <c r="J42">
        <f>ROUND(AVERAGEIF('Alle woningen'!H2:H579,"Maassluis",'Alle woningen'!P2:P579),0)</f>
        <v>149</v>
      </c>
      <c r="K42">
        <v>7</v>
      </c>
      <c r="L42">
        <v>87</v>
      </c>
    </row>
    <row r="43">
      <c r="A43" t="str">
        <v>Midden-Groningen</v>
      </c>
      <c r="B43">
        <f>COUNTIF('Alle woningen'!H2:H579,"Midden-Groningen")</f>
        <v>3</v>
      </c>
      <c r="C43">
        <f>COUNTIFS('Alle woningen'!H2:H579,"Midden-Groningen",'Alle woningen'!K2:K579,"Te koop")</f>
        <v>3</v>
      </c>
      <c r="D43">
        <f>COUNTIFS('Alle woningen'!H2:H579,"Midden-Groningen",'Alle woningen'!K2:K579,"Verkocht")</f>
        <v>0</v>
      </c>
      <c r="E43">
        <f>COUNTIFS('Alle woningen'!H2:H579,"Midden-Groningen",'Alle woningen'!K2:K579,"V.O.V.")</f>
        <v>0</v>
      </c>
      <c r="F43">
        <f>ROUND(AVERAGEIF('Alle woningen'!H2:H579,"Midden-Groningen",'Alle woningen'!N2:N579),0)</f>
        <v>381667</v>
      </c>
      <c r="G43">
        <v>355000</v>
      </c>
      <c r="H43">
        <f>ROUND(AVERAGEIF('Alle woningen'!H2:H579,"Midden-Groningen",'Alle woningen'!Q2:Q579),0)</f>
        <v>3622</v>
      </c>
      <c r="I43">
        <v>3381</v>
      </c>
      <c r="J43">
        <f>ROUND(AVERAGEIF('Alle woningen'!H2:H579,"Midden-Groningen",'Alle woningen'!P2:P579),0)</f>
        <v>108</v>
      </c>
      <c r="K43">
        <v>0</v>
      </c>
      <c r="L43">
        <v>100</v>
      </c>
    </row>
    <row r="44">
      <c r="A44" t="str">
        <v>Neder-Betuwe</v>
      </c>
      <c r="B44">
        <f>COUNTIF('Alle woningen'!H2:H579,"Neder-Betuwe")</f>
        <v>1</v>
      </c>
      <c r="C44">
        <f>COUNTIFS('Alle woningen'!H2:H579,"Neder-Betuwe",'Alle woningen'!K2:K579,"Te koop")</f>
        <v>0</v>
      </c>
      <c r="D44">
        <f>COUNTIFS('Alle woningen'!H2:H579,"Neder-Betuwe",'Alle woningen'!K2:K579,"Verkocht")</f>
        <v>0</v>
      </c>
      <c r="E44">
        <f>COUNTIFS('Alle woningen'!H2:H579,"Neder-Betuwe",'Alle woningen'!K2:K579,"V.O.V.")</f>
        <v>1</v>
      </c>
      <c r="F44">
        <f>ROUND(AVERAGEIF('Alle woningen'!H2:H579,"Neder-Betuwe",'Alle woningen'!N2:N579),0)</f>
        <v>545000</v>
      </c>
      <c r="G44">
        <v>545000</v>
      </c>
      <c r="H44">
        <f>ROUND(AVERAGEIF('Alle woningen'!H2:H579,"Neder-Betuwe",'Alle woningen'!Q2:Q579),0)</f>
        <v>4580</v>
      </c>
      <c r="I44">
        <v>4580</v>
      </c>
      <c r="J44">
        <f>ROUND(AVERAGEIF('Alle woningen'!H2:H579,"Neder-Betuwe",'Alle woningen'!P2:P579),0)</f>
        <v>119</v>
      </c>
      <c r="K44">
        <v>0</v>
      </c>
      <c r="L44">
        <v>100</v>
      </c>
    </row>
    <row r="45">
      <c r="A45" t="str">
        <v>Nissewaard</v>
      </c>
      <c r="B45">
        <f>COUNTIF('Alle woningen'!H2:H579,"Nissewaard")</f>
        <v>12</v>
      </c>
      <c r="C45">
        <f>COUNTIFS('Alle woningen'!H2:H579,"Nissewaard",'Alle woningen'!K2:K579,"Te koop")</f>
        <v>12</v>
      </c>
      <c r="D45">
        <f>COUNTIFS('Alle woningen'!H2:H579,"Nissewaard",'Alle woningen'!K2:K579,"Verkocht")</f>
        <v>0</v>
      </c>
      <c r="E45">
        <f>COUNTIFS('Alle woningen'!H2:H579,"Nissewaard",'Alle woningen'!K2:K579,"V.O.V.")</f>
        <v>0</v>
      </c>
      <c r="F45">
        <f>ROUND(AVERAGEIF('Alle woningen'!H2:H579,"Nissewaard",'Alle woningen'!N2:N579),0)</f>
        <v>351667</v>
      </c>
      <c r="G45">
        <v>360000</v>
      </c>
      <c r="H45">
        <f>ROUND(AVERAGEIF('Alle woningen'!H2:H579,"Nissewaard",'Alle woningen'!Q2:Q579),0)</f>
        <v>5516</v>
      </c>
      <c r="I45">
        <v>5538</v>
      </c>
      <c r="J45">
        <f>ROUND(AVERAGEIF('Alle woningen'!H2:H579,"Nissewaard",'Alle woningen'!P2:P579),0)</f>
        <v>64</v>
      </c>
      <c r="K45">
        <v>7</v>
      </c>
      <c r="L45">
        <v>100</v>
      </c>
    </row>
    <row r="46">
      <c r="A46" t="str">
        <v>Onbekend</v>
      </c>
      <c r="B46">
        <f>COUNTIF('Alle woningen'!H2:H579,"Onbekend")</f>
        <v>1</v>
      </c>
      <c r="C46">
        <f>COUNTIFS('Alle woningen'!H2:H579,"Onbekend",'Alle woningen'!K2:K579,"Te koop")</f>
        <v>1</v>
      </c>
      <c r="D46">
        <f>COUNTIFS('Alle woningen'!H2:H579,"Onbekend",'Alle woningen'!K2:K579,"Verkocht")</f>
        <v>0</v>
      </c>
      <c r="E46">
        <f>COUNTIFS('Alle woningen'!H2:H579,"Onbekend",'Alle woningen'!K2:K579,"V.O.V.")</f>
        <v>0</v>
      </c>
      <c r="F46">
        <f>ROUND(AVERAGEIF('Alle woningen'!H2:H579,"Onbekend",'Alle woningen'!N2:N579),0)</f>
        <v>718000</v>
      </c>
      <c r="G46">
        <v>718000</v>
      </c>
      <c r="H46">
        <f>ROUND(AVERAGEIF('Alle woningen'!H2:H579,"Onbekend",'Alle woningen'!Q2:Q579),0)</f>
        <v>4952</v>
      </c>
      <c r="I46">
        <v>4952</v>
      </c>
      <c r="J46">
        <f>ROUND(AVERAGEIF('Alle woningen'!H2:H579,"Onbekend",'Alle woningen'!P2:P579),0)</f>
        <v>145</v>
      </c>
      <c r="K46">
        <v>2</v>
      </c>
      <c r="L46">
        <v>0</v>
      </c>
    </row>
    <row r="47">
      <c r="A47" t="str">
        <v>Oost Gelre</v>
      </c>
      <c r="B47">
        <f>COUNTIF('Alle woningen'!H2:H579,"Oost Gelre")</f>
        <v>2</v>
      </c>
      <c r="C47">
        <f>COUNTIFS('Alle woningen'!H2:H579,"Oost Gelre",'Alle woningen'!K2:K579,"Te koop")</f>
        <v>2</v>
      </c>
      <c r="D47">
        <f>COUNTIFS('Alle woningen'!H2:H579,"Oost Gelre",'Alle woningen'!K2:K579,"Verkocht")</f>
        <v>0</v>
      </c>
      <c r="E47">
        <f>COUNTIFS('Alle woningen'!H2:H579,"Oost Gelre",'Alle woningen'!K2:K579,"V.O.V.")</f>
        <v>0</v>
      </c>
      <c r="F47">
        <f>ROUND(AVERAGEIF('Alle woningen'!H2:H579,"Oost Gelre",'Alle woningen'!N2:N579),0)</f>
        <v>553250</v>
      </c>
      <c r="G47">
        <v>553250</v>
      </c>
      <c r="H47">
        <f>ROUND(AVERAGEIF('Alle woningen'!H2:H579,"Oost Gelre",'Alle woningen'!Q2:Q579),0)</f>
        <v>4039</v>
      </c>
      <c r="I47">
        <v>4039</v>
      </c>
      <c r="J47">
        <f>ROUND(AVERAGEIF('Alle woningen'!H2:H579,"Oost Gelre",'Alle woningen'!P2:P579),0)</f>
        <v>137</v>
      </c>
      <c r="K47">
        <v>0</v>
      </c>
      <c r="L47">
        <v>100</v>
      </c>
    </row>
    <row r="48">
      <c r="A48" t="str">
        <v>Overbetuwe</v>
      </c>
      <c r="B48">
        <f>COUNTIF('Alle woningen'!H2:H579,"Overbetuwe")</f>
        <v>4</v>
      </c>
      <c r="C48">
        <f>COUNTIFS('Alle woningen'!H2:H579,"Overbetuwe",'Alle woningen'!K2:K579,"Te koop")</f>
        <v>4</v>
      </c>
      <c r="D48">
        <f>COUNTIFS('Alle woningen'!H2:H579,"Overbetuwe",'Alle woningen'!K2:K579,"Verkocht")</f>
        <v>0</v>
      </c>
      <c r="E48">
        <f>COUNTIFS('Alle woningen'!H2:H579,"Overbetuwe",'Alle woningen'!K2:K579,"V.O.V.")</f>
        <v>0</v>
      </c>
      <c r="F48">
        <f>ROUND(AVERAGEIF('Alle woningen'!H2:H579,"Overbetuwe",'Alle woningen'!N2:N579),0)</f>
        <v>427000</v>
      </c>
      <c r="G48">
        <v>427000</v>
      </c>
      <c r="H48">
        <f>ROUND(AVERAGEIF('Alle woningen'!H2:H579,"Overbetuwe",'Alle woningen'!Q2:Q579),0)</f>
        <v>4744</v>
      </c>
      <c r="I48">
        <v>4744</v>
      </c>
      <c r="J48">
        <f>ROUND(AVERAGEIF('Alle woningen'!H2:H579,"Overbetuwe",'Alle woningen'!P2:P579),0)</f>
        <v>90</v>
      </c>
      <c r="K48">
        <v>0</v>
      </c>
      <c r="L48">
        <v>100</v>
      </c>
    </row>
    <row r="49">
      <c r="A49" t="str">
        <v>Purmerend</v>
      </c>
      <c r="B49">
        <f>COUNTIF('Alle woningen'!H2:H579,"Purmerend")</f>
        <v>4</v>
      </c>
      <c r="C49">
        <f>COUNTIFS('Alle woningen'!H2:H579,"Purmerend",'Alle woningen'!K2:K579,"Te koop")</f>
        <v>4</v>
      </c>
      <c r="D49">
        <f>COUNTIFS('Alle woningen'!H2:H579,"Purmerend",'Alle woningen'!K2:K579,"Verkocht")</f>
        <v>0</v>
      </c>
      <c r="E49">
        <f>COUNTIFS('Alle woningen'!H2:H579,"Purmerend",'Alle woningen'!K2:K579,"V.O.V.")</f>
        <v>0</v>
      </c>
      <c r="F49">
        <f>ROUND(AVERAGEIF('Alle woningen'!H2:H579,"Purmerend",'Alle woningen'!N2:N579),0)</f>
        <v>674375</v>
      </c>
      <c r="G49">
        <v>547500</v>
      </c>
      <c r="H49">
        <f>ROUND(AVERAGEIF('Alle woningen'!H2:H579,"Purmerend",'Alle woningen'!Q2:Q579),0)</f>
        <v>5821</v>
      </c>
      <c r="I49">
        <v>6366</v>
      </c>
      <c r="J49">
        <f>ROUND(AVERAGEIF('Alle woningen'!H2:H579,"Purmerend",'Alle woningen'!P2:P579),0)</f>
        <v>132</v>
      </c>
      <c r="K49">
        <v>0</v>
      </c>
      <c r="L49">
        <v>100</v>
      </c>
    </row>
    <row r="50">
      <c r="A50" t="str">
        <v>Roermond</v>
      </c>
      <c r="B50">
        <f>COUNTIF('Alle woningen'!H2:H579,"Roermond")</f>
        <v>6</v>
      </c>
      <c r="C50">
        <f>COUNTIFS('Alle woningen'!H2:H579,"Roermond",'Alle woningen'!K2:K579,"Te koop")</f>
        <v>4</v>
      </c>
      <c r="D50">
        <f>COUNTIFS('Alle woningen'!H2:H579,"Roermond",'Alle woningen'!K2:K579,"Verkocht")</f>
        <v>0</v>
      </c>
      <c r="E50">
        <f>COUNTIFS('Alle woningen'!H2:H579,"Roermond",'Alle woningen'!K2:K579,"V.O.V.")</f>
        <v>2</v>
      </c>
      <c r="F50">
        <f>ROUND(AVERAGEIF('Alle woningen'!H2:H579,"Roermond",'Alle woningen'!N2:N579),0)</f>
        <v>420000</v>
      </c>
      <c r="G50">
        <v>420000</v>
      </c>
      <c r="H50">
        <f>ROUND(AVERAGEIF('Alle woningen'!H2:H579,"Roermond",'Alle woningen'!Q2:Q579),0)</f>
        <v>3684</v>
      </c>
      <c r="I50">
        <v>3684</v>
      </c>
      <c r="J50">
        <f>ROUND(AVERAGEIF('Alle woningen'!H2:H579,"Roermond",'Alle woningen'!P2:P579),0)</f>
        <v>114</v>
      </c>
      <c r="K50">
        <v>0</v>
      </c>
      <c r="L50">
        <v>100</v>
      </c>
    </row>
    <row r="51">
      <c r="A51" t="str">
        <v>Rotterdam</v>
      </c>
      <c r="B51">
        <f>COUNTIF('Alle woningen'!H2:H579,"Rotterdam")</f>
        <v>3</v>
      </c>
      <c r="C51">
        <f>COUNTIFS('Alle woningen'!H2:H579,"Rotterdam",'Alle woningen'!K2:K579,"Te koop")</f>
        <v>3</v>
      </c>
      <c r="D51">
        <f>COUNTIFS('Alle woningen'!H2:H579,"Rotterdam",'Alle woningen'!K2:K579,"Verkocht")</f>
        <v>0</v>
      </c>
      <c r="E51">
        <f>COUNTIFS('Alle woningen'!H2:H579,"Rotterdam",'Alle woningen'!K2:K579,"V.O.V.")</f>
        <v>0</v>
      </c>
      <c r="F51">
        <f>ROUND(AVERAGEIF('Alle woningen'!H2:H579,"Rotterdam",'Alle woningen'!N2:N579),0)</f>
        <v>408333</v>
      </c>
      <c r="G51">
        <v>375000</v>
      </c>
      <c r="H51">
        <f>ROUND(AVERAGEIF('Alle woningen'!H2:H579,"Rotterdam",'Alle woningen'!Q2:Q579),0)</f>
        <v>7663</v>
      </c>
      <c r="I51">
        <v>7500</v>
      </c>
      <c r="J51">
        <f>ROUND(AVERAGEIF('Alle woningen'!H2:H579,"Rotterdam",'Alle woningen'!P2:P579),0)</f>
        <v>53</v>
      </c>
      <c r="K51">
        <v>0</v>
      </c>
      <c r="L51">
        <v>100</v>
      </c>
    </row>
    <row r="52">
      <c r="A52" t="str">
        <v>Sittard-Geleen</v>
      </c>
      <c r="B52">
        <f>COUNTIF('Alle woningen'!H2:H579,"Sittard-Geleen")</f>
        <v>5</v>
      </c>
      <c r="C52">
        <f>COUNTIFS('Alle woningen'!H2:H579,"Sittard-Geleen",'Alle woningen'!K2:K579,"Te koop")</f>
        <v>5</v>
      </c>
      <c r="D52">
        <f>COUNTIFS('Alle woningen'!H2:H579,"Sittard-Geleen",'Alle woningen'!K2:K579,"Verkocht")</f>
        <v>0</v>
      </c>
      <c r="E52">
        <f>COUNTIFS('Alle woningen'!H2:H579,"Sittard-Geleen",'Alle woningen'!K2:K579,"V.O.V.")</f>
        <v>0</v>
      </c>
      <c r="F52">
        <f>ROUND(AVERAGEIF('Alle woningen'!H2:H579,"Sittard-Geleen",'Alle woningen'!N2:N579),0)</f>
        <v>411175</v>
      </c>
      <c r="G52">
        <v>398000</v>
      </c>
      <c r="H52">
        <f>ROUND(AVERAGEIF('Alle woningen'!H2:H579,"Sittard-Geleen",'Alle woningen'!Q2:Q579),0)</f>
        <v>3607</v>
      </c>
      <c r="I52">
        <v>3578</v>
      </c>
      <c r="J52">
        <f>ROUND(AVERAGEIF('Alle woningen'!H2:H579,"Sittard-Geleen",'Alle woningen'!P2:P579),0)</f>
        <v>114</v>
      </c>
      <c r="K52">
        <v>5</v>
      </c>
      <c r="L52">
        <v>100</v>
      </c>
    </row>
    <row r="53">
      <c r="A53" t="str">
        <v>Soest</v>
      </c>
      <c r="B53">
        <f>COUNTIF('Alle woningen'!H2:H579,"Soest")</f>
        <v>16</v>
      </c>
      <c r="C53">
        <f>COUNTIFS('Alle woningen'!H2:H579,"Soest",'Alle woningen'!K2:K579,"Te koop")</f>
        <v>16</v>
      </c>
      <c r="D53">
        <f>COUNTIFS('Alle woningen'!H2:H579,"Soest",'Alle woningen'!K2:K579,"Verkocht")</f>
        <v>0</v>
      </c>
      <c r="E53">
        <f>COUNTIFS('Alle woningen'!H2:H579,"Soest",'Alle woningen'!K2:K579,"V.O.V.")</f>
        <v>0</v>
      </c>
      <c r="F53">
        <f>ROUND(AVERAGEIF('Alle woningen'!H2:H579,"Soest",'Alle woningen'!N2:N579),0)</f>
        <v>293438</v>
      </c>
      <c r="G53">
        <v>275000</v>
      </c>
      <c r="H53">
        <f>ROUND(AVERAGEIF('Alle woningen'!H2:H579,"Soest",'Alle woningen'!Q2:Q579),0)</f>
        <v>5636</v>
      </c>
      <c r="I53">
        <v>5392</v>
      </c>
      <c r="J53">
        <f>ROUND(AVERAGEIF('Alle woningen'!H2:H579,"Soest",'Alle woningen'!P2:P579),0)</f>
        <v>52</v>
      </c>
      <c r="K53">
        <v>7</v>
      </c>
      <c r="L53">
        <v>100</v>
      </c>
    </row>
    <row r="54">
      <c r="A54" t="str">
        <v>Son en Breugel</v>
      </c>
      <c r="B54">
        <f>COUNTIF('Alle woningen'!H2:H579,"Son en Breugel")</f>
        <v>3</v>
      </c>
      <c r="C54">
        <f>COUNTIFS('Alle woningen'!H2:H579,"Son en Breugel",'Alle woningen'!K2:K579,"Te koop")</f>
        <v>3</v>
      </c>
      <c r="D54">
        <f>COUNTIFS('Alle woningen'!H2:H579,"Son en Breugel",'Alle woningen'!K2:K579,"Verkocht")</f>
        <v>0</v>
      </c>
      <c r="E54">
        <f>COUNTIFS('Alle woningen'!H2:H579,"Son en Breugel",'Alle woningen'!K2:K579,"V.O.V.")</f>
        <v>0</v>
      </c>
      <c r="F54">
        <f>ROUND(AVERAGEIF('Alle woningen'!H2:H579,"Son en Breugel",'Alle woningen'!N2:N579),0)</f>
        <v>1750000</v>
      </c>
      <c r="G54">
        <v>1460000</v>
      </c>
      <c r="H54">
        <f>ROUND(AVERAGEIF('Alle woningen'!H2:H579,"Son en Breugel",'Alle woningen'!Q2:Q579),0)</f>
        <v>8131</v>
      </c>
      <c r="I54">
        <v>7978</v>
      </c>
      <c r="J54">
        <f>ROUND(AVERAGEIF('Alle woningen'!H2:H579,"Son en Breugel",'Alle woningen'!P2:P579),0)</f>
        <v>0</v>
      </c>
      <c r="K54">
        <v>0</v>
      </c>
      <c r="L54">
        <v>0</v>
      </c>
    </row>
    <row r="55">
      <c r="A55" t="str">
        <v>Valkenswaard</v>
      </c>
      <c r="B55">
        <f>COUNTIF('Alle woningen'!H2:H579,"Valkenswaard")</f>
        <v>1</v>
      </c>
      <c r="C55">
        <f>COUNTIFS('Alle woningen'!H2:H579,"Valkenswaard",'Alle woningen'!K2:K579,"Te koop")</f>
        <v>1</v>
      </c>
      <c r="D55">
        <f>COUNTIFS('Alle woningen'!H2:H579,"Valkenswaard",'Alle woningen'!K2:K579,"Verkocht")</f>
        <v>0</v>
      </c>
      <c r="E55">
        <f>COUNTIFS('Alle woningen'!H2:H579,"Valkenswaard",'Alle woningen'!K2:K579,"V.O.V.")</f>
        <v>0</v>
      </c>
      <c r="F55">
        <f>ROUND(AVERAGEIF('Alle woningen'!H2:H579,"Valkenswaard",'Alle woningen'!N2:N579),0)</f>
        <v>420000</v>
      </c>
      <c r="G55">
        <v>420000</v>
      </c>
      <c r="H55">
        <f>ROUND(AVERAGEIF('Alle woningen'!H2:H579,"Valkenswaard",'Alle woningen'!Q2:Q579),0)</f>
        <v>4330</v>
      </c>
      <c r="I55">
        <v>4330</v>
      </c>
      <c r="J55">
        <f>ROUND(AVERAGEIF('Alle woningen'!H2:H579,"Valkenswaard",'Alle woningen'!P2:P579),0)</f>
        <v>97</v>
      </c>
      <c r="K55">
        <v>0</v>
      </c>
      <c r="L55">
        <v>100</v>
      </c>
    </row>
    <row r="56">
      <c r="A56" t="str">
        <v>Veenendaal</v>
      </c>
      <c r="B56">
        <f>COUNTIF('Alle woningen'!H2:H579,"Veenendaal")</f>
        <v>56</v>
      </c>
      <c r="C56">
        <f>COUNTIFS('Alle woningen'!H2:H579,"Veenendaal",'Alle woningen'!K2:K579,"Te koop")</f>
        <v>56</v>
      </c>
      <c r="D56">
        <f>COUNTIFS('Alle woningen'!H2:H579,"Veenendaal",'Alle woningen'!K2:K579,"Verkocht")</f>
        <v>0</v>
      </c>
      <c r="E56">
        <f>COUNTIFS('Alle woningen'!H2:H579,"Veenendaal",'Alle woningen'!K2:K579,"V.O.V.")</f>
        <v>0</v>
      </c>
      <c r="F56">
        <f>ROUND(AVERAGEIF('Alle woningen'!H2:H579,"Veenendaal",'Alle woningen'!N2:N579),0)</f>
        <v>534786</v>
      </c>
      <c r="G56">
        <v>502250</v>
      </c>
      <c r="H56">
        <f>ROUND(AVERAGEIF('Alle woningen'!H2:H579,"Veenendaal",'Alle woningen'!Q2:Q579),0)</f>
        <v>5452</v>
      </c>
      <c r="I56">
        <v>5439</v>
      </c>
      <c r="J56">
        <f>ROUND(AVERAGEIF('Alle woningen'!H2:H579,"Veenendaal",'Alle woningen'!P2:P579),0)</f>
        <v>102</v>
      </c>
      <c r="K56">
        <v>7</v>
      </c>
      <c r="L56">
        <v>42.9</v>
      </c>
    </row>
    <row r="57">
      <c r="A57" t="str">
        <v>Venlo</v>
      </c>
      <c r="B57">
        <f>COUNTIF('Alle woningen'!H2:H579,"Venlo")</f>
        <v>1</v>
      </c>
      <c r="C57">
        <f>COUNTIFS('Alle woningen'!H2:H579,"Venlo",'Alle woningen'!K2:K579,"Te koop")</f>
        <v>1</v>
      </c>
      <c r="D57">
        <f>COUNTIFS('Alle woningen'!H2:H579,"Venlo",'Alle woningen'!K2:K579,"Verkocht")</f>
        <v>0</v>
      </c>
      <c r="E57">
        <f>COUNTIFS('Alle woningen'!H2:H579,"Venlo",'Alle woningen'!K2:K579,"V.O.V.")</f>
        <v>0</v>
      </c>
      <c r="F57">
        <f>ROUND(AVERAGEIF('Alle woningen'!H2:H579,"Venlo",'Alle woningen'!N2:N579),0)</f>
        <v>445000</v>
      </c>
      <c r="G57">
        <v>445000</v>
      </c>
      <c r="H57">
        <f>ROUND(AVERAGEIF('Alle woningen'!H2:H579,"Venlo",'Alle woningen'!Q2:Q579),0)</f>
        <v>6268</v>
      </c>
      <c r="I57">
        <v>6268</v>
      </c>
      <c r="J57">
        <f>ROUND(AVERAGEIF('Alle woningen'!H2:H579,"Venlo",'Alle woningen'!P2:P579),0)</f>
        <v>71</v>
      </c>
      <c r="K57">
        <v>0</v>
      </c>
      <c r="L57">
        <v>100</v>
      </c>
    </row>
    <row r="58">
      <c r="A58" t="str">
        <v>Venray</v>
      </c>
      <c r="B58">
        <f>COUNTIF('Alle woningen'!H2:H579,"Venray")</f>
        <v>12</v>
      </c>
      <c r="C58">
        <f>COUNTIFS('Alle woningen'!H2:H579,"Venray",'Alle woningen'!K2:K579,"Te koop")</f>
        <v>12</v>
      </c>
      <c r="D58">
        <f>COUNTIFS('Alle woningen'!H2:H579,"Venray",'Alle woningen'!K2:K579,"Verkocht")</f>
        <v>0</v>
      </c>
      <c r="E58">
        <f>COUNTIFS('Alle woningen'!H2:H579,"Venray",'Alle woningen'!K2:K579,"V.O.V.")</f>
        <v>0</v>
      </c>
      <c r="F58">
        <f>ROUND(AVERAGEIF('Alle woningen'!H2:H579,"Venray",'Alle woningen'!N2:N579),0)</f>
        <v>835000</v>
      </c>
      <c r="G58">
        <v>845000</v>
      </c>
      <c r="H58">
        <f>ROUND(AVERAGEIF('Alle woningen'!H2:H579,"Venray",'Alle woningen'!Q2:Q579),0)</f>
        <v>6134</v>
      </c>
      <c r="I58">
        <v>6141</v>
      </c>
      <c r="J58">
        <f>ROUND(AVERAGEIF('Alle woningen'!H2:H579,"Venray",'Alle woningen'!P2:P579),0)</f>
        <v>136</v>
      </c>
      <c r="K58">
        <v>4</v>
      </c>
      <c r="L58">
        <v>100</v>
      </c>
    </row>
    <row r="59">
      <c r="A59" t="str">
        <v>Vlaardingen</v>
      </c>
      <c r="B59">
        <f>COUNTIF('Alle woningen'!H2:H579,"Vlaardingen")</f>
        <v>1</v>
      </c>
      <c r="C59">
        <f>COUNTIFS('Alle woningen'!H2:H579,"Vlaardingen",'Alle woningen'!K2:K579,"Te koop")</f>
        <v>1</v>
      </c>
      <c r="D59">
        <f>COUNTIFS('Alle woningen'!H2:H579,"Vlaardingen",'Alle woningen'!K2:K579,"Verkocht")</f>
        <v>0</v>
      </c>
      <c r="E59">
        <f>COUNTIFS('Alle woningen'!H2:H579,"Vlaardingen",'Alle woningen'!K2:K579,"V.O.V.")</f>
        <v>0</v>
      </c>
      <c r="F59">
        <f>ROUND(AVERAGEIF('Alle woningen'!H2:H579,"Vlaardingen",'Alle woningen'!N2:N579),0)</f>
        <v>875052</v>
      </c>
      <c r="G59">
        <v>875052</v>
      </c>
      <c r="H59">
        <f>ROUND(AVERAGEIF('Alle woningen'!H2:H579,"Vlaardingen",'Alle woningen'!Q2:Q579),0)</f>
        <v>5209</v>
      </c>
      <c r="I59">
        <v>5209</v>
      </c>
      <c r="J59">
        <f>ROUND(AVERAGEIF('Alle woningen'!H2:H579,"Vlaardingen",'Alle woningen'!P2:P579),0)</f>
        <v>168</v>
      </c>
      <c r="K59">
        <v>0</v>
      </c>
      <c r="L59">
        <v>100</v>
      </c>
    </row>
    <row r="60">
      <c r="A60" t="str">
        <v>Voorne aan Zee</v>
      </c>
      <c r="B60">
        <f>COUNTIF('Alle woningen'!H2:H579,"Voorne aan Zee")</f>
        <v>25</v>
      </c>
      <c r="C60">
        <f>COUNTIFS('Alle woningen'!H2:H579,"Voorne aan Zee",'Alle woningen'!K2:K579,"Te koop")</f>
        <v>25</v>
      </c>
      <c r="D60">
        <f>COUNTIFS('Alle woningen'!H2:H579,"Voorne aan Zee",'Alle woningen'!K2:K579,"Verkocht")</f>
        <v>0</v>
      </c>
      <c r="E60">
        <f>COUNTIFS('Alle woningen'!H2:H579,"Voorne aan Zee",'Alle woningen'!K2:K579,"V.O.V.")</f>
        <v>0</v>
      </c>
      <c r="F60">
        <f>ROUND(AVERAGEIF('Alle woningen'!H2:H579,"Voorne aan Zee",'Alle woningen'!N2:N579),0)</f>
        <v>617500</v>
      </c>
      <c r="G60">
        <v>577500</v>
      </c>
      <c r="H60">
        <f>ROUND(AVERAGEIF('Alle woningen'!H2:H579,"Voorne aan Zee",'Alle woningen'!Q2:Q579),0)</f>
        <v>4398</v>
      </c>
      <c r="I60">
        <v>4163</v>
      </c>
      <c r="J60">
        <f>ROUND(AVERAGEIF('Alle woningen'!H2:H579,"Voorne aan Zee",'Alle woningen'!P2:P579),0)</f>
        <v>140</v>
      </c>
      <c r="K60">
        <v>5</v>
      </c>
      <c r="L60">
        <v>100</v>
      </c>
    </row>
    <row r="61">
      <c r="A61" t="str">
        <v>Waalre</v>
      </c>
      <c r="B61">
        <f>COUNTIF('Alle woningen'!H2:H579,"Waalre")</f>
        <v>67</v>
      </c>
      <c r="C61">
        <f>COUNTIFS('Alle woningen'!H2:H579,"Waalre",'Alle woningen'!K2:K579,"Te koop")</f>
        <v>67</v>
      </c>
      <c r="D61">
        <f>COUNTIFS('Alle woningen'!H2:H579,"Waalre",'Alle woningen'!K2:K579,"Verkocht")</f>
        <v>0</v>
      </c>
      <c r="E61">
        <f>COUNTIFS('Alle woningen'!H2:H579,"Waalre",'Alle woningen'!K2:K579,"V.O.V.")</f>
        <v>0</v>
      </c>
      <c r="F61">
        <f>ROUND(AVERAGEIF('Alle woningen'!H2:H579,"Waalre",'Alle woningen'!N2:N579),0)</f>
        <v>603963</v>
      </c>
      <c r="G61">
        <v>347000</v>
      </c>
      <c r="H61">
        <f>ROUND(AVERAGEIF('Alle woningen'!H2:H579,"Waalre",'Alle woningen'!Q2:Q579),0)</f>
        <v>6824</v>
      </c>
      <c r="I61">
        <v>6806</v>
      </c>
      <c r="J61">
        <f>ROUND(AVERAGEIF('Alle woningen'!H2:H579,"Waalre",'Alle woningen'!P2:P579),0)</f>
        <v>89</v>
      </c>
      <c r="K61">
        <v>4</v>
      </c>
      <c r="L61">
        <v>100</v>
      </c>
    </row>
    <row r="62">
      <c r="A62" t="str">
        <v>Westland</v>
      </c>
      <c r="B62">
        <f>COUNTIF('Alle woningen'!H2:H579,"Westland")</f>
        <v>7</v>
      </c>
      <c r="C62">
        <f>COUNTIFS('Alle woningen'!H2:H579,"Westland",'Alle woningen'!K2:K579,"Te koop")</f>
        <v>7</v>
      </c>
      <c r="D62">
        <f>COUNTIFS('Alle woningen'!H2:H579,"Westland",'Alle woningen'!K2:K579,"Verkocht")</f>
        <v>0</v>
      </c>
      <c r="E62">
        <f>COUNTIFS('Alle woningen'!H2:H579,"Westland",'Alle woningen'!K2:K579,"V.O.V.")</f>
        <v>0</v>
      </c>
      <c r="F62">
        <f>ROUND(AVERAGEIF('Alle woningen'!H2:H579,"Westland",'Alle woningen'!N2:N579),0)</f>
        <v>1015000</v>
      </c>
      <c r="G62">
        <v>965000</v>
      </c>
      <c r="H62">
        <f>ROUND(AVERAGEIF('Alle woningen'!H2:H579,"Westland",'Alle woningen'!Q2:Q579),0)</f>
        <v>5530</v>
      </c>
      <c r="I62">
        <v>5331</v>
      </c>
      <c r="J62">
        <f>ROUND(AVERAGEIF('Alle woningen'!H2:H579,"Westland",'Alle woningen'!P2:P579),0)</f>
        <v>183</v>
      </c>
      <c r="K62">
        <v>5</v>
      </c>
      <c r="L62">
        <v>100</v>
      </c>
    </row>
    <row r="63">
      <c r="A63" t="str">
        <v>Woerden</v>
      </c>
      <c r="B63">
        <f>COUNTIF('Alle woningen'!H2:H579,"Woerden")</f>
        <v>8</v>
      </c>
      <c r="C63">
        <f>COUNTIFS('Alle woningen'!H2:H579,"Woerden",'Alle woningen'!K2:K579,"Te koop")</f>
        <v>8</v>
      </c>
      <c r="D63">
        <f>COUNTIFS('Alle woningen'!H2:H579,"Woerden",'Alle woningen'!K2:K579,"Verkocht")</f>
        <v>0</v>
      </c>
      <c r="E63">
        <f>COUNTIFS('Alle woningen'!H2:H579,"Woerden",'Alle woningen'!K2:K579,"V.O.V.")</f>
        <v>0</v>
      </c>
      <c r="F63">
        <f>ROUND(AVERAGEIF('Alle woningen'!H2:H579,"Woerden",'Alle woningen'!N2:N579),0)</f>
        <v>374250</v>
      </c>
      <c r="G63">
        <v>369000</v>
      </c>
      <c r="H63">
        <f>ROUND(AVERAGEIF('Alle woningen'!H2:H579,"Woerden",'Alle woningen'!Q2:Q579),0)</f>
        <v>5424</v>
      </c>
      <c r="I63">
        <v>5348</v>
      </c>
      <c r="J63">
        <f>ROUND(AVERAGEIF('Alle woningen'!H2:H579,"Woerden",'Alle woningen'!P2:P579),0)</f>
        <v>69</v>
      </c>
      <c r="K63">
        <v>5</v>
      </c>
      <c r="L63">
        <v>100</v>
      </c>
    </row>
    <row r="64">
      <c r="A64" t="str">
        <v>Zevenaar</v>
      </c>
      <c r="B64">
        <f>COUNTIF('Alle woningen'!H2:H579,"Zevenaar")</f>
        <v>1</v>
      </c>
      <c r="C64">
        <f>COUNTIFS('Alle woningen'!H2:H579,"Zevenaar",'Alle woningen'!K2:K579,"Te koop")</f>
        <v>1</v>
      </c>
      <c r="D64">
        <f>COUNTIFS('Alle woningen'!H2:H579,"Zevenaar",'Alle woningen'!K2:K579,"Verkocht")</f>
        <v>0</v>
      </c>
      <c r="E64">
        <f>COUNTIFS('Alle woningen'!H2:H579,"Zevenaar",'Alle woningen'!K2:K579,"V.O.V.")</f>
        <v>0</v>
      </c>
      <c r="F64">
        <f>ROUND(AVERAGEIF('Alle woningen'!H2:H579,"Zevenaar",'Alle woningen'!N2:N579),0)</f>
        <v>287500</v>
      </c>
      <c r="G64">
        <v>287500</v>
      </c>
      <c r="H64">
        <f>ROUND(AVERAGEIF('Alle woningen'!H2:H579,"Zevenaar",'Alle woningen'!Q2:Q579),0)</f>
        <v>5637</v>
      </c>
      <c r="I64">
        <v>5637</v>
      </c>
      <c r="J64">
        <f>ROUND(AVERAGEIF('Alle woningen'!H2:H579,"Zevenaar",'Alle woningen'!P2:P579),0)</f>
        <v>51</v>
      </c>
      <c r="K64">
        <v>4</v>
      </c>
      <c r="L64">
        <v>100</v>
      </c>
    </row>
  </sheetData>
  <autoFilter ref="A1:L64"/>
  <ignoredErrors>
    <ignoredError numberStoredAsText="1" sqref="A1:L6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0.83203125" customWidth="1"/>
  </cols>
  <sheetData>
    <row r="1">
      <c r="A1" t="str">
        <v>Gemeente</v>
      </c>
      <c r="B1" t="str">
        <v>Vrijstaande woning</v>
      </c>
      <c r="C1" t="str">
        <v>2-onder-1-kapwoning</v>
      </c>
      <c r="D1" t="str">
        <v>Hoekwoning</v>
      </c>
      <c r="E1" t="str">
        <v>Tussenwoning</v>
      </c>
      <c r="F1" t="str">
        <v>Eindwoning</v>
      </c>
      <c r="G1" t="str">
        <v>Geschakelde woning</v>
      </c>
      <c r="H1" t="str">
        <v>Herenhuis</v>
      </c>
      <c r="I1" t="str">
        <v>Bungalow</v>
      </c>
      <c r="J1" t="str">
        <v>Eengezinswoning</v>
      </c>
      <c r="K1" t="str">
        <v>Woonhuis</v>
      </c>
      <c r="L1" t="str">
        <v>Overig grondgebonden</v>
      </c>
      <c r="M1" t="str">
        <v>Appartement</v>
      </c>
      <c r="N1" t="str">
        <v>Totaal</v>
      </c>
    </row>
    <row r="2">
      <c r="A2" t="str">
        <v>'s-Gravenhage</v>
      </c>
      <c r="B2">
        <f>COUNTIFS('Alle woningen'!H2:H579,"'s-Gravenhage",'Alle woningen'!W2:W579,"Vrijstaande woning")</f>
        <v>0</v>
      </c>
      <c r="C2">
        <f>COUNTIFS('Alle woningen'!H2:H579,"'s-Gravenhage",'Alle woningen'!W2:W579,"2-onder-1-kapwoning")</f>
        <v>0</v>
      </c>
      <c r="D2">
        <f>COUNTIFS('Alle woningen'!H2:H579,"'s-Gravenhage",'Alle woningen'!W2:W579,"Hoekwoning")</f>
        <v>0</v>
      </c>
      <c r="E2">
        <f>COUNTIFS('Alle woningen'!H2:H579,"'s-Gravenhage",'Alle woningen'!W2:W579,"Tussenwoning")</f>
        <v>0</v>
      </c>
      <c r="F2">
        <f>COUNTIFS('Alle woningen'!H2:H579,"'s-Gravenhage",'Alle woningen'!W2:W579,"Eindwoning")</f>
        <v>0</v>
      </c>
      <c r="G2">
        <f>COUNTIFS('Alle woningen'!H2:H579,"'s-Gravenhage",'Alle woningen'!W2:W579,"Geschakelde woning")</f>
        <v>0</v>
      </c>
      <c r="H2">
        <f>COUNTIFS('Alle woningen'!H2:H579,"'s-Gravenhage",'Alle woningen'!W2:W579,"Herenhuis")</f>
        <v>0</v>
      </c>
      <c r="I2">
        <f>COUNTIFS('Alle woningen'!H2:H579,"'s-Gravenhage",'Alle woningen'!W2:W579,"Bungalow")</f>
        <v>0</v>
      </c>
      <c r="J2">
        <f>COUNTIFS('Alle woningen'!H2:H579,"'s-Gravenhage",'Alle woningen'!W2:W579,"Eengezinswoning")</f>
        <v>0</v>
      </c>
      <c r="K2">
        <f>COUNTIFS('Alle woningen'!H2:H579,"'s-Gravenhage",'Alle woningen'!W2:W579,"Woonhuis")</f>
        <v>0</v>
      </c>
      <c r="L2">
        <f>COUNTIFS('Alle woningen'!H2:H579,"'s-Gravenhage",'Alle woningen'!W2:W579,"Overig grondgebonden")</f>
        <v>0</v>
      </c>
      <c r="M2">
        <f>COUNTIFS('Alle woningen'!H2:H579,"'s-Gravenhage",'Alle woningen'!W2:W579,"Appartement")</f>
        <v>2</v>
      </c>
      <c r="N2">
        <f>SUM(B2:M2)</f>
        <v>2</v>
      </c>
    </row>
    <row r="3">
      <c r="A3" t="str">
        <v>Aalten</v>
      </c>
      <c r="B3">
        <f>COUNTIFS('Alle woningen'!H2:H579,"Aalten",'Alle woningen'!W2:W579,"Vrijstaande woning")</f>
        <v>0</v>
      </c>
      <c r="C3">
        <f>COUNTIFS('Alle woningen'!H2:H579,"Aalten",'Alle woningen'!W2:W579,"2-onder-1-kapwoning")</f>
        <v>0</v>
      </c>
      <c r="D3">
        <f>COUNTIFS('Alle woningen'!H2:H579,"Aalten",'Alle woningen'!W2:W579,"Hoekwoning")</f>
        <v>0</v>
      </c>
      <c r="E3">
        <f>COUNTIFS('Alle woningen'!H2:H579,"Aalten",'Alle woningen'!W2:W579,"Tussenwoning")</f>
        <v>0</v>
      </c>
      <c r="F3">
        <f>COUNTIFS('Alle woningen'!H2:H579,"Aalten",'Alle woningen'!W2:W579,"Eindwoning")</f>
        <v>0</v>
      </c>
      <c r="G3">
        <f>COUNTIFS('Alle woningen'!H2:H579,"Aalten",'Alle woningen'!W2:W579,"Geschakelde woning")</f>
        <v>0</v>
      </c>
      <c r="H3">
        <f>COUNTIFS('Alle woningen'!H2:H579,"Aalten",'Alle woningen'!W2:W579,"Herenhuis")</f>
        <v>0</v>
      </c>
      <c r="I3">
        <f>COUNTIFS('Alle woningen'!H2:H579,"Aalten",'Alle woningen'!W2:W579,"Bungalow")</f>
        <v>0</v>
      </c>
      <c r="J3">
        <f>COUNTIFS('Alle woningen'!H2:H579,"Aalten",'Alle woningen'!W2:W579,"Eengezinswoning")</f>
        <v>0</v>
      </c>
      <c r="K3">
        <f>COUNTIFS('Alle woningen'!H2:H579,"Aalten",'Alle woningen'!W2:W579,"Woonhuis")</f>
        <v>0</v>
      </c>
      <c r="L3">
        <f>COUNTIFS('Alle woningen'!H2:H579,"Aalten",'Alle woningen'!W2:W579,"Overig grondgebonden")</f>
        <v>0</v>
      </c>
      <c r="M3">
        <f>COUNTIFS('Alle woningen'!H2:H579,"Aalten",'Alle woningen'!W2:W579,"Appartement")</f>
        <v>1</v>
      </c>
      <c r="N3">
        <f>SUM(B3:M3)</f>
        <v>1</v>
      </c>
    </row>
    <row r="4">
      <c r="A4" t="str">
        <v>Alkmaar</v>
      </c>
      <c r="B4">
        <f>COUNTIFS('Alle woningen'!H2:H579,"Alkmaar",'Alle woningen'!W2:W579,"Vrijstaande woning")</f>
        <v>0</v>
      </c>
      <c r="C4">
        <f>COUNTIFS('Alle woningen'!H2:H579,"Alkmaar",'Alle woningen'!W2:W579,"2-onder-1-kapwoning")</f>
        <v>0</v>
      </c>
      <c r="D4">
        <f>COUNTIFS('Alle woningen'!H2:H579,"Alkmaar",'Alle woningen'!W2:W579,"Hoekwoning")</f>
        <v>0</v>
      </c>
      <c r="E4">
        <f>COUNTIFS('Alle woningen'!H2:H579,"Alkmaar",'Alle woningen'!W2:W579,"Tussenwoning")</f>
        <v>0</v>
      </c>
      <c r="F4">
        <f>COUNTIFS('Alle woningen'!H2:H579,"Alkmaar",'Alle woningen'!W2:W579,"Eindwoning")</f>
        <v>0</v>
      </c>
      <c r="G4">
        <f>COUNTIFS('Alle woningen'!H2:H579,"Alkmaar",'Alle woningen'!W2:W579,"Geschakelde woning")</f>
        <v>0</v>
      </c>
      <c r="H4">
        <f>COUNTIFS('Alle woningen'!H2:H579,"Alkmaar",'Alle woningen'!W2:W579,"Herenhuis")</f>
        <v>0</v>
      </c>
      <c r="I4">
        <f>COUNTIFS('Alle woningen'!H2:H579,"Alkmaar",'Alle woningen'!W2:W579,"Bungalow")</f>
        <v>0</v>
      </c>
      <c r="J4">
        <f>COUNTIFS('Alle woningen'!H2:H579,"Alkmaar",'Alle woningen'!W2:W579,"Eengezinswoning")</f>
        <v>0</v>
      </c>
      <c r="K4">
        <f>COUNTIFS('Alle woningen'!H2:H579,"Alkmaar",'Alle woningen'!W2:W579,"Woonhuis")</f>
        <v>0</v>
      </c>
      <c r="L4">
        <f>COUNTIFS('Alle woningen'!H2:H579,"Alkmaar",'Alle woningen'!W2:W579,"Overig grondgebonden")</f>
        <v>0</v>
      </c>
      <c r="M4">
        <f>COUNTIFS('Alle woningen'!H2:H579,"Alkmaar",'Alle woningen'!W2:W579,"Appartement")</f>
        <v>2</v>
      </c>
      <c r="N4">
        <f>SUM(B4:M4)</f>
        <v>2</v>
      </c>
    </row>
    <row r="5">
      <c r="A5" t="str">
        <v>Almere</v>
      </c>
      <c r="B5">
        <f>COUNTIFS('Alle woningen'!H2:H579,"Almere",'Alle woningen'!W2:W579,"Vrijstaande woning")</f>
        <v>1</v>
      </c>
      <c r="C5">
        <f>COUNTIFS('Alle woningen'!H2:H579,"Almere",'Alle woningen'!W2:W579,"2-onder-1-kapwoning")</f>
        <v>0</v>
      </c>
      <c r="D5">
        <f>COUNTIFS('Alle woningen'!H2:H579,"Almere",'Alle woningen'!W2:W579,"Hoekwoning")</f>
        <v>0</v>
      </c>
      <c r="E5">
        <f>COUNTIFS('Alle woningen'!H2:H579,"Almere",'Alle woningen'!W2:W579,"Tussenwoning")</f>
        <v>0</v>
      </c>
      <c r="F5">
        <f>COUNTIFS('Alle woningen'!H2:H579,"Almere",'Alle woningen'!W2:W579,"Eindwoning")</f>
        <v>0</v>
      </c>
      <c r="G5">
        <f>COUNTIFS('Alle woningen'!H2:H579,"Almere",'Alle woningen'!W2:W579,"Geschakelde woning")</f>
        <v>0</v>
      </c>
      <c r="H5">
        <f>COUNTIFS('Alle woningen'!H2:H579,"Almere",'Alle woningen'!W2:W579,"Herenhuis")</f>
        <v>0</v>
      </c>
      <c r="I5">
        <f>COUNTIFS('Alle woningen'!H2:H579,"Almere",'Alle woningen'!W2:W579,"Bungalow")</f>
        <v>0</v>
      </c>
      <c r="J5">
        <f>COUNTIFS('Alle woningen'!H2:H579,"Almere",'Alle woningen'!W2:W579,"Eengezinswoning")</f>
        <v>0</v>
      </c>
      <c r="K5">
        <f>COUNTIFS('Alle woningen'!H2:H579,"Almere",'Alle woningen'!W2:W579,"Woonhuis")</f>
        <v>0</v>
      </c>
      <c r="L5">
        <f>COUNTIFS('Alle woningen'!H2:H579,"Almere",'Alle woningen'!W2:W579,"Overig grondgebonden")</f>
        <v>0</v>
      </c>
      <c r="M5">
        <f>COUNTIFS('Alle woningen'!H2:H579,"Almere",'Alle woningen'!W2:W579,"Appartement")</f>
        <v>0</v>
      </c>
      <c r="N5">
        <f>SUM(B5:M5)</f>
        <v>1</v>
      </c>
    </row>
    <row r="6">
      <c r="A6" t="str">
        <v>Amersfoort</v>
      </c>
      <c r="B6">
        <f>COUNTIFS('Alle woningen'!H2:H579,"Amersfoort",'Alle woningen'!W2:W579,"Vrijstaande woning")</f>
        <v>0</v>
      </c>
      <c r="C6">
        <f>COUNTIFS('Alle woningen'!H2:H579,"Amersfoort",'Alle woningen'!W2:W579,"2-onder-1-kapwoning")</f>
        <v>0</v>
      </c>
      <c r="D6">
        <f>COUNTIFS('Alle woningen'!H2:H579,"Amersfoort",'Alle woningen'!W2:W579,"Hoekwoning")</f>
        <v>0</v>
      </c>
      <c r="E6">
        <f>COUNTIFS('Alle woningen'!H2:H579,"Amersfoort",'Alle woningen'!W2:W579,"Tussenwoning")</f>
        <v>0</v>
      </c>
      <c r="F6">
        <f>COUNTIFS('Alle woningen'!H2:H579,"Amersfoort",'Alle woningen'!W2:W579,"Eindwoning")</f>
        <v>0</v>
      </c>
      <c r="G6">
        <f>COUNTIFS('Alle woningen'!H2:H579,"Amersfoort",'Alle woningen'!W2:W579,"Geschakelde woning")</f>
        <v>0</v>
      </c>
      <c r="H6">
        <f>COUNTIFS('Alle woningen'!H2:H579,"Amersfoort",'Alle woningen'!W2:W579,"Herenhuis")</f>
        <v>0</v>
      </c>
      <c r="I6">
        <f>COUNTIFS('Alle woningen'!H2:H579,"Amersfoort",'Alle woningen'!W2:W579,"Bungalow")</f>
        <v>0</v>
      </c>
      <c r="J6">
        <f>COUNTIFS('Alle woningen'!H2:H579,"Amersfoort",'Alle woningen'!W2:W579,"Eengezinswoning")</f>
        <v>0</v>
      </c>
      <c r="K6">
        <f>COUNTIFS('Alle woningen'!H2:H579,"Amersfoort",'Alle woningen'!W2:W579,"Woonhuis")</f>
        <v>0</v>
      </c>
      <c r="L6">
        <f>COUNTIFS('Alle woningen'!H2:H579,"Amersfoort",'Alle woningen'!W2:W579,"Overig grondgebonden")</f>
        <v>0</v>
      </c>
      <c r="M6">
        <f>COUNTIFS('Alle woningen'!H2:H579,"Amersfoort",'Alle woningen'!W2:W579,"Appartement")</f>
        <v>1</v>
      </c>
      <c r="N6">
        <f>SUM(B6:M6)</f>
        <v>1</v>
      </c>
    </row>
    <row r="7">
      <c r="A7" t="str">
        <v>Amsterdam</v>
      </c>
      <c r="B7">
        <f>COUNTIFS('Alle woningen'!H2:H579,"Amsterdam",'Alle woningen'!W2:W579,"Vrijstaande woning")</f>
        <v>0</v>
      </c>
      <c r="C7">
        <f>COUNTIFS('Alle woningen'!H2:H579,"Amsterdam",'Alle woningen'!W2:W579,"2-onder-1-kapwoning")</f>
        <v>0</v>
      </c>
      <c r="D7">
        <f>COUNTIFS('Alle woningen'!H2:H579,"Amsterdam",'Alle woningen'!W2:W579,"Hoekwoning")</f>
        <v>1</v>
      </c>
      <c r="E7">
        <f>COUNTIFS('Alle woningen'!H2:H579,"Amsterdam",'Alle woningen'!W2:W579,"Tussenwoning")</f>
        <v>1</v>
      </c>
      <c r="F7">
        <f>COUNTIFS('Alle woningen'!H2:H579,"Amsterdam",'Alle woningen'!W2:W579,"Eindwoning")</f>
        <v>0</v>
      </c>
      <c r="G7">
        <f>COUNTIFS('Alle woningen'!H2:H579,"Amsterdam",'Alle woningen'!W2:W579,"Geschakelde woning")</f>
        <v>0</v>
      </c>
      <c r="H7">
        <f>COUNTIFS('Alle woningen'!H2:H579,"Amsterdam",'Alle woningen'!W2:W579,"Herenhuis")</f>
        <v>0</v>
      </c>
      <c r="I7">
        <f>COUNTIFS('Alle woningen'!H2:H579,"Amsterdam",'Alle woningen'!W2:W579,"Bungalow")</f>
        <v>0</v>
      </c>
      <c r="J7">
        <f>COUNTIFS('Alle woningen'!H2:H579,"Amsterdam",'Alle woningen'!W2:W579,"Eengezinswoning")</f>
        <v>0</v>
      </c>
      <c r="K7">
        <f>COUNTIFS('Alle woningen'!H2:H579,"Amsterdam",'Alle woningen'!W2:W579,"Woonhuis")</f>
        <v>0</v>
      </c>
      <c r="L7">
        <f>COUNTIFS('Alle woningen'!H2:H579,"Amsterdam",'Alle woningen'!W2:W579,"Overig grondgebonden")</f>
        <v>0</v>
      </c>
      <c r="M7">
        <f>COUNTIFS('Alle woningen'!H2:H579,"Amsterdam",'Alle woningen'!W2:W579,"Appartement")</f>
        <v>13</v>
      </c>
      <c r="N7">
        <f>SUM(B7:M7)</f>
        <v>15</v>
      </c>
    </row>
    <row r="8">
      <c r="A8" t="str">
        <v>Bergen op Zoom</v>
      </c>
      <c r="B8">
        <f>COUNTIFS('Alle woningen'!H2:H579,"Bergen op Zoom",'Alle woningen'!W2:W579,"Vrijstaande woning")</f>
        <v>0</v>
      </c>
      <c r="C8">
        <f>COUNTIFS('Alle woningen'!H2:H579,"Bergen op Zoom",'Alle woningen'!W2:W579,"2-onder-1-kapwoning")</f>
        <v>0</v>
      </c>
      <c r="D8">
        <f>COUNTIFS('Alle woningen'!H2:H579,"Bergen op Zoom",'Alle woningen'!W2:W579,"Hoekwoning")</f>
        <v>0</v>
      </c>
      <c r="E8">
        <f>COUNTIFS('Alle woningen'!H2:H579,"Bergen op Zoom",'Alle woningen'!W2:W579,"Tussenwoning")</f>
        <v>0</v>
      </c>
      <c r="F8">
        <f>COUNTIFS('Alle woningen'!H2:H579,"Bergen op Zoom",'Alle woningen'!W2:W579,"Eindwoning")</f>
        <v>0</v>
      </c>
      <c r="G8">
        <f>COUNTIFS('Alle woningen'!H2:H579,"Bergen op Zoom",'Alle woningen'!W2:W579,"Geschakelde woning")</f>
        <v>0</v>
      </c>
      <c r="H8">
        <f>COUNTIFS('Alle woningen'!H2:H579,"Bergen op Zoom",'Alle woningen'!W2:W579,"Herenhuis")</f>
        <v>0</v>
      </c>
      <c r="I8">
        <f>COUNTIFS('Alle woningen'!H2:H579,"Bergen op Zoom",'Alle woningen'!W2:W579,"Bungalow")</f>
        <v>0</v>
      </c>
      <c r="J8">
        <f>COUNTIFS('Alle woningen'!H2:H579,"Bergen op Zoom",'Alle woningen'!W2:W579,"Eengezinswoning")</f>
        <v>0</v>
      </c>
      <c r="K8">
        <f>COUNTIFS('Alle woningen'!H2:H579,"Bergen op Zoom",'Alle woningen'!W2:W579,"Woonhuis")</f>
        <v>0</v>
      </c>
      <c r="L8">
        <f>COUNTIFS('Alle woningen'!H2:H579,"Bergen op Zoom",'Alle woningen'!W2:W579,"Overig grondgebonden")</f>
        <v>0</v>
      </c>
      <c r="M8">
        <f>COUNTIFS('Alle woningen'!H2:H579,"Bergen op Zoom",'Alle woningen'!W2:W579,"Appartement")</f>
        <v>1</v>
      </c>
      <c r="N8">
        <f>SUM(B8:M8)</f>
        <v>1</v>
      </c>
    </row>
    <row r="9">
      <c r="A9" t="str">
        <v>Berkelland</v>
      </c>
      <c r="B9">
        <f>COUNTIFS('Alle woningen'!H2:H579,"Berkelland",'Alle woningen'!W2:W579,"Vrijstaande woning")</f>
        <v>1</v>
      </c>
      <c r="C9">
        <f>COUNTIFS('Alle woningen'!H2:H579,"Berkelland",'Alle woningen'!W2:W579,"2-onder-1-kapwoning")</f>
        <v>0</v>
      </c>
      <c r="D9">
        <f>COUNTIFS('Alle woningen'!H2:H579,"Berkelland",'Alle woningen'!W2:W579,"Hoekwoning")</f>
        <v>0</v>
      </c>
      <c r="E9">
        <f>COUNTIFS('Alle woningen'!H2:H579,"Berkelland",'Alle woningen'!W2:W579,"Tussenwoning")</f>
        <v>0</v>
      </c>
      <c r="F9">
        <f>COUNTIFS('Alle woningen'!H2:H579,"Berkelland",'Alle woningen'!W2:W579,"Eindwoning")</f>
        <v>0</v>
      </c>
      <c r="G9">
        <f>COUNTIFS('Alle woningen'!H2:H579,"Berkelland",'Alle woningen'!W2:W579,"Geschakelde woning")</f>
        <v>0</v>
      </c>
      <c r="H9">
        <f>COUNTIFS('Alle woningen'!H2:H579,"Berkelland",'Alle woningen'!W2:W579,"Herenhuis")</f>
        <v>0</v>
      </c>
      <c r="I9">
        <f>COUNTIFS('Alle woningen'!H2:H579,"Berkelland",'Alle woningen'!W2:W579,"Bungalow")</f>
        <v>0</v>
      </c>
      <c r="J9">
        <f>COUNTIFS('Alle woningen'!H2:H579,"Berkelland",'Alle woningen'!W2:W579,"Eengezinswoning")</f>
        <v>0</v>
      </c>
      <c r="K9">
        <f>COUNTIFS('Alle woningen'!H2:H579,"Berkelland",'Alle woningen'!W2:W579,"Woonhuis")</f>
        <v>0</v>
      </c>
      <c r="L9">
        <f>COUNTIFS('Alle woningen'!H2:H579,"Berkelland",'Alle woningen'!W2:W579,"Overig grondgebonden")</f>
        <v>0</v>
      </c>
      <c r="M9">
        <f>COUNTIFS('Alle woningen'!H2:H579,"Berkelland",'Alle woningen'!W2:W579,"Appartement")</f>
        <v>0</v>
      </c>
      <c r="N9">
        <f>SUM(B9:M9)</f>
        <v>1</v>
      </c>
    </row>
    <row r="10">
      <c r="A10" t="str">
        <v>Bernheze</v>
      </c>
      <c r="B10">
        <f>COUNTIFS('Alle woningen'!H2:H579,"Bernheze",'Alle woningen'!W2:W579,"Vrijstaande woning")</f>
        <v>0</v>
      </c>
      <c r="C10">
        <f>COUNTIFS('Alle woningen'!H2:H579,"Bernheze",'Alle woningen'!W2:W579,"2-onder-1-kapwoning")</f>
        <v>0</v>
      </c>
      <c r="D10">
        <f>COUNTIFS('Alle woningen'!H2:H579,"Bernheze",'Alle woningen'!W2:W579,"Hoekwoning")</f>
        <v>0</v>
      </c>
      <c r="E10">
        <f>COUNTIFS('Alle woningen'!H2:H579,"Bernheze",'Alle woningen'!W2:W579,"Tussenwoning")</f>
        <v>4</v>
      </c>
      <c r="F10">
        <f>COUNTIFS('Alle woningen'!H2:H579,"Bernheze",'Alle woningen'!W2:W579,"Eindwoning")</f>
        <v>0</v>
      </c>
      <c r="G10">
        <f>COUNTIFS('Alle woningen'!H2:H579,"Bernheze",'Alle woningen'!W2:W579,"Geschakelde woning")</f>
        <v>0</v>
      </c>
      <c r="H10">
        <f>COUNTIFS('Alle woningen'!H2:H579,"Bernheze",'Alle woningen'!W2:W579,"Herenhuis")</f>
        <v>0</v>
      </c>
      <c r="I10">
        <f>COUNTIFS('Alle woningen'!H2:H579,"Bernheze",'Alle woningen'!W2:W579,"Bungalow")</f>
        <v>0</v>
      </c>
      <c r="J10">
        <f>COUNTIFS('Alle woningen'!H2:H579,"Bernheze",'Alle woningen'!W2:W579,"Eengezinswoning")</f>
        <v>0</v>
      </c>
      <c r="K10">
        <f>COUNTIFS('Alle woningen'!H2:H579,"Bernheze",'Alle woningen'!W2:W579,"Woonhuis")</f>
        <v>0</v>
      </c>
      <c r="L10">
        <f>COUNTIFS('Alle woningen'!H2:H579,"Bernheze",'Alle woningen'!W2:W579,"Overig grondgebonden")</f>
        <v>0</v>
      </c>
      <c r="M10">
        <f>COUNTIFS('Alle woningen'!H2:H579,"Bernheze",'Alle woningen'!W2:W579,"Appartement")</f>
        <v>0</v>
      </c>
      <c r="N10">
        <f>SUM(B10:M10)</f>
        <v>4</v>
      </c>
    </row>
    <row r="11">
      <c r="A11" t="str">
        <v>Borsele</v>
      </c>
      <c r="B11">
        <f>COUNTIFS('Alle woningen'!H2:H579,"Borsele",'Alle woningen'!W2:W579,"Vrijstaande woning")</f>
        <v>1</v>
      </c>
      <c r="C11">
        <f>COUNTIFS('Alle woningen'!H2:H579,"Borsele",'Alle woningen'!W2:W579,"2-onder-1-kapwoning")</f>
        <v>0</v>
      </c>
      <c r="D11">
        <f>COUNTIFS('Alle woningen'!H2:H579,"Borsele",'Alle woningen'!W2:W579,"Hoekwoning")</f>
        <v>0</v>
      </c>
      <c r="E11">
        <f>COUNTIFS('Alle woningen'!H2:H579,"Borsele",'Alle woningen'!W2:W579,"Tussenwoning")</f>
        <v>0</v>
      </c>
      <c r="F11">
        <f>COUNTIFS('Alle woningen'!H2:H579,"Borsele",'Alle woningen'!W2:W579,"Eindwoning")</f>
        <v>0</v>
      </c>
      <c r="G11">
        <f>COUNTIFS('Alle woningen'!H2:H579,"Borsele",'Alle woningen'!W2:W579,"Geschakelde woning")</f>
        <v>0</v>
      </c>
      <c r="H11">
        <f>COUNTIFS('Alle woningen'!H2:H579,"Borsele",'Alle woningen'!W2:W579,"Herenhuis")</f>
        <v>0</v>
      </c>
      <c r="I11">
        <f>COUNTIFS('Alle woningen'!H2:H579,"Borsele",'Alle woningen'!W2:W579,"Bungalow")</f>
        <v>0</v>
      </c>
      <c r="J11">
        <f>COUNTIFS('Alle woningen'!H2:H579,"Borsele",'Alle woningen'!W2:W579,"Eengezinswoning")</f>
        <v>0</v>
      </c>
      <c r="K11">
        <f>COUNTIFS('Alle woningen'!H2:H579,"Borsele",'Alle woningen'!W2:W579,"Woonhuis")</f>
        <v>0</v>
      </c>
      <c r="L11">
        <f>COUNTIFS('Alle woningen'!H2:H579,"Borsele",'Alle woningen'!W2:W579,"Overig grondgebonden")</f>
        <v>0</v>
      </c>
      <c r="M11">
        <f>COUNTIFS('Alle woningen'!H2:H579,"Borsele",'Alle woningen'!W2:W579,"Appartement")</f>
        <v>0</v>
      </c>
      <c r="N11">
        <f>SUM(B11:M11)</f>
        <v>1</v>
      </c>
    </row>
    <row r="12">
      <c r="A12" t="str">
        <v>Breda</v>
      </c>
      <c r="B12">
        <f>COUNTIFS('Alle woningen'!H2:H579,"Breda",'Alle woningen'!W2:W579,"Vrijstaande woning")</f>
        <v>0</v>
      </c>
      <c r="C12">
        <f>COUNTIFS('Alle woningen'!H2:H579,"Breda",'Alle woningen'!W2:W579,"2-onder-1-kapwoning")</f>
        <v>0</v>
      </c>
      <c r="D12">
        <f>COUNTIFS('Alle woningen'!H2:H579,"Breda",'Alle woningen'!W2:W579,"Hoekwoning")</f>
        <v>0</v>
      </c>
      <c r="E12">
        <f>COUNTIFS('Alle woningen'!H2:H579,"Breda",'Alle woningen'!W2:W579,"Tussenwoning")</f>
        <v>0</v>
      </c>
      <c r="F12">
        <f>COUNTIFS('Alle woningen'!H2:H579,"Breda",'Alle woningen'!W2:W579,"Eindwoning")</f>
        <v>0</v>
      </c>
      <c r="G12">
        <f>COUNTIFS('Alle woningen'!H2:H579,"Breda",'Alle woningen'!W2:W579,"Geschakelde woning")</f>
        <v>0</v>
      </c>
      <c r="H12">
        <f>COUNTIFS('Alle woningen'!H2:H579,"Breda",'Alle woningen'!W2:W579,"Herenhuis")</f>
        <v>0</v>
      </c>
      <c r="I12">
        <f>COUNTIFS('Alle woningen'!H2:H579,"Breda",'Alle woningen'!W2:W579,"Bungalow")</f>
        <v>0</v>
      </c>
      <c r="J12">
        <f>COUNTIFS('Alle woningen'!H2:H579,"Breda",'Alle woningen'!W2:W579,"Eengezinswoning")</f>
        <v>0</v>
      </c>
      <c r="K12">
        <f>COUNTIFS('Alle woningen'!H2:H579,"Breda",'Alle woningen'!W2:W579,"Woonhuis")</f>
        <v>0</v>
      </c>
      <c r="L12">
        <f>COUNTIFS('Alle woningen'!H2:H579,"Breda",'Alle woningen'!W2:W579,"Overig grondgebonden")</f>
        <v>0</v>
      </c>
      <c r="M12">
        <f>COUNTIFS('Alle woningen'!H2:H579,"Breda",'Alle woningen'!W2:W579,"Appartement")</f>
        <v>6</v>
      </c>
      <c r="N12">
        <f>SUM(B12:M12)</f>
        <v>6</v>
      </c>
    </row>
    <row r="13">
      <c r="A13" t="str">
        <v>Brummen</v>
      </c>
      <c r="B13">
        <f>COUNTIFS('Alle woningen'!H2:H579,"Brummen",'Alle woningen'!W2:W579,"Vrijstaande woning")</f>
        <v>1</v>
      </c>
      <c r="C13">
        <f>COUNTIFS('Alle woningen'!H2:H579,"Brummen",'Alle woningen'!W2:W579,"2-onder-1-kapwoning")</f>
        <v>0</v>
      </c>
      <c r="D13">
        <f>COUNTIFS('Alle woningen'!H2:H579,"Brummen",'Alle woningen'!W2:W579,"Hoekwoning")</f>
        <v>0</v>
      </c>
      <c r="E13">
        <f>COUNTIFS('Alle woningen'!H2:H579,"Brummen",'Alle woningen'!W2:W579,"Tussenwoning")</f>
        <v>0</v>
      </c>
      <c r="F13">
        <f>COUNTIFS('Alle woningen'!H2:H579,"Brummen",'Alle woningen'!W2:W579,"Eindwoning")</f>
        <v>0</v>
      </c>
      <c r="G13">
        <f>COUNTIFS('Alle woningen'!H2:H579,"Brummen",'Alle woningen'!W2:W579,"Geschakelde woning")</f>
        <v>0</v>
      </c>
      <c r="H13">
        <f>COUNTIFS('Alle woningen'!H2:H579,"Brummen",'Alle woningen'!W2:W579,"Herenhuis")</f>
        <v>0</v>
      </c>
      <c r="I13">
        <f>COUNTIFS('Alle woningen'!H2:H579,"Brummen",'Alle woningen'!W2:W579,"Bungalow")</f>
        <v>0</v>
      </c>
      <c r="J13">
        <f>COUNTIFS('Alle woningen'!H2:H579,"Brummen",'Alle woningen'!W2:W579,"Eengezinswoning")</f>
        <v>0</v>
      </c>
      <c r="K13">
        <f>COUNTIFS('Alle woningen'!H2:H579,"Brummen",'Alle woningen'!W2:W579,"Woonhuis")</f>
        <v>0</v>
      </c>
      <c r="L13">
        <f>COUNTIFS('Alle woningen'!H2:H579,"Brummen",'Alle woningen'!W2:W579,"Overig grondgebonden")</f>
        <v>0</v>
      </c>
      <c r="M13">
        <f>COUNTIFS('Alle woningen'!H2:H579,"Brummen",'Alle woningen'!W2:W579,"Appartement")</f>
        <v>0</v>
      </c>
      <c r="N13">
        <f>SUM(B13:M13)</f>
        <v>1</v>
      </c>
    </row>
    <row r="14">
      <c r="A14" t="str">
        <v>Brunssum</v>
      </c>
      <c r="B14">
        <f>COUNTIFS('Alle woningen'!H2:H579,"Brunssum",'Alle woningen'!W2:W579,"Vrijstaande woning")</f>
        <v>0</v>
      </c>
      <c r="C14">
        <f>COUNTIFS('Alle woningen'!H2:H579,"Brunssum",'Alle woningen'!W2:W579,"2-onder-1-kapwoning")</f>
        <v>0</v>
      </c>
      <c r="D14">
        <f>COUNTIFS('Alle woningen'!H2:H579,"Brunssum",'Alle woningen'!W2:W579,"Hoekwoning")</f>
        <v>0</v>
      </c>
      <c r="E14">
        <f>COUNTIFS('Alle woningen'!H2:H579,"Brunssum",'Alle woningen'!W2:W579,"Tussenwoning")</f>
        <v>0</v>
      </c>
      <c r="F14">
        <f>COUNTIFS('Alle woningen'!H2:H579,"Brunssum",'Alle woningen'!W2:W579,"Eindwoning")</f>
        <v>0</v>
      </c>
      <c r="G14">
        <f>COUNTIFS('Alle woningen'!H2:H579,"Brunssum",'Alle woningen'!W2:W579,"Geschakelde woning")</f>
        <v>0</v>
      </c>
      <c r="H14">
        <f>COUNTIFS('Alle woningen'!H2:H579,"Brunssum",'Alle woningen'!W2:W579,"Herenhuis")</f>
        <v>0</v>
      </c>
      <c r="I14">
        <f>COUNTIFS('Alle woningen'!H2:H579,"Brunssum",'Alle woningen'!W2:W579,"Bungalow")</f>
        <v>0</v>
      </c>
      <c r="J14">
        <f>COUNTIFS('Alle woningen'!H2:H579,"Brunssum",'Alle woningen'!W2:W579,"Eengezinswoning")</f>
        <v>0</v>
      </c>
      <c r="K14">
        <f>COUNTIFS('Alle woningen'!H2:H579,"Brunssum",'Alle woningen'!W2:W579,"Woonhuis")</f>
        <v>0</v>
      </c>
      <c r="L14">
        <f>COUNTIFS('Alle woningen'!H2:H579,"Brunssum",'Alle woningen'!W2:W579,"Overig grondgebonden")</f>
        <v>0</v>
      </c>
      <c r="M14">
        <f>COUNTIFS('Alle woningen'!H2:H579,"Brunssum",'Alle woningen'!W2:W579,"Appartement")</f>
        <v>2</v>
      </c>
      <c r="N14">
        <f>SUM(B14:M14)</f>
        <v>2</v>
      </c>
    </row>
    <row r="15">
      <c r="A15" t="str">
        <v>Capelle aan den IJssel</v>
      </c>
      <c r="B15">
        <f>COUNTIFS('Alle woningen'!H2:H579,"Capelle aan den IJssel",'Alle woningen'!W2:W579,"Vrijstaande woning")</f>
        <v>0</v>
      </c>
      <c r="C15">
        <f>COUNTIFS('Alle woningen'!H2:H579,"Capelle aan den IJssel",'Alle woningen'!W2:W579,"2-onder-1-kapwoning")</f>
        <v>0</v>
      </c>
      <c r="D15">
        <f>COUNTIFS('Alle woningen'!H2:H579,"Capelle aan den IJssel",'Alle woningen'!W2:W579,"Hoekwoning")</f>
        <v>0</v>
      </c>
      <c r="E15">
        <f>COUNTIFS('Alle woningen'!H2:H579,"Capelle aan den IJssel",'Alle woningen'!W2:W579,"Tussenwoning")</f>
        <v>0</v>
      </c>
      <c r="F15">
        <f>COUNTIFS('Alle woningen'!H2:H579,"Capelle aan den IJssel",'Alle woningen'!W2:W579,"Eindwoning")</f>
        <v>0</v>
      </c>
      <c r="G15">
        <f>COUNTIFS('Alle woningen'!H2:H579,"Capelle aan den IJssel",'Alle woningen'!W2:W579,"Geschakelde woning")</f>
        <v>0</v>
      </c>
      <c r="H15">
        <f>COUNTIFS('Alle woningen'!H2:H579,"Capelle aan den IJssel",'Alle woningen'!W2:W579,"Herenhuis")</f>
        <v>0</v>
      </c>
      <c r="I15">
        <f>COUNTIFS('Alle woningen'!H2:H579,"Capelle aan den IJssel",'Alle woningen'!W2:W579,"Bungalow")</f>
        <v>0</v>
      </c>
      <c r="J15">
        <f>COUNTIFS('Alle woningen'!H2:H579,"Capelle aan den IJssel",'Alle woningen'!W2:W579,"Eengezinswoning")</f>
        <v>0</v>
      </c>
      <c r="K15">
        <f>COUNTIFS('Alle woningen'!H2:H579,"Capelle aan den IJssel",'Alle woningen'!W2:W579,"Woonhuis")</f>
        <v>0</v>
      </c>
      <c r="L15">
        <f>COUNTIFS('Alle woningen'!H2:H579,"Capelle aan den IJssel",'Alle woningen'!W2:W579,"Overig grondgebonden")</f>
        <v>0</v>
      </c>
      <c r="M15">
        <f>COUNTIFS('Alle woningen'!H2:H579,"Capelle aan den IJssel",'Alle woningen'!W2:W579,"Appartement")</f>
        <v>2</v>
      </c>
      <c r="N15">
        <f>SUM(B15:M15)</f>
        <v>2</v>
      </c>
    </row>
    <row r="16">
      <c r="A16" t="str">
        <v>Den Helder</v>
      </c>
      <c r="B16">
        <f>COUNTIFS('Alle woningen'!H2:H579,"Den Helder",'Alle woningen'!W2:W579,"Vrijstaande woning")</f>
        <v>6</v>
      </c>
      <c r="C16">
        <f>COUNTIFS('Alle woningen'!H2:H579,"Den Helder",'Alle woningen'!W2:W579,"2-onder-1-kapwoning")</f>
        <v>9</v>
      </c>
      <c r="D16">
        <f>COUNTIFS('Alle woningen'!H2:H579,"Den Helder",'Alle woningen'!W2:W579,"Hoekwoning")</f>
        <v>0</v>
      </c>
      <c r="E16">
        <f>COUNTIFS('Alle woningen'!H2:H579,"Den Helder",'Alle woningen'!W2:W579,"Tussenwoning")</f>
        <v>0</v>
      </c>
      <c r="F16">
        <f>COUNTIFS('Alle woningen'!H2:H579,"Den Helder",'Alle woningen'!W2:W579,"Eindwoning")</f>
        <v>0</v>
      </c>
      <c r="G16">
        <f>COUNTIFS('Alle woningen'!H2:H579,"Den Helder",'Alle woningen'!W2:W579,"Geschakelde woning")</f>
        <v>0</v>
      </c>
      <c r="H16">
        <f>COUNTIFS('Alle woningen'!H2:H579,"Den Helder",'Alle woningen'!W2:W579,"Herenhuis")</f>
        <v>0</v>
      </c>
      <c r="I16">
        <f>COUNTIFS('Alle woningen'!H2:H579,"Den Helder",'Alle woningen'!W2:W579,"Bungalow")</f>
        <v>0</v>
      </c>
      <c r="J16">
        <f>COUNTIFS('Alle woningen'!H2:H579,"Den Helder",'Alle woningen'!W2:W579,"Eengezinswoning")</f>
        <v>0</v>
      </c>
      <c r="K16">
        <f>COUNTIFS('Alle woningen'!H2:H579,"Den Helder",'Alle woningen'!W2:W579,"Woonhuis")</f>
        <v>0</v>
      </c>
      <c r="L16">
        <f>COUNTIFS('Alle woningen'!H2:H579,"Den Helder",'Alle woningen'!W2:W579,"Overig grondgebonden")</f>
        <v>0</v>
      </c>
      <c r="M16">
        <f>COUNTIFS('Alle woningen'!H2:H579,"Den Helder",'Alle woningen'!W2:W579,"Appartement")</f>
        <v>0</v>
      </c>
      <c r="N16">
        <f>SUM(B16:M16)</f>
        <v>15</v>
      </c>
    </row>
    <row r="17">
      <c r="A17" t="str">
        <v>Deventer</v>
      </c>
      <c r="B17">
        <f>COUNTIFS('Alle woningen'!H2:H579,"Deventer",'Alle woningen'!W2:W579,"Vrijstaande woning")</f>
        <v>1</v>
      </c>
      <c r="C17">
        <f>COUNTIFS('Alle woningen'!H2:H579,"Deventer",'Alle woningen'!W2:W579,"2-onder-1-kapwoning")</f>
        <v>0</v>
      </c>
      <c r="D17">
        <f>COUNTIFS('Alle woningen'!H2:H579,"Deventer",'Alle woningen'!W2:W579,"Hoekwoning")</f>
        <v>0</v>
      </c>
      <c r="E17">
        <f>COUNTIFS('Alle woningen'!H2:H579,"Deventer",'Alle woningen'!W2:W579,"Tussenwoning")</f>
        <v>0</v>
      </c>
      <c r="F17">
        <f>COUNTIFS('Alle woningen'!H2:H579,"Deventer",'Alle woningen'!W2:W579,"Eindwoning")</f>
        <v>0</v>
      </c>
      <c r="G17">
        <f>COUNTIFS('Alle woningen'!H2:H579,"Deventer",'Alle woningen'!W2:W579,"Geschakelde woning")</f>
        <v>0</v>
      </c>
      <c r="H17">
        <f>COUNTIFS('Alle woningen'!H2:H579,"Deventer",'Alle woningen'!W2:W579,"Herenhuis")</f>
        <v>0</v>
      </c>
      <c r="I17">
        <f>COUNTIFS('Alle woningen'!H2:H579,"Deventer",'Alle woningen'!W2:W579,"Bungalow")</f>
        <v>0</v>
      </c>
      <c r="J17">
        <f>COUNTIFS('Alle woningen'!H2:H579,"Deventer",'Alle woningen'!W2:W579,"Eengezinswoning")</f>
        <v>0</v>
      </c>
      <c r="K17">
        <f>COUNTIFS('Alle woningen'!H2:H579,"Deventer",'Alle woningen'!W2:W579,"Woonhuis")</f>
        <v>0</v>
      </c>
      <c r="L17">
        <f>COUNTIFS('Alle woningen'!H2:H579,"Deventer",'Alle woningen'!W2:W579,"Overig grondgebonden")</f>
        <v>0</v>
      </c>
      <c r="M17">
        <f>COUNTIFS('Alle woningen'!H2:H579,"Deventer",'Alle woningen'!W2:W579,"Appartement")</f>
        <v>0</v>
      </c>
      <c r="N17">
        <f>SUM(B17:M17)</f>
        <v>1</v>
      </c>
    </row>
    <row r="18">
      <c r="A18" t="str">
        <v>Diemen</v>
      </c>
      <c r="B18">
        <f>COUNTIFS('Alle woningen'!H2:H579,"Diemen",'Alle woningen'!W2:W579,"Vrijstaande woning")</f>
        <v>0</v>
      </c>
      <c r="C18">
        <f>COUNTIFS('Alle woningen'!H2:H579,"Diemen",'Alle woningen'!W2:W579,"2-onder-1-kapwoning")</f>
        <v>0</v>
      </c>
      <c r="D18">
        <f>COUNTIFS('Alle woningen'!H2:H579,"Diemen",'Alle woningen'!W2:W579,"Hoekwoning")</f>
        <v>0</v>
      </c>
      <c r="E18">
        <f>COUNTIFS('Alle woningen'!H2:H579,"Diemen",'Alle woningen'!W2:W579,"Tussenwoning")</f>
        <v>1</v>
      </c>
      <c r="F18">
        <f>COUNTIFS('Alle woningen'!H2:H579,"Diemen",'Alle woningen'!W2:W579,"Eindwoning")</f>
        <v>0</v>
      </c>
      <c r="G18">
        <f>COUNTIFS('Alle woningen'!H2:H579,"Diemen",'Alle woningen'!W2:W579,"Geschakelde woning")</f>
        <v>0</v>
      </c>
      <c r="H18">
        <f>COUNTIFS('Alle woningen'!H2:H579,"Diemen",'Alle woningen'!W2:W579,"Herenhuis")</f>
        <v>0</v>
      </c>
      <c r="I18">
        <f>COUNTIFS('Alle woningen'!H2:H579,"Diemen",'Alle woningen'!W2:W579,"Bungalow")</f>
        <v>0</v>
      </c>
      <c r="J18">
        <f>COUNTIFS('Alle woningen'!H2:H579,"Diemen",'Alle woningen'!W2:W579,"Eengezinswoning")</f>
        <v>0</v>
      </c>
      <c r="K18">
        <f>COUNTIFS('Alle woningen'!H2:H579,"Diemen",'Alle woningen'!W2:W579,"Woonhuis")</f>
        <v>0</v>
      </c>
      <c r="L18">
        <f>COUNTIFS('Alle woningen'!H2:H579,"Diemen",'Alle woningen'!W2:W579,"Overig grondgebonden")</f>
        <v>0</v>
      </c>
      <c r="M18">
        <f>COUNTIFS('Alle woningen'!H2:H579,"Diemen",'Alle woningen'!W2:W579,"Appartement")</f>
        <v>0</v>
      </c>
      <c r="N18">
        <f>SUM(B18:M18)</f>
        <v>1</v>
      </c>
    </row>
    <row r="19">
      <c r="A19" t="str">
        <v>Dinkelland</v>
      </c>
      <c r="B19">
        <f>COUNTIFS('Alle woningen'!H2:H579,"Dinkelland",'Alle woningen'!W2:W579,"Vrijstaande woning")</f>
        <v>0</v>
      </c>
      <c r="C19">
        <f>COUNTIFS('Alle woningen'!H2:H579,"Dinkelland",'Alle woningen'!W2:W579,"2-onder-1-kapwoning")</f>
        <v>0</v>
      </c>
      <c r="D19">
        <f>COUNTIFS('Alle woningen'!H2:H579,"Dinkelland",'Alle woningen'!W2:W579,"Hoekwoning")</f>
        <v>0</v>
      </c>
      <c r="E19">
        <f>COUNTIFS('Alle woningen'!H2:H579,"Dinkelland",'Alle woningen'!W2:W579,"Tussenwoning")</f>
        <v>3</v>
      </c>
      <c r="F19">
        <f>COUNTIFS('Alle woningen'!H2:H579,"Dinkelland",'Alle woningen'!W2:W579,"Eindwoning")</f>
        <v>2</v>
      </c>
      <c r="G19">
        <f>COUNTIFS('Alle woningen'!H2:H579,"Dinkelland",'Alle woningen'!W2:W579,"Geschakelde woning")</f>
        <v>5</v>
      </c>
      <c r="H19">
        <f>COUNTIFS('Alle woningen'!H2:H579,"Dinkelland",'Alle woningen'!W2:W579,"Herenhuis")</f>
        <v>0</v>
      </c>
      <c r="I19">
        <f>COUNTIFS('Alle woningen'!H2:H579,"Dinkelland",'Alle woningen'!W2:W579,"Bungalow")</f>
        <v>0</v>
      </c>
      <c r="J19">
        <f>COUNTIFS('Alle woningen'!H2:H579,"Dinkelland",'Alle woningen'!W2:W579,"Eengezinswoning")</f>
        <v>0</v>
      </c>
      <c r="K19">
        <f>COUNTIFS('Alle woningen'!H2:H579,"Dinkelland",'Alle woningen'!W2:W579,"Woonhuis")</f>
        <v>0</v>
      </c>
      <c r="L19">
        <f>COUNTIFS('Alle woningen'!H2:H579,"Dinkelland",'Alle woningen'!W2:W579,"Overig grondgebonden")</f>
        <v>0</v>
      </c>
      <c r="M19">
        <f>COUNTIFS('Alle woningen'!H2:H579,"Dinkelland",'Alle woningen'!W2:W579,"Appartement")</f>
        <v>0</v>
      </c>
      <c r="N19">
        <f>SUM(B19:M19)</f>
        <v>10</v>
      </c>
    </row>
    <row r="20">
      <c r="A20" t="str">
        <v>Doetinchem</v>
      </c>
      <c r="B20">
        <f>COUNTIFS('Alle woningen'!H2:H579,"Doetinchem",'Alle woningen'!W2:W579,"Vrijstaande woning")</f>
        <v>1</v>
      </c>
      <c r="C20">
        <f>COUNTIFS('Alle woningen'!H2:H579,"Doetinchem",'Alle woningen'!W2:W579,"2-onder-1-kapwoning")</f>
        <v>0</v>
      </c>
      <c r="D20">
        <f>COUNTIFS('Alle woningen'!H2:H579,"Doetinchem",'Alle woningen'!W2:W579,"Hoekwoning")</f>
        <v>0</v>
      </c>
      <c r="E20">
        <f>COUNTIFS('Alle woningen'!H2:H579,"Doetinchem",'Alle woningen'!W2:W579,"Tussenwoning")</f>
        <v>0</v>
      </c>
      <c r="F20">
        <f>COUNTIFS('Alle woningen'!H2:H579,"Doetinchem",'Alle woningen'!W2:W579,"Eindwoning")</f>
        <v>0</v>
      </c>
      <c r="G20">
        <f>COUNTIFS('Alle woningen'!H2:H579,"Doetinchem",'Alle woningen'!W2:W579,"Geschakelde woning")</f>
        <v>0</v>
      </c>
      <c r="H20">
        <f>COUNTIFS('Alle woningen'!H2:H579,"Doetinchem",'Alle woningen'!W2:W579,"Herenhuis")</f>
        <v>0</v>
      </c>
      <c r="I20">
        <f>COUNTIFS('Alle woningen'!H2:H579,"Doetinchem",'Alle woningen'!W2:W579,"Bungalow")</f>
        <v>0</v>
      </c>
      <c r="J20">
        <f>COUNTIFS('Alle woningen'!H2:H579,"Doetinchem",'Alle woningen'!W2:W579,"Eengezinswoning")</f>
        <v>0</v>
      </c>
      <c r="K20">
        <f>COUNTIFS('Alle woningen'!H2:H579,"Doetinchem",'Alle woningen'!W2:W579,"Woonhuis")</f>
        <v>0</v>
      </c>
      <c r="L20">
        <f>COUNTIFS('Alle woningen'!H2:H579,"Doetinchem",'Alle woningen'!W2:W579,"Overig grondgebonden")</f>
        <v>0</v>
      </c>
      <c r="M20">
        <f>COUNTIFS('Alle woningen'!H2:H579,"Doetinchem",'Alle woningen'!W2:W579,"Appartement")</f>
        <v>0</v>
      </c>
      <c r="N20">
        <f>SUM(B20:M20)</f>
        <v>1</v>
      </c>
    </row>
    <row r="21">
      <c r="A21" t="str">
        <v>Dronten</v>
      </c>
      <c r="B21">
        <f>COUNTIFS('Alle woningen'!H2:H579,"Dronten",'Alle woningen'!W2:W579,"Vrijstaande woning")</f>
        <v>2</v>
      </c>
      <c r="C21">
        <f>COUNTIFS('Alle woningen'!H2:H579,"Dronten",'Alle woningen'!W2:W579,"2-onder-1-kapwoning")</f>
        <v>0</v>
      </c>
      <c r="D21">
        <f>COUNTIFS('Alle woningen'!H2:H579,"Dronten",'Alle woningen'!W2:W579,"Hoekwoning")</f>
        <v>0</v>
      </c>
      <c r="E21">
        <f>COUNTIFS('Alle woningen'!H2:H579,"Dronten",'Alle woningen'!W2:W579,"Tussenwoning")</f>
        <v>0</v>
      </c>
      <c r="F21">
        <f>COUNTIFS('Alle woningen'!H2:H579,"Dronten",'Alle woningen'!W2:W579,"Eindwoning")</f>
        <v>0</v>
      </c>
      <c r="G21">
        <f>COUNTIFS('Alle woningen'!H2:H579,"Dronten",'Alle woningen'!W2:W579,"Geschakelde woning")</f>
        <v>0</v>
      </c>
      <c r="H21">
        <f>COUNTIFS('Alle woningen'!H2:H579,"Dronten",'Alle woningen'!W2:W579,"Herenhuis")</f>
        <v>0</v>
      </c>
      <c r="I21">
        <f>COUNTIFS('Alle woningen'!H2:H579,"Dronten",'Alle woningen'!W2:W579,"Bungalow")</f>
        <v>0</v>
      </c>
      <c r="J21">
        <f>COUNTIFS('Alle woningen'!H2:H579,"Dronten",'Alle woningen'!W2:W579,"Eengezinswoning")</f>
        <v>0</v>
      </c>
      <c r="K21">
        <f>COUNTIFS('Alle woningen'!H2:H579,"Dronten",'Alle woningen'!W2:W579,"Woonhuis")</f>
        <v>0</v>
      </c>
      <c r="L21">
        <f>COUNTIFS('Alle woningen'!H2:H579,"Dronten",'Alle woningen'!W2:W579,"Overig grondgebonden")</f>
        <v>0</v>
      </c>
      <c r="M21">
        <f>COUNTIFS('Alle woningen'!H2:H579,"Dronten",'Alle woningen'!W2:W579,"Appartement")</f>
        <v>0</v>
      </c>
      <c r="N21">
        <f>SUM(B21:M21)</f>
        <v>2</v>
      </c>
    </row>
    <row r="22">
      <c r="A22" t="str">
        <v>Echt-Susteren</v>
      </c>
      <c r="B22">
        <f>COUNTIFS('Alle woningen'!H2:H579,"Echt-Susteren",'Alle woningen'!W2:W579,"Vrijstaande woning")</f>
        <v>0</v>
      </c>
      <c r="C22">
        <f>COUNTIFS('Alle woningen'!H2:H579,"Echt-Susteren",'Alle woningen'!W2:W579,"2-onder-1-kapwoning")</f>
        <v>2</v>
      </c>
      <c r="D22">
        <f>COUNTIFS('Alle woningen'!H2:H579,"Echt-Susteren",'Alle woningen'!W2:W579,"Hoekwoning")</f>
        <v>0</v>
      </c>
      <c r="E22">
        <f>COUNTIFS('Alle woningen'!H2:H579,"Echt-Susteren",'Alle woningen'!W2:W579,"Tussenwoning")</f>
        <v>0</v>
      </c>
      <c r="F22">
        <f>COUNTIFS('Alle woningen'!H2:H579,"Echt-Susteren",'Alle woningen'!W2:W579,"Eindwoning")</f>
        <v>0</v>
      </c>
      <c r="G22">
        <f>COUNTIFS('Alle woningen'!H2:H579,"Echt-Susteren",'Alle woningen'!W2:W579,"Geschakelde woning")</f>
        <v>0</v>
      </c>
      <c r="H22">
        <f>COUNTIFS('Alle woningen'!H2:H579,"Echt-Susteren",'Alle woningen'!W2:W579,"Herenhuis")</f>
        <v>0</v>
      </c>
      <c r="I22">
        <f>COUNTIFS('Alle woningen'!H2:H579,"Echt-Susteren",'Alle woningen'!W2:W579,"Bungalow")</f>
        <v>0</v>
      </c>
      <c r="J22">
        <f>COUNTIFS('Alle woningen'!H2:H579,"Echt-Susteren",'Alle woningen'!W2:W579,"Eengezinswoning")</f>
        <v>0</v>
      </c>
      <c r="K22">
        <f>COUNTIFS('Alle woningen'!H2:H579,"Echt-Susteren",'Alle woningen'!W2:W579,"Woonhuis")</f>
        <v>0</v>
      </c>
      <c r="L22">
        <f>COUNTIFS('Alle woningen'!H2:H579,"Echt-Susteren",'Alle woningen'!W2:W579,"Overig grondgebonden")</f>
        <v>0</v>
      </c>
      <c r="M22">
        <f>COUNTIFS('Alle woningen'!H2:H579,"Echt-Susteren",'Alle woningen'!W2:W579,"Appartement")</f>
        <v>0</v>
      </c>
      <c r="N22">
        <f>SUM(B22:M22)</f>
        <v>2</v>
      </c>
    </row>
    <row r="23">
      <c r="A23" t="str">
        <v>Eindhoven</v>
      </c>
      <c r="B23">
        <f>COUNTIFS('Alle woningen'!H2:H579,"Eindhoven",'Alle woningen'!W2:W579,"Vrijstaande woning")</f>
        <v>0</v>
      </c>
      <c r="C23">
        <f>COUNTIFS('Alle woningen'!H2:H579,"Eindhoven",'Alle woningen'!W2:W579,"2-onder-1-kapwoning")</f>
        <v>0</v>
      </c>
      <c r="D23">
        <f>COUNTIFS('Alle woningen'!H2:H579,"Eindhoven",'Alle woningen'!W2:W579,"Hoekwoning")</f>
        <v>0</v>
      </c>
      <c r="E23">
        <f>COUNTIFS('Alle woningen'!H2:H579,"Eindhoven",'Alle woningen'!W2:W579,"Tussenwoning")</f>
        <v>0</v>
      </c>
      <c r="F23">
        <f>COUNTIFS('Alle woningen'!H2:H579,"Eindhoven",'Alle woningen'!W2:W579,"Eindwoning")</f>
        <v>0</v>
      </c>
      <c r="G23">
        <f>COUNTIFS('Alle woningen'!H2:H579,"Eindhoven",'Alle woningen'!W2:W579,"Geschakelde woning")</f>
        <v>0</v>
      </c>
      <c r="H23">
        <f>COUNTIFS('Alle woningen'!H2:H579,"Eindhoven",'Alle woningen'!W2:W579,"Herenhuis")</f>
        <v>0</v>
      </c>
      <c r="I23">
        <f>COUNTIFS('Alle woningen'!H2:H579,"Eindhoven",'Alle woningen'!W2:W579,"Bungalow")</f>
        <v>0</v>
      </c>
      <c r="J23">
        <f>COUNTIFS('Alle woningen'!H2:H579,"Eindhoven",'Alle woningen'!W2:W579,"Eengezinswoning")</f>
        <v>0</v>
      </c>
      <c r="K23">
        <f>COUNTIFS('Alle woningen'!H2:H579,"Eindhoven",'Alle woningen'!W2:W579,"Woonhuis")</f>
        <v>0</v>
      </c>
      <c r="L23">
        <f>COUNTIFS('Alle woningen'!H2:H579,"Eindhoven",'Alle woningen'!W2:W579,"Overig grondgebonden")</f>
        <v>0</v>
      </c>
      <c r="M23">
        <f>COUNTIFS('Alle woningen'!H2:H579,"Eindhoven",'Alle woningen'!W2:W579,"Appartement")</f>
        <v>6</v>
      </c>
      <c r="N23">
        <f>SUM(B23:M23)</f>
        <v>6</v>
      </c>
    </row>
    <row r="24">
      <c r="A24" t="str">
        <v>Emmen</v>
      </c>
      <c r="B24">
        <f>COUNTIFS('Alle woningen'!H2:H579,"Emmen",'Alle woningen'!W2:W579,"Vrijstaande woning")</f>
        <v>0</v>
      </c>
      <c r="C24">
        <f>COUNTIFS('Alle woningen'!H2:H579,"Emmen",'Alle woningen'!W2:W579,"2-onder-1-kapwoning")</f>
        <v>0</v>
      </c>
      <c r="D24">
        <f>COUNTIFS('Alle woningen'!H2:H579,"Emmen",'Alle woningen'!W2:W579,"Hoekwoning")</f>
        <v>0</v>
      </c>
      <c r="E24">
        <f>COUNTIFS('Alle woningen'!H2:H579,"Emmen",'Alle woningen'!W2:W579,"Tussenwoning")</f>
        <v>0</v>
      </c>
      <c r="F24">
        <f>COUNTIFS('Alle woningen'!H2:H579,"Emmen",'Alle woningen'!W2:W579,"Eindwoning")</f>
        <v>0</v>
      </c>
      <c r="G24">
        <f>COUNTIFS('Alle woningen'!H2:H579,"Emmen",'Alle woningen'!W2:W579,"Geschakelde woning")</f>
        <v>0</v>
      </c>
      <c r="H24">
        <f>COUNTIFS('Alle woningen'!H2:H579,"Emmen",'Alle woningen'!W2:W579,"Herenhuis")</f>
        <v>0</v>
      </c>
      <c r="I24">
        <f>COUNTIFS('Alle woningen'!H2:H579,"Emmen",'Alle woningen'!W2:W579,"Bungalow")</f>
        <v>0</v>
      </c>
      <c r="J24">
        <f>COUNTIFS('Alle woningen'!H2:H579,"Emmen",'Alle woningen'!W2:W579,"Eengezinswoning")</f>
        <v>0</v>
      </c>
      <c r="K24">
        <f>COUNTIFS('Alle woningen'!H2:H579,"Emmen",'Alle woningen'!W2:W579,"Woonhuis")</f>
        <v>0</v>
      </c>
      <c r="L24">
        <f>COUNTIFS('Alle woningen'!H2:H579,"Emmen",'Alle woningen'!W2:W579,"Overig grondgebonden")</f>
        <v>0</v>
      </c>
      <c r="M24">
        <f>COUNTIFS('Alle woningen'!H2:H579,"Emmen",'Alle woningen'!W2:W579,"Appartement")</f>
        <v>2</v>
      </c>
      <c r="N24">
        <f>SUM(B24:M24)</f>
        <v>2</v>
      </c>
    </row>
    <row r="25">
      <c r="A25" t="str">
        <v>Enschede</v>
      </c>
      <c r="B25">
        <f>COUNTIFS('Alle woningen'!H2:H579,"Enschede",'Alle woningen'!W2:W579,"Vrijstaande woning")</f>
        <v>0</v>
      </c>
      <c r="C25">
        <f>COUNTIFS('Alle woningen'!H2:H579,"Enschede",'Alle woningen'!W2:W579,"2-onder-1-kapwoning")</f>
        <v>0</v>
      </c>
      <c r="D25">
        <f>COUNTIFS('Alle woningen'!H2:H579,"Enschede",'Alle woningen'!W2:W579,"Hoekwoning")</f>
        <v>0</v>
      </c>
      <c r="E25">
        <f>COUNTIFS('Alle woningen'!H2:H579,"Enschede",'Alle woningen'!W2:W579,"Tussenwoning")</f>
        <v>1</v>
      </c>
      <c r="F25">
        <f>COUNTIFS('Alle woningen'!H2:H579,"Enschede",'Alle woningen'!W2:W579,"Eindwoning")</f>
        <v>0</v>
      </c>
      <c r="G25">
        <f>COUNTIFS('Alle woningen'!H2:H579,"Enschede",'Alle woningen'!W2:W579,"Geschakelde woning")</f>
        <v>0</v>
      </c>
      <c r="H25">
        <f>COUNTIFS('Alle woningen'!H2:H579,"Enschede",'Alle woningen'!W2:W579,"Herenhuis")</f>
        <v>0</v>
      </c>
      <c r="I25">
        <f>COUNTIFS('Alle woningen'!H2:H579,"Enschede",'Alle woningen'!W2:W579,"Bungalow")</f>
        <v>0</v>
      </c>
      <c r="J25">
        <f>COUNTIFS('Alle woningen'!H2:H579,"Enschede",'Alle woningen'!W2:W579,"Eengezinswoning")</f>
        <v>0</v>
      </c>
      <c r="K25">
        <f>COUNTIFS('Alle woningen'!H2:H579,"Enschede",'Alle woningen'!W2:W579,"Woonhuis")</f>
        <v>0</v>
      </c>
      <c r="L25">
        <f>COUNTIFS('Alle woningen'!H2:H579,"Enschede",'Alle woningen'!W2:W579,"Overig grondgebonden")</f>
        <v>0</v>
      </c>
      <c r="M25">
        <f>COUNTIFS('Alle woningen'!H2:H579,"Enschede",'Alle woningen'!W2:W579,"Appartement")</f>
        <v>0</v>
      </c>
      <c r="N25">
        <f>SUM(B25:M25)</f>
        <v>1</v>
      </c>
    </row>
    <row r="26">
      <c r="A26" t="str">
        <v>Gennep</v>
      </c>
      <c r="B26">
        <f>COUNTIFS('Alle woningen'!H2:H579,"Gennep",'Alle woningen'!W2:W579,"Vrijstaande woning")</f>
        <v>0</v>
      </c>
      <c r="C26">
        <f>COUNTIFS('Alle woningen'!H2:H579,"Gennep",'Alle woningen'!W2:W579,"2-onder-1-kapwoning")</f>
        <v>0</v>
      </c>
      <c r="D26">
        <f>COUNTIFS('Alle woningen'!H2:H579,"Gennep",'Alle woningen'!W2:W579,"Hoekwoning")</f>
        <v>0</v>
      </c>
      <c r="E26">
        <f>COUNTIFS('Alle woningen'!H2:H579,"Gennep",'Alle woningen'!W2:W579,"Tussenwoning")</f>
        <v>0</v>
      </c>
      <c r="F26">
        <f>COUNTIFS('Alle woningen'!H2:H579,"Gennep",'Alle woningen'!W2:W579,"Eindwoning")</f>
        <v>0</v>
      </c>
      <c r="G26">
        <f>COUNTIFS('Alle woningen'!H2:H579,"Gennep",'Alle woningen'!W2:W579,"Geschakelde woning")</f>
        <v>0</v>
      </c>
      <c r="H26">
        <f>COUNTIFS('Alle woningen'!H2:H579,"Gennep",'Alle woningen'!W2:W579,"Herenhuis")</f>
        <v>0</v>
      </c>
      <c r="I26">
        <f>COUNTIFS('Alle woningen'!H2:H579,"Gennep",'Alle woningen'!W2:W579,"Bungalow")</f>
        <v>0</v>
      </c>
      <c r="J26">
        <f>COUNTIFS('Alle woningen'!H2:H579,"Gennep",'Alle woningen'!W2:W579,"Eengezinswoning")</f>
        <v>0</v>
      </c>
      <c r="K26">
        <f>COUNTIFS('Alle woningen'!H2:H579,"Gennep",'Alle woningen'!W2:W579,"Woonhuis")</f>
        <v>0</v>
      </c>
      <c r="L26">
        <f>COUNTIFS('Alle woningen'!H2:H579,"Gennep",'Alle woningen'!W2:W579,"Overig grondgebonden")</f>
        <v>0</v>
      </c>
      <c r="M26">
        <f>COUNTIFS('Alle woningen'!H2:H579,"Gennep",'Alle woningen'!W2:W579,"Appartement")</f>
        <v>3</v>
      </c>
      <c r="N26">
        <f>SUM(B26:M26)</f>
        <v>3</v>
      </c>
    </row>
    <row r="27">
      <c r="A27" t="str">
        <v>Gilze en Rijen</v>
      </c>
      <c r="B27">
        <f>COUNTIFS('Alle woningen'!H2:H579,"Gilze en Rijen",'Alle woningen'!W2:W579,"Vrijstaande woning")</f>
        <v>0</v>
      </c>
      <c r="C27">
        <f>COUNTIFS('Alle woningen'!H2:H579,"Gilze en Rijen",'Alle woningen'!W2:W579,"2-onder-1-kapwoning")</f>
        <v>0</v>
      </c>
      <c r="D27">
        <f>COUNTIFS('Alle woningen'!H2:H579,"Gilze en Rijen",'Alle woningen'!W2:W579,"Hoekwoning")</f>
        <v>4</v>
      </c>
      <c r="E27">
        <f>COUNTIFS('Alle woningen'!H2:H579,"Gilze en Rijen",'Alle woningen'!W2:W579,"Tussenwoning")</f>
        <v>6</v>
      </c>
      <c r="F27">
        <f>COUNTIFS('Alle woningen'!H2:H579,"Gilze en Rijen",'Alle woningen'!W2:W579,"Eindwoning")</f>
        <v>0</v>
      </c>
      <c r="G27">
        <f>COUNTIFS('Alle woningen'!H2:H579,"Gilze en Rijen",'Alle woningen'!W2:W579,"Geschakelde woning")</f>
        <v>0</v>
      </c>
      <c r="H27">
        <f>COUNTIFS('Alle woningen'!H2:H579,"Gilze en Rijen",'Alle woningen'!W2:W579,"Herenhuis")</f>
        <v>0</v>
      </c>
      <c r="I27">
        <f>COUNTIFS('Alle woningen'!H2:H579,"Gilze en Rijen",'Alle woningen'!W2:W579,"Bungalow")</f>
        <v>0</v>
      </c>
      <c r="J27">
        <f>COUNTIFS('Alle woningen'!H2:H579,"Gilze en Rijen",'Alle woningen'!W2:W579,"Eengezinswoning")</f>
        <v>0</v>
      </c>
      <c r="K27">
        <f>COUNTIFS('Alle woningen'!H2:H579,"Gilze en Rijen",'Alle woningen'!W2:W579,"Woonhuis")</f>
        <v>0</v>
      </c>
      <c r="L27">
        <f>COUNTIFS('Alle woningen'!H2:H579,"Gilze en Rijen",'Alle woningen'!W2:W579,"Overig grondgebonden")</f>
        <v>0</v>
      </c>
      <c r="M27">
        <f>COUNTIFS('Alle woningen'!H2:H579,"Gilze en Rijen",'Alle woningen'!W2:W579,"Appartement")</f>
        <v>0</v>
      </c>
      <c r="N27">
        <f>SUM(B27:M27)</f>
        <v>10</v>
      </c>
    </row>
    <row r="28">
      <c r="A28" t="str">
        <v>Gooise Meren</v>
      </c>
      <c r="B28">
        <f>COUNTIFS('Alle woningen'!H2:H579,"Gooise Meren",'Alle woningen'!W2:W579,"Vrijstaande woning")</f>
        <v>0</v>
      </c>
      <c r="C28">
        <f>COUNTIFS('Alle woningen'!H2:H579,"Gooise Meren",'Alle woningen'!W2:W579,"2-onder-1-kapwoning")</f>
        <v>0</v>
      </c>
      <c r="D28">
        <f>COUNTIFS('Alle woningen'!H2:H579,"Gooise Meren",'Alle woningen'!W2:W579,"Hoekwoning")</f>
        <v>1</v>
      </c>
      <c r="E28">
        <f>COUNTIFS('Alle woningen'!H2:H579,"Gooise Meren",'Alle woningen'!W2:W579,"Tussenwoning")</f>
        <v>2</v>
      </c>
      <c r="F28">
        <f>COUNTIFS('Alle woningen'!H2:H579,"Gooise Meren",'Alle woningen'!W2:W579,"Eindwoning")</f>
        <v>0</v>
      </c>
      <c r="G28">
        <f>COUNTIFS('Alle woningen'!H2:H579,"Gooise Meren",'Alle woningen'!W2:W579,"Geschakelde woning")</f>
        <v>0</v>
      </c>
      <c r="H28">
        <f>COUNTIFS('Alle woningen'!H2:H579,"Gooise Meren",'Alle woningen'!W2:W579,"Herenhuis")</f>
        <v>0</v>
      </c>
      <c r="I28">
        <f>COUNTIFS('Alle woningen'!H2:H579,"Gooise Meren",'Alle woningen'!W2:W579,"Bungalow")</f>
        <v>0</v>
      </c>
      <c r="J28">
        <f>COUNTIFS('Alle woningen'!H2:H579,"Gooise Meren",'Alle woningen'!W2:W579,"Eengezinswoning")</f>
        <v>0</v>
      </c>
      <c r="K28">
        <f>COUNTIFS('Alle woningen'!H2:H579,"Gooise Meren",'Alle woningen'!W2:W579,"Woonhuis")</f>
        <v>0</v>
      </c>
      <c r="L28">
        <f>COUNTIFS('Alle woningen'!H2:H579,"Gooise Meren",'Alle woningen'!W2:W579,"Overig grondgebonden")</f>
        <v>0</v>
      </c>
      <c r="M28">
        <f>COUNTIFS('Alle woningen'!H2:H579,"Gooise Meren",'Alle woningen'!W2:W579,"Appartement")</f>
        <v>0</v>
      </c>
      <c r="N28">
        <f>SUM(B28:M28)</f>
        <v>3</v>
      </c>
    </row>
    <row r="29">
      <c r="A29" t="str">
        <v>Haarlem</v>
      </c>
      <c r="B29">
        <f>COUNTIFS('Alle woningen'!H2:H579,"Haarlem",'Alle woningen'!W2:W579,"Vrijstaande woning")</f>
        <v>0</v>
      </c>
      <c r="C29">
        <f>COUNTIFS('Alle woningen'!H2:H579,"Haarlem",'Alle woningen'!W2:W579,"2-onder-1-kapwoning")</f>
        <v>0</v>
      </c>
      <c r="D29">
        <f>COUNTIFS('Alle woningen'!H2:H579,"Haarlem",'Alle woningen'!W2:W579,"Hoekwoning")</f>
        <v>0</v>
      </c>
      <c r="E29">
        <f>COUNTIFS('Alle woningen'!H2:H579,"Haarlem",'Alle woningen'!W2:W579,"Tussenwoning")</f>
        <v>0</v>
      </c>
      <c r="F29">
        <f>COUNTIFS('Alle woningen'!H2:H579,"Haarlem",'Alle woningen'!W2:W579,"Eindwoning")</f>
        <v>0</v>
      </c>
      <c r="G29">
        <f>COUNTIFS('Alle woningen'!H2:H579,"Haarlem",'Alle woningen'!W2:W579,"Geschakelde woning")</f>
        <v>0</v>
      </c>
      <c r="H29">
        <f>COUNTIFS('Alle woningen'!H2:H579,"Haarlem",'Alle woningen'!W2:W579,"Herenhuis")</f>
        <v>0</v>
      </c>
      <c r="I29">
        <f>COUNTIFS('Alle woningen'!H2:H579,"Haarlem",'Alle woningen'!W2:W579,"Bungalow")</f>
        <v>0</v>
      </c>
      <c r="J29">
        <f>COUNTIFS('Alle woningen'!H2:H579,"Haarlem",'Alle woningen'!W2:W579,"Eengezinswoning")</f>
        <v>0</v>
      </c>
      <c r="K29">
        <f>COUNTIFS('Alle woningen'!H2:H579,"Haarlem",'Alle woningen'!W2:W579,"Woonhuis")</f>
        <v>0</v>
      </c>
      <c r="L29">
        <f>COUNTIFS('Alle woningen'!H2:H579,"Haarlem",'Alle woningen'!W2:W579,"Overig grondgebonden")</f>
        <v>0</v>
      </c>
      <c r="M29">
        <f>COUNTIFS('Alle woningen'!H2:H579,"Haarlem",'Alle woningen'!W2:W579,"Appartement")</f>
        <v>3</v>
      </c>
      <c r="N29">
        <f>SUM(B29:M29)</f>
        <v>3</v>
      </c>
    </row>
    <row r="30">
      <c r="A30" t="str">
        <v>Haarlemmermeer</v>
      </c>
      <c r="B30">
        <f>COUNTIFS('Alle woningen'!H2:H579,"Haarlemmermeer",'Alle woningen'!W2:W579,"Vrijstaande woning")</f>
        <v>0</v>
      </c>
      <c r="C30">
        <f>COUNTIFS('Alle woningen'!H2:H579,"Haarlemmermeer",'Alle woningen'!W2:W579,"2-onder-1-kapwoning")</f>
        <v>0</v>
      </c>
      <c r="D30">
        <f>COUNTIFS('Alle woningen'!H2:H579,"Haarlemmermeer",'Alle woningen'!W2:W579,"Hoekwoning")</f>
        <v>0</v>
      </c>
      <c r="E30">
        <f>COUNTIFS('Alle woningen'!H2:H579,"Haarlemmermeer",'Alle woningen'!W2:W579,"Tussenwoning")</f>
        <v>0</v>
      </c>
      <c r="F30">
        <f>COUNTIFS('Alle woningen'!H2:H579,"Haarlemmermeer",'Alle woningen'!W2:W579,"Eindwoning")</f>
        <v>0</v>
      </c>
      <c r="G30">
        <f>COUNTIFS('Alle woningen'!H2:H579,"Haarlemmermeer",'Alle woningen'!W2:W579,"Geschakelde woning")</f>
        <v>0</v>
      </c>
      <c r="H30">
        <f>COUNTIFS('Alle woningen'!H2:H579,"Haarlemmermeer",'Alle woningen'!W2:W579,"Herenhuis")</f>
        <v>0</v>
      </c>
      <c r="I30">
        <f>COUNTIFS('Alle woningen'!H2:H579,"Haarlemmermeer",'Alle woningen'!W2:W579,"Bungalow")</f>
        <v>0</v>
      </c>
      <c r="J30">
        <f>COUNTIFS('Alle woningen'!H2:H579,"Haarlemmermeer",'Alle woningen'!W2:W579,"Eengezinswoning")</f>
        <v>0</v>
      </c>
      <c r="K30">
        <f>COUNTIFS('Alle woningen'!H2:H579,"Haarlemmermeer",'Alle woningen'!W2:W579,"Woonhuis")</f>
        <v>0</v>
      </c>
      <c r="L30">
        <f>COUNTIFS('Alle woningen'!H2:H579,"Haarlemmermeer",'Alle woningen'!W2:W579,"Overig grondgebonden")</f>
        <v>0</v>
      </c>
      <c r="M30">
        <f>COUNTIFS('Alle woningen'!H2:H579,"Haarlemmermeer",'Alle woningen'!W2:W579,"Appartement")</f>
        <v>1</v>
      </c>
      <c r="N30">
        <f>SUM(B30:M30)</f>
        <v>1</v>
      </c>
    </row>
    <row r="31">
      <c r="A31" t="str">
        <v>Halderberge</v>
      </c>
      <c r="B31">
        <f>COUNTIFS('Alle woningen'!H2:H579,"Halderberge",'Alle woningen'!W2:W579,"Vrijstaande woning")</f>
        <v>0</v>
      </c>
      <c r="C31">
        <f>COUNTIFS('Alle woningen'!H2:H579,"Halderberge",'Alle woningen'!W2:W579,"2-onder-1-kapwoning")</f>
        <v>10</v>
      </c>
      <c r="D31">
        <f>COUNTIFS('Alle woningen'!H2:H579,"Halderberge",'Alle woningen'!W2:W579,"Hoekwoning")</f>
        <v>14</v>
      </c>
      <c r="E31">
        <f>COUNTIFS('Alle woningen'!H2:H579,"Halderberge",'Alle woningen'!W2:W579,"Tussenwoning")</f>
        <v>27</v>
      </c>
      <c r="F31">
        <f>COUNTIFS('Alle woningen'!H2:H579,"Halderberge",'Alle woningen'!W2:W579,"Eindwoning")</f>
        <v>0</v>
      </c>
      <c r="G31">
        <f>COUNTIFS('Alle woningen'!H2:H579,"Halderberge",'Alle woningen'!W2:W579,"Geschakelde woning")</f>
        <v>0</v>
      </c>
      <c r="H31">
        <f>COUNTIFS('Alle woningen'!H2:H579,"Halderberge",'Alle woningen'!W2:W579,"Herenhuis")</f>
        <v>0</v>
      </c>
      <c r="I31">
        <f>COUNTIFS('Alle woningen'!H2:H579,"Halderberge",'Alle woningen'!W2:W579,"Bungalow")</f>
        <v>0</v>
      </c>
      <c r="J31">
        <f>COUNTIFS('Alle woningen'!H2:H579,"Halderberge",'Alle woningen'!W2:W579,"Eengezinswoning")</f>
        <v>0</v>
      </c>
      <c r="K31">
        <f>COUNTIFS('Alle woningen'!H2:H579,"Halderberge",'Alle woningen'!W2:W579,"Woonhuis")</f>
        <v>0</v>
      </c>
      <c r="L31">
        <f>COUNTIFS('Alle woningen'!H2:H579,"Halderberge",'Alle woningen'!W2:W579,"Overig grondgebonden")</f>
        <v>0</v>
      </c>
      <c r="M31">
        <f>COUNTIFS('Alle woningen'!H2:H579,"Halderberge",'Alle woningen'!W2:W579,"Appartement")</f>
        <v>23</v>
      </c>
      <c r="N31">
        <f>SUM(B31:M31)</f>
        <v>74</v>
      </c>
    </row>
    <row r="32">
      <c r="A32" t="str">
        <v>Hardenberg</v>
      </c>
      <c r="B32">
        <f>COUNTIFS('Alle woningen'!H2:H579,"Hardenberg",'Alle woningen'!W2:W579,"Vrijstaande woning")</f>
        <v>0</v>
      </c>
      <c r="C32">
        <f>COUNTIFS('Alle woningen'!H2:H579,"Hardenberg",'Alle woningen'!W2:W579,"2-onder-1-kapwoning")</f>
        <v>1</v>
      </c>
      <c r="D32">
        <f>COUNTIFS('Alle woningen'!H2:H579,"Hardenberg",'Alle woningen'!W2:W579,"Hoekwoning")</f>
        <v>0</v>
      </c>
      <c r="E32">
        <f>COUNTIFS('Alle woningen'!H2:H579,"Hardenberg",'Alle woningen'!W2:W579,"Tussenwoning")</f>
        <v>0</v>
      </c>
      <c r="F32">
        <f>COUNTIFS('Alle woningen'!H2:H579,"Hardenberg",'Alle woningen'!W2:W579,"Eindwoning")</f>
        <v>0</v>
      </c>
      <c r="G32">
        <f>COUNTIFS('Alle woningen'!H2:H579,"Hardenberg",'Alle woningen'!W2:W579,"Geschakelde woning")</f>
        <v>0</v>
      </c>
      <c r="H32">
        <f>COUNTIFS('Alle woningen'!H2:H579,"Hardenberg",'Alle woningen'!W2:W579,"Herenhuis")</f>
        <v>0</v>
      </c>
      <c r="I32">
        <f>COUNTIFS('Alle woningen'!H2:H579,"Hardenberg",'Alle woningen'!W2:W579,"Bungalow")</f>
        <v>0</v>
      </c>
      <c r="J32">
        <f>COUNTIFS('Alle woningen'!H2:H579,"Hardenberg",'Alle woningen'!W2:W579,"Eengezinswoning")</f>
        <v>0</v>
      </c>
      <c r="K32">
        <f>COUNTIFS('Alle woningen'!H2:H579,"Hardenberg",'Alle woningen'!W2:W579,"Woonhuis")</f>
        <v>0</v>
      </c>
      <c r="L32">
        <f>COUNTIFS('Alle woningen'!H2:H579,"Hardenberg",'Alle woningen'!W2:W579,"Overig grondgebonden")</f>
        <v>0</v>
      </c>
      <c r="M32">
        <f>COUNTIFS('Alle woningen'!H2:H579,"Hardenberg",'Alle woningen'!W2:W579,"Appartement")</f>
        <v>0</v>
      </c>
      <c r="N32">
        <f>SUM(B32:M32)</f>
        <v>1</v>
      </c>
    </row>
    <row r="33">
      <c r="A33" t="str">
        <v>Hengelo (O)</v>
      </c>
      <c r="B33">
        <f>COUNTIFS('Alle woningen'!H2:H579,"Hengelo (O)",'Alle woningen'!W2:W579,"Vrijstaande woning")</f>
        <v>0</v>
      </c>
      <c r="C33">
        <f>COUNTIFS('Alle woningen'!H2:H579,"Hengelo (O)",'Alle woningen'!W2:W579,"2-onder-1-kapwoning")</f>
        <v>0</v>
      </c>
      <c r="D33">
        <f>COUNTIFS('Alle woningen'!H2:H579,"Hengelo (O)",'Alle woningen'!W2:W579,"Hoekwoning")</f>
        <v>4</v>
      </c>
      <c r="E33">
        <f>COUNTIFS('Alle woningen'!H2:H579,"Hengelo (O)",'Alle woningen'!W2:W579,"Tussenwoning")</f>
        <v>8</v>
      </c>
      <c r="F33">
        <f>COUNTIFS('Alle woningen'!H2:H579,"Hengelo (O)",'Alle woningen'!W2:W579,"Eindwoning")</f>
        <v>0</v>
      </c>
      <c r="G33">
        <f>COUNTIFS('Alle woningen'!H2:H579,"Hengelo (O)",'Alle woningen'!W2:W579,"Geschakelde woning")</f>
        <v>0</v>
      </c>
      <c r="H33">
        <f>COUNTIFS('Alle woningen'!H2:H579,"Hengelo (O)",'Alle woningen'!W2:W579,"Herenhuis")</f>
        <v>0</v>
      </c>
      <c r="I33">
        <f>COUNTIFS('Alle woningen'!H2:H579,"Hengelo (O)",'Alle woningen'!W2:W579,"Bungalow")</f>
        <v>0</v>
      </c>
      <c r="J33">
        <f>COUNTIFS('Alle woningen'!H2:H579,"Hengelo (O)",'Alle woningen'!W2:W579,"Eengezinswoning")</f>
        <v>0</v>
      </c>
      <c r="K33">
        <f>COUNTIFS('Alle woningen'!H2:H579,"Hengelo (O)",'Alle woningen'!W2:W579,"Woonhuis")</f>
        <v>0</v>
      </c>
      <c r="L33">
        <f>COUNTIFS('Alle woningen'!H2:H579,"Hengelo (O)",'Alle woningen'!W2:W579,"Overig grondgebonden")</f>
        <v>0</v>
      </c>
      <c r="M33">
        <f>COUNTIFS('Alle woningen'!H2:H579,"Hengelo (O)",'Alle woningen'!W2:W579,"Appartement")</f>
        <v>58</v>
      </c>
      <c r="N33">
        <f>SUM(B33:M33)</f>
        <v>70</v>
      </c>
    </row>
    <row r="34">
      <c r="A34" t="str">
        <v>Hoogeveen</v>
      </c>
      <c r="B34">
        <f>COUNTIFS('Alle woningen'!H2:H579,"Hoogeveen",'Alle woningen'!W2:W579,"Vrijstaande woning")</f>
        <v>0</v>
      </c>
      <c r="C34">
        <f>COUNTIFS('Alle woningen'!H2:H579,"Hoogeveen",'Alle woningen'!W2:W579,"2-onder-1-kapwoning")</f>
        <v>0</v>
      </c>
      <c r="D34">
        <f>COUNTIFS('Alle woningen'!H2:H579,"Hoogeveen",'Alle woningen'!W2:W579,"Hoekwoning")</f>
        <v>0</v>
      </c>
      <c r="E34">
        <f>COUNTIFS('Alle woningen'!H2:H579,"Hoogeveen",'Alle woningen'!W2:W579,"Tussenwoning")</f>
        <v>0</v>
      </c>
      <c r="F34">
        <f>COUNTIFS('Alle woningen'!H2:H579,"Hoogeveen",'Alle woningen'!W2:W579,"Eindwoning")</f>
        <v>0</v>
      </c>
      <c r="G34">
        <f>COUNTIFS('Alle woningen'!H2:H579,"Hoogeveen",'Alle woningen'!W2:W579,"Geschakelde woning")</f>
        <v>0</v>
      </c>
      <c r="H34">
        <f>COUNTIFS('Alle woningen'!H2:H579,"Hoogeveen",'Alle woningen'!W2:W579,"Herenhuis")</f>
        <v>0</v>
      </c>
      <c r="I34">
        <f>COUNTIFS('Alle woningen'!H2:H579,"Hoogeveen",'Alle woningen'!W2:W579,"Bungalow")</f>
        <v>0</v>
      </c>
      <c r="J34">
        <f>COUNTIFS('Alle woningen'!H2:H579,"Hoogeveen",'Alle woningen'!W2:W579,"Eengezinswoning")</f>
        <v>0</v>
      </c>
      <c r="K34">
        <f>COUNTIFS('Alle woningen'!H2:H579,"Hoogeveen",'Alle woningen'!W2:W579,"Woonhuis")</f>
        <v>0</v>
      </c>
      <c r="L34">
        <f>COUNTIFS('Alle woningen'!H2:H579,"Hoogeveen",'Alle woningen'!W2:W579,"Overig grondgebonden")</f>
        <v>0</v>
      </c>
      <c r="M34">
        <f>COUNTIFS('Alle woningen'!H2:H579,"Hoogeveen",'Alle woningen'!W2:W579,"Appartement")</f>
        <v>16</v>
      </c>
      <c r="N34">
        <f>SUM(B34:M34)</f>
        <v>16</v>
      </c>
    </row>
    <row r="35">
      <c r="A35" t="str">
        <v>Hoorn</v>
      </c>
      <c r="B35">
        <f>COUNTIFS('Alle woningen'!H2:H579,"Hoorn",'Alle woningen'!W2:W579,"Vrijstaande woning")</f>
        <v>0</v>
      </c>
      <c r="C35">
        <f>COUNTIFS('Alle woningen'!H2:H579,"Hoorn",'Alle woningen'!W2:W579,"2-onder-1-kapwoning")</f>
        <v>0</v>
      </c>
      <c r="D35">
        <f>COUNTIFS('Alle woningen'!H2:H579,"Hoorn",'Alle woningen'!W2:W579,"Hoekwoning")</f>
        <v>0</v>
      </c>
      <c r="E35">
        <f>COUNTIFS('Alle woningen'!H2:H579,"Hoorn",'Alle woningen'!W2:W579,"Tussenwoning")</f>
        <v>0</v>
      </c>
      <c r="F35">
        <f>COUNTIFS('Alle woningen'!H2:H579,"Hoorn",'Alle woningen'!W2:W579,"Eindwoning")</f>
        <v>0</v>
      </c>
      <c r="G35">
        <f>COUNTIFS('Alle woningen'!H2:H579,"Hoorn",'Alle woningen'!W2:W579,"Geschakelde woning")</f>
        <v>0</v>
      </c>
      <c r="H35">
        <f>COUNTIFS('Alle woningen'!H2:H579,"Hoorn",'Alle woningen'!W2:W579,"Herenhuis")</f>
        <v>0</v>
      </c>
      <c r="I35">
        <f>COUNTIFS('Alle woningen'!H2:H579,"Hoorn",'Alle woningen'!W2:W579,"Bungalow")</f>
        <v>0</v>
      </c>
      <c r="J35">
        <f>COUNTIFS('Alle woningen'!H2:H579,"Hoorn",'Alle woningen'!W2:W579,"Eengezinswoning")</f>
        <v>0</v>
      </c>
      <c r="K35">
        <f>COUNTIFS('Alle woningen'!H2:H579,"Hoorn",'Alle woningen'!W2:W579,"Woonhuis")</f>
        <v>0</v>
      </c>
      <c r="L35">
        <f>COUNTIFS('Alle woningen'!H2:H579,"Hoorn",'Alle woningen'!W2:W579,"Overig grondgebonden")</f>
        <v>0</v>
      </c>
      <c r="M35">
        <f>COUNTIFS('Alle woningen'!H2:H579,"Hoorn",'Alle woningen'!W2:W579,"Appartement")</f>
        <v>1</v>
      </c>
      <c r="N35">
        <f>SUM(B35:M35)</f>
        <v>1</v>
      </c>
    </row>
    <row r="36">
      <c r="A36" t="str">
        <v>Hulst</v>
      </c>
      <c r="B36">
        <f>COUNTIFS('Alle woningen'!H2:H579,"Hulst",'Alle woningen'!W2:W579,"Vrijstaande woning")</f>
        <v>0</v>
      </c>
      <c r="C36">
        <f>COUNTIFS('Alle woningen'!H2:H579,"Hulst",'Alle woningen'!W2:W579,"2-onder-1-kapwoning")</f>
        <v>0</v>
      </c>
      <c r="D36">
        <f>COUNTIFS('Alle woningen'!H2:H579,"Hulst",'Alle woningen'!W2:W579,"Hoekwoning")</f>
        <v>4</v>
      </c>
      <c r="E36">
        <f>COUNTIFS('Alle woningen'!H2:H579,"Hulst",'Alle woningen'!W2:W579,"Tussenwoning")</f>
        <v>2</v>
      </c>
      <c r="F36">
        <f>COUNTIFS('Alle woningen'!H2:H579,"Hulst",'Alle woningen'!W2:W579,"Eindwoning")</f>
        <v>0</v>
      </c>
      <c r="G36">
        <f>COUNTIFS('Alle woningen'!H2:H579,"Hulst",'Alle woningen'!W2:W579,"Geschakelde woning")</f>
        <v>0</v>
      </c>
      <c r="H36">
        <f>COUNTIFS('Alle woningen'!H2:H579,"Hulst",'Alle woningen'!W2:W579,"Herenhuis")</f>
        <v>0</v>
      </c>
      <c r="I36">
        <f>COUNTIFS('Alle woningen'!H2:H579,"Hulst",'Alle woningen'!W2:W579,"Bungalow")</f>
        <v>0</v>
      </c>
      <c r="J36">
        <f>COUNTIFS('Alle woningen'!H2:H579,"Hulst",'Alle woningen'!W2:W579,"Eengezinswoning")</f>
        <v>0</v>
      </c>
      <c r="K36">
        <f>COUNTIFS('Alle woningen'!H2:H579,"Hulst",'Alle woningen'!W2:W579,"Woonhuis")</f>
        <v>0</v>
      </c>
      <c r="L36">
        <f>COUNTIFS('Alle woningen'!H2:H579,"Hulst",'Alle woningen'!W2:W579,"Overig grondgebonden")</f>
        <v>0</v>
      </c>
      <c r="M36">
        <f>COUNTIFS('Alle woningen'!H2:H579,"Hulst",'Alle woningen'!W2:W579,"Appartement")</f>
        <v>0</v>
      </c>
      <c r="N36">
        <f>SUM(B36:M36)</f>
        <v>6</v>
      </c>
    </row>
    <row r="37">
      <c r="A37" t="str">
        <v>Landgraaf</v>
      </c>
      <c r="B37">
        <f>COUNTIFS('Alle woningen'!H2:H579,"Landgraaf",'Alle woningen'!W2:W579,"Vrijstaande woning")</f>
        <v>0</v>
      </c>
      <c r="C37">
        <f>COUNTIFS('Alle woningen'!H2:H579,"Landgraaf",'Alle woningen'!W2:W579,"2-onder-1-kapwoning")</f>
        <v>0</v>
      </c>
      <c r="D37">
        <f>COUNTIFS('Alle woningen'!H2:H579,"Landgraaf",'Alle woningen'!W2:W579,"Hoekwoning")</f>
        <v>0</v>
      </c>
      <c r="E37">
        <f>COUNTIFS('Alle woningen'!H2:H579,"Landgraaf",'Alle woningen'!W2:W579,"Tussenwoning")</f>
        <v>0</v>
      </c>
      <c r="F37">
        <f>COUNTIFS('Alle woningen'!H2:H579,"Landgraaf",'Alle woningen'!W2:W579,"Eindwoning")</f>
        <v>0</v>
      </c>
      <c r="G37">
        <f>COUNTIFS('Alle woningen'!H2:H579,"Landgraaf",'Alle woningen'!W2:W579,"Geschakelde woning")</f>
        <v>0</v>
      </c>
      <c r="H37">
        <f>COUNTIFS('Alle woningen'!H2:H579,"Landgraaf",'Alle woningen'!W2:W579,"Herenhuis")</f>
        <v>0</v>
      </c>
      <c r="I37">
        <f>COUNTIFS('Alle woningen'!H2:H579,"Landgraaf",'Alle woningen'!W2:W579,"Bungalow")</f>
        <v>0</v>
      </c>
      <c r="J37">
        <f>COUNTIFS('Alle woningen'!H2:H579,"Landgraaf",'Alle woningen'!W2:W579,"Eengezinswoning")</f>
        <v>0</v>
      </c>
      <c r="K37">
        <f>COUNTIFS('Alle woningen'!H2:H579,"Landgraaf",'Alle woningen'!W2:W579,"Woonhuis")</f>
        <v>0</v>
      </c>
      <c r="L37">
        <f>COUNTIFS('Alle woningen'!H2:H579,"Landgraaf",'Alle woningen'!W2:W579,"Overig grondgebonden")</f>
        <v>0</v>
      </c>
      <c r="M37">
        <f>COUNTIFS('Alle woningen'!H2:H579,"Landgraaf",'Alle woningen'!W2:W579,"Appartement")</f>
        <v>13</v>
      </c>
      <c r="N37">
        <f>SUM(B37:M37)</f>
        <v>13</v>
      </c>
    </row>
    <row r="38">
      <c r="A38" t="str">
        <v>Lingewaard</v>
      </c>
      <c r="B38">
        <f>COUNTIFS('Alle woningen'!H2:H579,"Lingewaard",'Alle woningen'!W2:W579,"Vrijstaande woning")</f>
        <v>0</v>
      </c>
      <c r="C38">
        <f>COUNTIFS('Alle woningen'!H2:H579,"Lingewaard",'Alle woningen'!W2:W579,"2-onder-1-kapwoning")</f>
        <v>0</v>
      </c>
      <c r="D38">
        <f>COUNTIFS('Alle woningen'!H2:H579,"Lingewaard",'Alle woningen'!W2:W579,"Hoekwoning")</f>
        <v>0</v>
      </c>
      <c r="E38">
        <f>COUNTIFS('Alle woningen'!H2:H579,"Lingewaard",'Alle woningen'!W2:W579,"Tussenwoning")</f>
        <v>0</v>
      </c>
      <c r="F38">
        <f>COUNTIFS('Alle woningen'!H2:H579,"Lingewaard",'Alle woningen'!W2:W579,"Eindwoning")</f>
        <v>0</v>
      </c>
      <c r="G38">
        <f>COUNTIFS('Alle woningen'!H2:H579,"Lingewaard",'Alle woningen'!W2:W579,"Geschakelde woning")</f>
        <v>0</v>
      </c>
      <c r="H38">
        <f>COUNTIFS('Alle woningen'!H2:H579,"Lingewaard",'Alle woningen'!W2:W579,"Herenhuis")</f>
        <v>0</v>
      </c>
      <c r="I38">
        <f>COUNTIFS('Alle woningen'!H2:H579,"Lingewaard",'Alle woningen'!W2:W579,"Bungalow")</f>
        <v>0</v>
      </c>
      <c r="J38">
        <f>COUNTIFS('Alle woningen'!H2:H579,"Lingewaard",'Alle woningen'!W2:W579,"Eengezinswoning")</f>
        <v>0</v>
      </c>
      <c r="K38">
        <f>COUNTIFS('Alle woningen'!H2:H579,"Lingewaard",'Alle woningen'!W2:W579,"Woonhuis")</f>
        <v>0</v>
      </c>
      <c r="L38">
        <f>COUNTIFS('Alle woningen'!H2:H579,"Lingewaard",'Alle woningen'!W2:W579,"Overig grondgebonden")</f>
        <v>0</v>
      </c>
      <c r="M38">
        <f>COUNTIFS('Alle woningen'!H2:H579,"Lingewaard",'Alle woningen'!W2:W579,"Appartement")</f>
        <v>1</v>
      </c>
      <c r="N38">
        <f>SUM(B38:M38)</f>
        <v>1</v>
      </c>
    </row>
    <row r="39">
      <c r="A39" t="str">
        <v>Lochem</v>
      </c>
      <c r="B39">
        <f>COUNTIFS('Alle woningen'!H2:H579,"Lochem",'Alle woningen'!W2:W579,"Vrijstaande woning")</f>
        <v>3</v>
      </c>
      <c r="C39">
        <f>COUNTIFS('Alle woningen'!H2:H579,"Lochem",'Alle woningen'!W2:W579,"2-onder-1-kapwoning")</f>
        <v>0</v>
      </c>
      <c r="D39">
        <f>COUNTIFS('Alle woningen'!H2:H579,"Lochem",'Alle woningen'!W2:W579,"Hoekwoning")</f>
        <v>0</v>
      </c>
      <c r="E39">
        <f>COUNTIFS('Alle woningen'!H2:H579,"Lochem",'Alle woningen'!W2:W579,"Tussenwoning")</f>
        <v>0</v>
      </c>
      <c r="F39">
        <f>COUNTIFS('Alle woningen'!H2:H579,"Lochem",'Alle woningen'!W2:W579,"Eindwoning")</f>
        <v>0</v>
      </c>
      <c r="G39">
        <f>COUNTIFS('Alle woningen'!H2:H579,"Lochem",'Alle woningen'!W2:W579,"Geschakelde woning")</f>
        <v>0</v>
      </c>
      <c r="H39">
        <f>COUNTIFS('Alle woningen'!H2:H579,"Lochem",'Alle woningen'!W2:W579,"Herenhuis")</f>
        <v>0</v>
      </c>
      <c r="I39">
        <f>COUNTIFS('Alle woningen'!H2:H579,"Lochem",'Alle woningen'!W2:W579,"Bungalow")</f>
        <v>0</v>
      </c>
      <c r="J39">
        <f>COUNTIFS('Alle woningen'!H2:H579,"Lochem",'Alle woningen'!W2:W579,"Eengezinswoning")</f>
        <v>0</v>
      </c>
      <c r="K39">
        <f>COUNTIFS('Alle woningen'!H2:H579,"Lochem",'Alle woningen'!W2:W579,"Woonhuis")</f>
        <v>0</v>
      </c>
      <c r="L39">
        <f>COUNTIFS('Alle woningen'!H2:H579,"Lochem",'Alle woningen'!W2:W579,"Overig grondgebonden")</f>
        <v>0</v>
      </c>
      <c r="M39">
        <f>COUNTIFS('Alle woningen'!H2:H579,"Lochem",'Alle woningen'!W2:W579,"Appartement")</f>
        <v>3</v>
      </c>
      <c r="N39">
        <f>SUM(B39:M39)</f>
        <v>6</v>
      </c>
    </row>
    <row r="40">
      <c r="A40" t="str">
        <v>Losser</v>
      </c>
      <c r="B40">
        <f>COUNTIFS('Alle woningen'!H2:H579,"Losser",'Alle woningen'!W2:W579,"Vrijstaande woning")</f>
        <v>0</v>
      </c>
      <c r="C40">
        <f>COUNTIFS('Alle woningen'!H2:H579,"Losser",'Alle woningen'!W2:W579,"2-onder-1-kapwoning")</f>
        <v>0</v>
      </c>
      <c r="D40">
        <f>COUNTIFS('Alle woningen'!H2:H579,"Losser",'Alle woningen'!W2:W579,"Hoekwoning")</f>
        <v>0</v>
      </c>
      <c r="E40">
        <f>COUNTIFS('Alle woningen'!H2:H579,"Losser",'Alle woningen'!W2:W579,"Tussenwoning")</f>
        <v>3</v>
      </c>
      <c r="F40">
        <f>COUNTIFS('Alle woningen'!H2:H579,"Losser",'Alle woningen'!W2:W579,"Eindwoning")</f>
        <v>0</v>
      </c>
      <c r="G40">
        <f>COUNTIFS('Alle woningen'!H2:H579,"Losser",'Alle woningen'!W2:W579,"Geschakelde woning")</f>
        <v>0</v>
      </c>
      <c r="H40">
        <f>COUNTIFS('Alle woningen'!H2:H579,"Losser",'Alle woningen'!W2:W579,"Herenhuis")</f>
        <v>0</v>
      </c>
      <c r="I40">
        <f>COUNTIFS('Alle woningen'!H2:H579,"Losser",'Alle woningen'!W2:W579,"Bungalow")</f>
        <v>0</v>
      </c>
      <c r="J40">
        <f>COUNTIFS('Alle woningen'!H2:H579,"Losser",'Alle woningen'!W2:W579,"Eengezinswoning")</f>
        <v>0</v>
      </c>
      <c r="K40">
        <f>COUNTIFS('Alle woningen'!H2:H579,"Losser",'Alle woningen'!W2:W579,"Woonhuis")</f>
        <v>0</v>
      </c>
      <c r="L40">
        <f>COUNTIFS('Alle woningen'!H2:H579,"Losser",'Alle woningen'!W2:W579,"Overig grondgebonden")</f>
        <v>0</v>
      </c>
      <c r="M40">
        <f>COUNTIFS('Alle woningen'!H2:H579,"Losser",'Alle woningen'!W2:W579,"Appartement")</f>
        <v>0</v>
      </c>
      <c r="N40">
        <f>SUM(B40:M40)</f>
        <v>3</v>
      </c>
    </row>
    <row r="41">
      <c r="A41" t="str">
        <v>Maashorst</v>
      </c>
      <c r="B41">
        <f>COUNTIFS('Alle woningen'!H2:H579,"Maashorst",'Alle woningen'!W2:W579,"Vrijstaande woning")</f>
        <v>0</v>
      </c>
      <c r="C41">
        <f>COUNTIFS('Alle woningen'!H2:H579,"Maashorst",'Alle woningen'!W2:W579,"2-onder-1-kapwoning")</f>
        <v>0</v>
      </c>
      <c r="D41">
        <f>COUNTIFS('Alle woningen'!H2:H579,"Maashorst",'Alle woningen'!W2:W579,"Hoekwoning")</f>
        <v>0</v>
      </c>
      <c r="E41">
        <f>COUNTIFS('Alle woningen'!H2:H579,"Maashorst",'Alle woningen'!W2:W579,"Tussenwoning")</f>
        <v>0</v>
      </c>
      <c r="F41">
        <f>COUNTIFS('Alle woningen'!H2:H579,"Maashorst",'Alle woningen'!W2:W579,"Eindwoning")</f>
        <v>0</v>
      </c>
      <c r="G41">
        <f>COUNTIFS('Alle woningen'!H2:H579,"Maashorst",'Alle woningen'!W2:W579,"Geschakelde woning")</f>
        <v>0</v>
      </c>
      <c r="H41">
        <f>COUNTIFS('Alle woningen'!H2:H579,"Maashorst",'Alle woningen'!W2:W579,"Herenhuis")</f>
        <v>0</v>
      </c>
      <c r="I41">
        <f>COUNTIFS('Alle woningen'!H2:H579,"Maashorst",'Alle woningen'!W2:W579,"Bungalow")</f>
        <v>0</v>
      </c>
      <c r="J41">
        <f>COUNTIFS('Alle woningen'!H2:H579,"Maashorst",'Alle woningen'!W2:W579,"Eengezinswoning")</f>
        <v>0</v>
      </c>
      <c r="K41">
        <f>COUNTIFS('Alle woningen'!H2:H579,"Maashorst",'Alle woningen'!W2:W579,"Woonhuis")</f>
        <v>0</v>
      </c>
      <c r="L41">
        <f>COUNTIFS('Alle woningen'!H2:H579,"Maashorst",'Alle woningen'!W2:W579,"Overig grondgebonden")</f>
        <v>0</v>
      </c>
      <c r="M41">
        <f>COUNTIFS('Alle woningen'!H2:H579,"Maashorst",'Alle woningen'!W2:W579,"Appartement")</f>
        <v>1</v>
      </c>
      <c r="N41">
        <f>SUM(B41:M41)</f>
        <v>1</v>
      </c>
    </row>
    <row r="42">
      <c r="A42" t="str">
        <v>Maassluis</v>
      </c>
      <c r="B42">
        <f>COUNTIFS('Alle woningen'!H2:H579,"Maassluis",'Alle woningen'!W2:W579,"Vrijstaande woning")</f>
        <v>0</v>
      </c>
      <c r="C42">
        <f>COUNTIFS('Alle woningen'!H2:H579,"Maassluis",'Alle woningen'!W2:W579,"2-onder-1-kapwoning")</f>
        <v>9</v>
      </c>
      <c r="D42">
        <f>COUNTIFS('Alle woningen'!H2:H579,"Maassluis",'Alle woningen'!W2:W579,"Hoekwoning")</f>
        <v>18</v>
      </c>
      <c r="E42">
        <f>COUNTIFS('Alle woningen'!H2:H579,"Maassluis",'Alle woningen'!W2:W579,"Tussenwoning")</f>
        <v>19</v>
      </c>
      <c r="F42">
        <f>COUNTIFS('Alle woningen'!H2:H579,"Maassluis",'Alle woningen'!W2:W579,"Eindwoning")</f>
        <v>0</v>
      </c>
      <c r="G42">
        <f>COUNTIFS('Alle woningen'!H2:H579,"Maassluis",'Alle woningen'!W2:W579,"Geschakelde woning")</f>
        <v>0</v>
      </c>
      <c r="H42">
        <f>COUNTIFS('Alle woningen'!H2:H579,"Maassluis",'Alle woningen'!W2:W579,"Herenhuis")</f>
        <v>0</v>
      </c>
      <c r="I42">
        <f>COUNTIFS('Alle woningen'!H2:H579,"Maassluis",'Alle woningen'!W2:W579,"Bungalow")</f>
        <v>0</v>
      </c>
      <c r="J42">
        <f>COUNTIFS('Alle woningen'!H2:H579,"Maassluis",'Alle woningen'!W2:W579,"Eengezinswoning")</f>
        <v>0</v>
      </c>
      <c r="K42">
        <f>COUNTIFS('Alle woningen'!H2:H579,"Maassluis",'Alle woningen'!W2:W579,"Woonhuis")</f>
        <v>0</v>
      </c>
      <c r="L42">
        <f>COUNTIFS('Alle woningen'!H2:H579,"Maassluis",'Alle woningen'!W2:W579,"Overig grondgebonden")</f>
        <v>0</v>
      </c>
      <c r="M42">
        <f>COUNTIFS('Alle woningen'!H2:H579,"Maassluis",'Alle woningen'!W2:W579,"Appartement")</f>
        <v>0</v>
      </c>
      <c r="N42">
        <f>SUM(B42:M42)</f>
        <v>46</v>
      </c>
    </row>
    <row r="43">
      <c r="A43" t="str">
        <v>Midden-Groningen</v>
      </c>
      <c r="B43">
        <f>COUNTIFS('Alle woningen'!H2:H579,"Midden-Groningen",'Alle woningen'!W2:W579,"Vrijstaande woning")</f>
        <v>0</v>
      </c>
      <c r="C43">
        <f>COUNTIFS('Alle woningen'!H2:H579,"Midden-Groningen",'Alle woningen'!W2:W579,"2-onder-1-kapwoning")</f>
        <v>1</v>
      </c>
      <c r="D43">
        <f>COUNTIFS('Alle woningen'!H2:H579,"Midden-Groningen",'Alle woningen'!W2:W579,"Hoekwoning")</f>
        <v>0</v>
      </c>
      <c r="E43">
        <f>COUNTIFS('Alle woningen'!H2:H579,"Midden-Groningen",'Alle woningen'!W2:W579,"Tussenwoning")</f>
        <v>1</v>
      </c>
      <c r="F43">
        <f>COUNTIFS('Alle woningen'!H2:H579,"Midden-Groningen",'Alle woningen'!W2:W579,"Eindwoning")</f>
        <v>0</v>
      </c>
      <c r="G43">
        <f>COUNTIFS('Alle woningen'!H2:H579,"Midden-Groningen",'Alle woningen'!W2:W579,"Geschakelde woning")</f>
        <v>0</v>
      </c>
      <c r="H43">
        <f>COUNTIFS('Alle woningen'!H2:H579,"Midden-Groningen",'Alle woningen'!W2:W579,"Herenhuis")</f>
        <v>0</v>
      </c>
      <c r="I43">
        <f>COUNTIFS('Alle woningen'!H2:H579,"Midden-Groningen",'Alle woningen'!W2:W579,"Bungalow")</f>
        <v>0</v>
      </c>
      <c r="J43">
        <f>COUNTIFS('Alle woningen'!H2:H579,"Midden-Groningen",'Alle woningen'!W2:W579,"Eengezinswoning")</f>
        <v>0</v>
      </c>
      <c r="K43">
        <f>COUNTIFS('Alle woningen'!H2:H579,"Midden-Groningen",'Alle woningen'!W2:W579,"Woonhuis")</f>
        <v>0</v>
      </c>
      <c r="L43">
        <f>COUNTIFS('Alle woningen'!H2:H579,"Midden-Groningen",'Alle woningen'!W2:W579,"Overig grondgebonden")</f>
        <v>0</v>
      </c>
      <c r="M43">
        <f>COUNTIFS('Alle woningen'!H2:H579,"Midden-Groningen",'Alle woningen'!W2:W579,"Appartement")</f>
        <v>1</v>
      </c>
      <c r="N43">
        <f>SUM(B43:M43)</f>
        <v>3</v>
      </c>
    </row>
    <row r="44">
      <c r="A44" t="str">
        <v>Neder-Betuwe</v>
      </c>
      <c r="B44">
        <f>COUNTIFS('Alle woningen'!H2:H579,"Neder-Betuwe",'Alle woningen'!W2:W579,"Vrijstaande woning")</f>
        <v>0</v>
      </c>
      <c r="C44">
        <f>COUNTIFS('Alle woningen'!H2:H579,"Neder-Betuwe",'Alle woningen'!W2:W579,"2-onder-1-kapwoning")</f>
        <v>0</v>
      </c>
      <c r="D44">
        <f>COUNTIFS('Alle woningen'!H2:H579,"Neder-Betuwe",'Alle woningen'!W2:W579,"Hoekwoning")</f>
        <v>1</v>
      </c>
      <c r="E44">
        <f>COUNTIFS('Alle woningen'!H2:H579,"Neder-Betuwe",'Alle woningen'!W2:W579,"Tussenwoning")</f>
        <v>0</v>
      </c>
      <c r="F44">
        <f>COUNTIFS('Alle woningen'!H2:H579,"Neder-Betuwe",'Alle woningen'!W2:W579,"Eindwoning")</f>
        <v>0</v>
      </c>
      <c r="G44">
        <f>COUNTIFS('Alle woningen'!H2:H579,"Neder-Betuwe",'Alle woningen'!W2:W579,"Geschakelde woning")</f>
        <v>0</v>
      </c>
      <c r="H44">
        <f>COUNTIFS('Alle woningen'!H2:H579,"Neder-Betuwe",'Alle woningen'!W2:W579,"Herenhuis")</f>
        <v>0</v>
      </c>
      <c r="I44">
        <f>COUNTIFS('Alle woningen'!H2:H579,"Neder-Betuwe",'Alle woningen'!W2:W579,"Bungalow")</f>
        <v>0</v>
      </c>
      <c r="J44">
        <f>COUNTIFS('Alle woningen'!H2:H579,"Neder-Betuwe",'Alle woningen'!W2:W579,"Eengezinswoning")</f>
        <v>0</v>
      </c>
      <c r="K44">
        <f>COUNTIFS('Alle woningen'!H2:H579,"Neder-Betuwe",'Alle woningen'!W2:W579,"Woonhuis")</f>
        <v>0</v>
      </c>
      <c r="L44">
        <f>COUNTIFS('Alle woningen'!H2:H579,"Neder-Betuwe",'Alle woningen'!W2:W579,"Overig grondgebonden")</f>
        <v>0</v>
      </c>
      <c r="M44">
        <f>COUNTIFS('Alle woningen'!H2:H579,"Neder-Betuwe",'Alle woningen'!W2:W579,"Appartement")</f>
        <v>0</v>
      </c>
      <c r="N44">
        <f>SUM(B44:M44)</f>
        <v>1</v>
      </c>
    </row>
    <row r="45">
      <c r="A45" t="str">
        <v>Nissewaard</v>
      </c>
      <c r="B45">
        <f>COUNTIFS('Alle woningen'!H2:H579,"Nissewaard",'Alle woningen'!W2:W579,"Vrijstaande woning")</f>
        <v>0</v>
      </c>
      <c r="C45">
        <f>COUNTIFS('Alle woningen'!H2:H579,"Nissewaard",'Alle woningen'!W2:W579,"2-onder-1-kapwoning")</f>
        <v>0</v>
      </c>
      <c r="D45">
        <f>COUNTIFS('Alle woningen'!H2:H579,"Nissewaard",'Alle woningen'!W2:W579,"Hoekwoning")</f>
        <v>0</v>
      </c>
      <c r="E45">
        <f>COUNTIFS('Alle woningen'!H2:H579,"Nissewaard",'Alle woningen'!W2:W579,"Tussenwoning")</f>
        <v>0</v>
      </c>
      <c r="F45">
        <f>COUNTIFS('Alle woningen'!H2:H579,"Nissewaard",'Alle woningen'!W2:W579,"Eindwoning")</f>
        <v>0</v>
      </c>
      <c r="G45">
        <f>COUNTIFS('Alle woningen'!H2:H579,"Nissewaard",'Alle woningen'!W2:W579,"Geschakelde woning")</f>
        <v>0</v>
      </c>
      <c r="H45">
        <f>COUNTIFS('Alle woningen'!H2:H579,"Nissewaard",'Alle woningen'!W2:W579,"Herenhuis")</f>
        <v>0</v>
      </c>
      <c r="I45">
        <f>COUNTIFS('Alle woningen'!H2:H579,"Nissewaard",'Alle woningen'!W2:W579,"Bungalow")</f>
        <v>0</v>
      </c>
      <c r="J45">
        <f>COUNTIFS('Alle woningen'!H2:H579,"Nissewaard",'Alle woningen'!W2:W579,"Eengezinswoning")</f>
        <v>0</v>
      </c>
      <c r="K45">
        <f>COUNTIFS('Alle woningen'!H2:H579,"Nissewaard",'Alle woningen'!W2:W579,"Woonhuis")</f>
        <v>0</v>
      </c>
      <c r="L45">
        <f>COUNTIFS('Alle woningen'!H2:H579,"Nissewaard",'Alle woningen'!W2:W579,"Overig grondgebonden")</f>
        <v>0</v>
      </c>
      <c r="M45">
        <f>COUNTIFS('Alle woningen'!H2:H579,"Nissewaard",'Alle woningen'!W2:W579,"Appartement")</f>
        <v>12</v>
      </c>
      <c r="N45">
        <f>SUM(B45:M45)</f>
        <v>12</v>
      </c>
    </row>
    <row r="46">
      <c r="A46" t="str">
        <v>Onbekend</v>
      </c>
      <c r="B46">
        <f>COUNTIFS('Alle woningen'!H2:H579,"Onbekend",'Alle woningen'!W2:W579,"Vrijstaande woning")</f>
        <v>0</v>
      </c>
      <c r="C46">
        <f>COUNTIFS('Alle woningen'!H2:H579,"Onbekend",'Alle woningen'!W2:W579,"2-onder-1-kapwoning")</f>
        <v>0</v>
      </c>
      <c r="D46">
        <f>COUNTIFS('Alle woningen'!H2:H579,"Onbekend",'Alle woningen'!W2:W579,"Hoekwoning")</f>
        <v>0</v>
      </c>
      <c r="E46">
        <f>COUNTIFS('Alle woningen'!H2:H579,"Onbekend",'Alle woningen'!W2:W579,"Tussenwoning")</f>
        <v>0</v>
      </c>
      <c r="F46">
        <f>COUNTIFS('Alle woningen'!H2:H579,"Onbekend",'Alle woningen'!W2:W579,"Eindwoning")</f>
        <v>0</v>
      </c>
      <c r="G46">
        <f>COUNTIFS('Alle woningen'!H2:H579,"Onbekend",'Alle woningen'!W2:W579,"Geschakelde woning")</f>
        <v>0</v>
      </c>
      <c r="H46">
        <f>COUNTIFS('Alle woningen'!H2:H579,"Onbekend",'Alle woningen'!W2:W579,"Herenhuis")</f>
        <v>0</v>
      </c>
      <c r="I46">
        <f>COUNTIFS('Alle woningen'!H2:H579,"Onbekend",'Alle woningen'!W2:W579,"Bungalow")</f>
        <v>0</v>
      </c>
      <c r="J46">
        <f>COUNTIFS('Alle woningen'!H2:H579,"Onbekend",'Alle woningen'!W2:W579,"Eengezinswoning")</f>
        <v>0</v>
      </c>
      <c r="K46">
        <f>COUNTIFS('Alle woningen'!H2:H579,"Onbekend",'Alle woningen'!W2:W579,"Woonhuis")</f>
        <v>0</v>
      </c>
      <c r="L46">
        <f>COUNTIFS('Alle woningen'!H2:H579,"Onbekend",'Alle woningen'!W2:W579,"Overig grondgebonden")</f>
        <v>0</v>
      </c>
      <c r="M46">
        <f>COUNTIFS('Alle woningen'!H2:H579,"Onbekend",'Alle woningen'!W2:W579,"Appartement")</f>
        <v>0</v>
      </c>
      <c r="N46">
        <f>SUM(B46:M46)</f>
        <v>0</v>
      </c>
    </row>
    <row r="47">
      <c r="A47" t="str">
        <v>Oost Gelre</v>
      </c>
      <c r="B47">
        <f>COUNTIFS('Alle woningen'!H2:H579,"Oost Gelre",'Alle woningen'!W2:W579,"Vrijstaande woning")</f>
        <v>0</v>
      </c>
      <c r="C47">
        <f>COUNTIFS('Alle woningen'!H2:H579,"Oost Gelre",'Alle woningen'!W2:W579,"2-onder-1-kapwoning")</f>
        <v>2</v>
      </c>
      <c r="D47">
        <f>COUNTIFS('Alle woningen'!H2:H579,"Oost Gelre",'Alle woningen'!W2:W579,"Hoekwoning")</f>
        <v>0</v>
      </c>
      <c r="E47">
        <f>COUNTIFS('Alle woningen'!H2:H579,"Oost Gelre",'Alle woningen'!W2:W579,"Tussenwoning")</f>
        <v>0</v>
      </c>
      <c r="F47">
        <f>COUNTIFS('Alle woningen'!H2:H579,"Oost Gelre",'Alle woningen'!W2:W579,"Eindwoning")</f>
        <v>0</v>
      </c>
      <c r="G47">
        <f>COUNTIFS('Alle woningen'!H2:H579,"Oost Gelre",'Alle woningen'!W2:W579,"Geschakelde woning")</f>
        <v>0</v>
      </c>
      <c r="H47">
        <f>COUNTIFS('Alle woningen'!H2:H579,"Oost Gelre",'Alle woningen'!W2:W579,"Herenhuis")</f>
        <v>0</v>
      </c>
      <c r="I47">
        <f>COUNTIFS('Alle woningen'!H2:H579,"Oost Gelre",'Alle woningen'!W2:W579,"Bungalow")</f>
        <v>0</v>
      </c>
      <c r="J47">
        <f>COUNTIFS('Alle woningen'!H2:H579,"Oost Gelre",'Alle woningen'!W2:W579,"Eengezinswoning")</f>
        <v>0</v>
      </c>
      <c r="K47">
        <f>COUNTIFS('Alle woningen'!H2:H579,"Oost Gelre",'Alle woningen'!W2:W579,"Woonhuis")</f>
        <v>0</v>
      </c>
      <c r="L47">
        <f>COUNTIFS('Alle woningen'!H2:H579,"Oost Gelre",'Alle woningen'!W2:W579,"Overig grondgebonden")</f>
        <v>0</v>
      </c>
      <c r="M47">
        <f>COUNTIFS('Alle woningen'!H2:H579,"Oost Gelre",'Alle woningen'!W2:W579,"Appartement")</f>
        <v>0</v>
      </c>
      <c r="N47">
        <f>SUM(B47:M47)</f>
        <v>2</v>
      </c>
    </row>
    <row r="48">
      <c r="A48" t="str">
        <v>Overbetuwe</v>
      </c>
      <c r="B48">
        <f>COUNTIFS('Alle woningen'!H2:H579,"Overbetuwe",'Alle woningen'!W2:W579,"Vrijstaande woning")</f>
        <v>0</v>
      </c>
      <c r="C48">
        <f>COUNTIFS('Alle woningen'!H2:H579,"Overbetuwe",'Alle woningen'!W2:W579,"2-onder-1-kapwoning")</f>
        <v>0</v>
      </c>
      <c r="D48">
        <f>COUNTIFS('Alle woningen'!H2:H579,"Overbetuwe",'Alle woningen'!W2:W579,"Hoekwoning")</f>
        <v>0</v>
      </c>
      <c r="E48">
        <f>COUNTIFS('Alle woningen'!H2:H579,"Overbetuwe",'Alle woningen'!W2:W579,"Tussenwoning")</f>
        <v>0</v>
      </c>
      <c r="F48">
        <f>COUNTIFS('Alle woningen'!H2:H579,"Overbetuwe",'Alle woningen'!W2:W579,"Eindwoning")</f>
        <v>4</v>
      </c>
      <c r="G48">
        <f>COUNTIFS('Alle woningen'!H2:H579,"Overbetuwe",'Alle woningen'!W2:W579,"Geschakelde woning")</f>
        <v>0</v>
      </c>
      <c r="H48">
        <f>COUNTIFS('Alle woningen'!H2:H579,"Overbetuwe",'Alle woningen'!W2:W579,"Herenhuis")</f>
        <v>0</v>
      </c>
      <c r="I48">
        <f>COUNTIFS('Alle woningen'!H2:H579,"Overbetuwe",'Alle woningen'!W2:W579,"Bungalow")</f>
        <v>0</v>
      </c>
      <c r="J48">
        <f>COUNTIFS('Alle woningen'!H2:H579,"Overbetuwe",'Alle woningen'!W2:W579,"Eengezinswoning")</f>
        <v>0</v>
      </c>
      <c r="K48">
        <f>COUNTIFS('Alle woningen'!H2:H579,"Overbetuwe",'Alle woningen'!W2:W579,"Woonhuis")</f>
        <v>0</v>
      </c>
      <c r="L48">
        <f>COUNTIFS('Alle woningen'!H2:H579,"Overbetuwe",'Alle woningen'!W2:W579,"Overig grondgebonden")</f>
        <v>0</v>
      </c>
      <c r="M48">
        <f>COUNTIFS('Alle woningen'!H2:H579,"Overbetuwe",'Alle woningen'!W2:W579,"Appartement")</f>
        <v>0</v>
      </c>
      <c r="N48">
        <f>SUM(B48:M48)</f>
        <v>4</v>
      </c>
    </row>
    <row r="49">
      <c r="A49" t="str">
        <v>Purmerend</v>
      </c>
      <c r="B49">
        <f>COUNTIFS('Alle woningen'!H2:H579,"Purmerend",'Alle woningen'!W2:W579,"Vrijstaande woning")</f>
        <v>1</v>
      </c>
      <c r="C49">
        <f>COUNTIFS('Alle woningen'!H2:H579,"Purmerend",'Alle woningen'!W2:W579,"2-onder-1-kapwoning")</f>
        <v>0</v>
      </c>
      <c r="D49">
        <f>COUNTIFS('Alle woningen'!H2:H579,"Purmerend",'Alle woningen'!W2:W579,"Hoekwoning")</f>
        <v>0</v>
      </c>
      <c r="E49">
        <f>COUNTIFS('Alle woningen'!H2:H579,"Purmerend",'Alle woningen'!W2:W579,"Tussenwoning")</f>
        <v>0</v>
      </c>
      <c r="F49">
        <f>COUNTIFS('Alle woningen'!H2:H579,"Purmerend",'Alle woningen'!W2:W579,"Eindwoning")</f>
        <v>0</v>
      </c>
      <c r="G49">
        <f>COUNTIFS('Alle woningen'!H2:H579,"Purmerend",'Alle woningen'!W2:W579,"Geschakelde woning")</f>
        <v>0</v>
      </c>
      <c r="H49">
        <f>COUNTIFS('Alle woningen'!H2:H579,"Purmerend",'Alle woningen'!W2:W579,"Herenhuis")</f>
        <v>0</v>
      </c>
      <c r="I49">
        <f>COUNTIFS('Alle woningen'!H2:H579,"Purmerend",'Alle woningen'!W2:W579,"Bungalow")</f>
        <v>0</v>
      </c>
      <c r="J49">
        <f>COUNTIFS('Alle woningen'!H2:H579,"Purmerend",'Alle woningen'!W2:W579,"Eengezinswoning")</f>
        <v>0</v>
      </c>
      <c r="K49">
        <f>COUNTIFS('Alle woningen'!H2:H579,"Purmerend",'Alle woningen'!W2:W579,"Woonhuis")</f>
        <v>0</v>
      </c>
      <c r="L49">
        <f>COUNTIFS('Alle woningen'!H2:H579,"Purmerend",'Alle woningen'!W2:W579,"Overig grondgebonden")</f>
        <v>0</v>
      </c>
      <c r="M49">
        <f>COUNTIFS('Alle woningen'!H2:H579,"Purmerend",'Alle woningen'!W2:W579,"Appartement")</f>
        <v>3</v>
      </c>
      <c r="N49">
        <f>SUM(B49:M49)</f>
        <v>4</v>
      </c>
    </row>
    <row r="50">
      <c r="A50" t="str">
        <v>Roermond</v>
      </c>
      <c r="B50">
        <f>COUNTIFS('Alle woningen'!H2:H579,"Roermond",'Alle woningen'!W2:W579,"Vrijstaande woning")</f>
        <v>0</v>
      </c>
      <c r="C50">
        <f>COUNTIFS('Alle woningen'!H2:H579,"Roermond",'Alle woningen'!W2:W579,"2-onder-1-kapwoning")</f>
        <v>6</v>
      </c>
      <c r="D50">
        <f>COUNTIFS('Alle woningen'!H2:H579,"Roermond",'Alle woningen'!W2:W579,"Hoekwoning")</f>
        <v>0</v>
      </c>
      <c r="E50">
        <f>COUNTIFS('Alle woningen'!H2:H579,"Roermond",'Alle woningen'!W2:W579,"Tussenwoning")</f>
        <v>0</v>
      </c>
      <c r="F50">
        <f>COUNTIFS('Alle woningen'!H2:H579,"Roermond",'Alle woningen'!W2:W579,"Eindwoning")</f>
        <v>0</v>
      </c>
      <c r="G50">
        <f>COUNTIFS('Alle woningen'!H2:H579,"Roermond",'Alle woningen'!W2:W579,"Geschakelde woning")</f>
        <v>0</v>
      </c>
      <c r="H50">
        <f>COUNTIFS('Alle woningen'!H2:H579,"Roermond",'Alle woningen'!W2:W579,"Herenhuis")</f>
        <v>0</v>
      </c>
      <c r="I50">
        <f>COUNTIFS('Alle woningen'!H2:H579,"Roermond",'Alle woningen'!W2:W579,"Bungalow")</f>
        <v>0</v>
      </c>
      <c r="J50">
        <f>COUNTIFS('Alle woningen'!H2:H579,"Roermond",'Alle woningen'!W2:W579,"Eengezinswoning")</f>
        <v>0</v>
      </c>
      <c r="K50">
        <f>COUNTIFS('Alle woningen'!H2:H579,"Roermond",'Alle woningen'!W2:W579,"Woonhuis")</f>
        <v>0</v>
      </c>
      <c r="L50">
        <f>COUNTIFS('Alle woningen'!H2:H579,"Roermond",'Alle woningen'!W2:W579,"Overig grondgebonden")</f>
        <v>0</v>
      </c>
      <c r="M50">
        <f>COUNTIFS('Alle woningen'!H2:H579,"Roermond",'Alle woningen'!W2:W579,"Appartement")</f>
        <v>0</v>
      </c>
      <c r="N50">
        <f>SUM(B50:M50)</f>
        <v>6</v>
      </c>
    </row>
    <row r="51">
      <c r="A51" t="str">
        <v>Rotterdam</v>
      </c>
      <c r="B51">
        <f>COUNTIFS('Alle woningen'!H2:H579,"Rotterdam",'Alle woningen'!W2:W579,"Vrijstaande woning")</f>
        <v>0</v>
      </c>
      <c r="C51">
        <f>COUNTIFS('Alle woningen'!H2:H579,"Rotterdam",'Alle woningen'!W2:W579,"2-onder-1-kapwoning")</f>
        <v>0</v>
      </c>
      <c r="D51">
        <f>COUNTIFS('Alle woningen'!H2:H579,"Rotterdam",'Alle woningen'!W2:W579,"Hoekwoning")</f>
        <v>0</v>
      </c>
      <c r="E51">
        <f>COUNTIFS('Alle woningen'!H2:H579,"Rotterdam",'Alle woningen'!W2:W579,"Tussenwoning")</f>
        <v>0</v>
      </c>
      <c r="F51">
        <f>COUNTIFS('Alle woningen'!H2:H579,"Rotterdam",'Alle woningen'!W2:W579,"Eindwoning")</f>
        <v>0</v>
      </c>
      <c r="G51">
        <f>COUNTIFS('Alle woningen'!H2:H579,"Rotterdam",'Alle woningen'!W2:W579,"Geschakelde woning")</f>
        <v>0</v>
      </c>
      <c r="H51">
        <f>COUNTIFS('Alle woningen'!H2:H579,"Rotterdam",'Alle woningen'!W2:W579,"Herenhuis")</f>
        <v>0</v>
      </c>
      <c r="I51">
        <f>COUNTIFS('Alle woningen'!H2:H579,"Rotterdam",'Alle woningen'!W2:W579,"Bungalow")</f>
        <v>0</v>
      </c>
      <c r="J51">
        <f>COUNTIFS('Alle woningen'!H2:H579,"Rotterdam",'Alle woningen'!W2:W579,"Eengezinswoning")</f>
        <v>0</v>
      </c>
      <c r="K51">
        <f>COUNTIFS('Alle woningen'!H2:H579,"Rotterdam",'Alle woningen'!W2:W579,"Woonhuis")</f>
        <v>0</v>
      </c>
      <c r="L51">
        <f>COUNTIFS('Alle woningen'!H2:H579,"Rotterdam",'Alle woningen'!W2:W579,"Overig grondgebonden")</f>
        <v>0</v>
      </c>
      <c r="M51">
        <f>COUNTIFS('Alle woningen'!H2:H579,"Rotterdam",'Alle woningen'!W2:W579,"Appartement")</f>
        <v>3</v>
      </c>
      <c r="N51">
        <f>SUM(B51:M51)</f>
        <v>3</v>
      </c>
    </row>
    <row r="52">
      <c r="A52" t="str">
        <v>Sittard-Geleen</v>
      </c>
      <c r="B52">
        <f>COUNTIFS('Alle woningen'!H2:H579,"Sittard-Geleen",'Alle woningen'!W2:W579,"Vrijstaande woning")</f>
        <v>0</v>
      </c>
      <c r="C52">
        <f>COUNTIFS('Alle woningen'!H2:H579,"Sittard-Geleen",'Alle woningen'!W2:W579,"2-onder-1-kapwoning")</f>
        <v>0</v>
      </c>
      <c r="D52">
        <f>COUNTIFS('Alle woningen'!H2:H579,"Sittard-Geleen",'Alle woningen'!W2:W579,"Hoekwoning")</f>
        <v>1</v>
      </c>
      <c r="E52">
        <f>COUNTIFS('Alle woningen'!H2:H579,"Sittard-Geleen",'Alle woningen'!W2:W579,"Tussenwoning")</f>
        <v>4</v>
      </c>
      <c r="F52">
        <f>COUNTIFS('Alle woningen'!H2:H579,"Sittard-Geleen",'Alle woningen'!W2:W579,"Eindwoning")</f>
        <v>0</v>
      </c>
      <c r="G52">
        <f>COUNTIFS('Alle woningen'!H2:H579,"Sittard-Geleen",'Alle woningen'!W2:W579,"Geschakelde woning")</f>
        <v>0</v>
      </c>
      <c r="H52">
        <f>COUNTIFS('Alle woningen'!H2:H579,"Sittard-Geleen",'Alle woningen'!W2:W579,"Herenhuis")</f>
        <v>0</v>
      </c>
      <c r="I52">
        <f>COUNTIFS('Alle woningen'!H2:H579,"Sittard-Geleen",'Alle woningen'!W2:W579,"Bungalow")</f>
        <v>0</v>
      </c>
      <c r="J52">
        <f>COUNTIFS('Alle woningen'!H2:H579,"Sittard-Geleen",'Alle woningen'!W2:W579,"Eengezinswoning")</f>
        <v>0</v>
      </c>
      <c r="K52">
        <f>COUNTIFS('Alle woningen'!H2:H579,"Sittard-Geleen",'Alle woningen'!W2:W579,"Woonhuis")</f>
        <v>0</v>
      </c>
      <c r="L52">
        <f>COUNTIFS('Alle woningen'!H2:H579,"Sittard-Geleen",'Alle woningen'!W2:W579,"Overig grondgebonden")</f>
        <v>0</v>
      </c>
      <c r="M52">
        <f>COUNTIFS('Alle woningen'!H2:H579,"Sittard-Geleen",'Alle woningen'!W2:W579,"Appartement")</f>
        <v>0</v>
      </c>
      <c r="N52">
        <f>SUM(B52:M52)</f>
        <v>5</v>
      </c>
    </row>
    <row r="53">
      <c r="A53" t="str">
        <v>Soest</v>
      </c>
      <c r="B53">
        <f>COUNTIFS('Alle woningen'!H2:H579,"Soest",'Alle woningen'!W2:W579,"Vrijstaande woning")</f>
        <v>0</v>
      </c>
      <c r="C53">
        <f>COUNTIFS('Alle woningen'!H2:H579,"Soest",'Alle woningen'!W2:W579,"2-onder-1-kapwoning")</f>
        <v>0</v>
      </c>
      <c r="D53">
        <f>COUNTIFS('Alle woningen'!H2:H579,"Soest",'Alle woningen'!W2:W579,"Hoekwoning")</f>
        <v>0</v>
      </c>
      <c r="E53">
        <f>COUNTIFS('Alle woningen'!H2:H579,"Soest",'Alle woningen'!W2:W579,"Tussenwoning")</f>
        <v>0</v>
      </c>
      <c r="F53">
        <f>COUNTIFS('Alle woningen'!H2:H579,"Soest",'Alle woningen'!W2:W579,"Eindwoning")</f>
        <v>0</v>
      </c>
      <c r="G53">
        <f>COUNTIFS('Alle woningen'!H2:H579,"Soest",'Alle woningen'!W2:W579,"Geschakelde woning")</f>
        <v>0</v>
      </c>
      <c r="H53">
        <f>COUNTIFS('Alle woningen'!H2:H579,"Soest",'Alle woningen'!W2:W579,"Herenhuis")</f>
        <v>0</v>
      </c>
      <c r="I53">
        <f>COUNTIFS('Alle woningen'!H2:H579,"Soest",'Alle woningen'!W2:W579,"Bungalow")</f>
        <v>0</v>
      </c>
      <c r="J53">
        <f>COUNTIFS('Alle woningen'!H2:H579,"Soest",'Alle woningen'!W2:W579,"Eengezinswoning")</f>
        <v>0</v>
      </c>
      <c r="K53">
        <f>COUNTIFS('Alle woningen'!H2:H579,"Soest",'Alle woningen'!W2:W579,"Woonhuis")</f>
        <v>0</v>
      </c>
      <c r="L53">
        <f>COUNTIFS('Alle woningen'!H2:H579,"Soest",'Alle woningen'!W2:W579,"Overig grondgebonden")</f>
        <v>0</v>
      </c>
      <c r="M53">
        <f>COUNTIFS('Alle woningen'!H2:H579,"Soest",'Alle woningen'!W2:W579,"Appartement")</f>
        <v>16</v>
      </c>
      <c r="N53">
        <f>SUM(B53:M53)</f>
        <v>16</v>
      </c>
    </row>
    <row r="54">
      <c r="A54" t="str">
        <v>Son en Breugel</v>
      </c>
      <c r="B54">
        <f>COUNTIFS('Alle woningen'!H2:H579,"Son en Breugel",'Alle woningen'!W2:W579,"Vrijstaande woning")</f>
        <v>0</v>
      </c>
      <c r="C54">
        <f>COUNTIFS('Alle woningen'!H2:H579,"Son en Breugel",'Alle woningen'!W2:W579,"2-onder-1-kapwoning")</f>
        <v>0</v>
      </c>
      <c r="D54">
        <f>COUNTIFS('Alle woningen'!H2:H579,"Son en Breugel",'Alle woningen'!W2:W579,"Hoekwoning")</f>
        <v>0</v>
      </c>
      <c r="E54">
        <f>COUNTIFS('Alle woningen'!H2:H579,"Son en Breugel",'Alle woningen'!W2:W579,"Tussenwoning")</f>
        <v>0</v>
      </c>
      <c r="F54">
        <f>COUNTIFS('Alle woningen'!H2:H579,"Son en Breugel",'Alle woningen'!W2:W579,"Eindwoning")</f>
        <v>0</v>
      </c>
      <c r="G54">
        <f>COUNTIFS('Alle woningen'!H2:H579,"Son en Breugel",'Alle woningen'!W2:W579,"Geschakelde woning")</f>
        <v>0</v>
      </c>
      <c r="H54">
        <f>COUNTIFS('Alle woningen'!H2:H579,"Son en Breugel",'Alle woningen'!W2:W579,"Herenhuis")</f>
        <v>0</v>
      </c>
      <c r="I54">
        <f>COUNTIFS('Alle woningen'!H2:H579,"Son en Breugel",'Alle woningen'!W2:W579,"Bungalow")</f>
        <v>0</v>
      </c>
      <c r="J54">
        <f>COUNTIFS('Alle woningen'!H2:H579,"Son en Breugel",'Alle woningen'!W2:W579,"Eengezinswoning")</f>
        <v>0</v>
      </c>
      <c r="K54">
        <f>COUNTIFS('Alle woningen'!H2:H579,"Son en Breugel",'Alle woningen'!W2:W579,"Woonhuis")</f>
        <v>0</v>
      </c>
      <c r="L54">
        <f>COUNTIFS('Alle woningen'!H2:H579,"Son en Breugel",'Alle woningen'!W2:W579,"Overig grondgebonden")</f>
        <v>0</v>
      </c>
      <c r="M54">
        <f>COUNTIFS('Alle woningen'!H2:H579,"Son en Breugel",'Alle woningen'!W2:W579,"Appartement")</f>
        <v>3</v>
      </c>
      <c r="N54">
        <f>SUM(B54:M54)</f>
        <v>3</v>
      </c>
    </row>
    <row r="55">
      <c r="A55" t="str">
        <v>Valkenswaard</v>
      </c>
      <c r="B55">
        <f>COUNTIFS('Alle woningen'!H2:H579,"Valkenswaard",'Alle woningen'!W2:W579,"Vrijstaande woning")</f>
        <v>0</v>
      </c>
      <c r="C55">
        <f>COUNTIFS('Alle woningen'!H2:H579,"Valkenswaard",'Alle woningen'!W2:W579,"2-onder-1-kapwoning")</f>
        <v>0</v>
      </c>
      <c r="D55">
        <f>COUNTIFS('Alle woningen'!H2:H579,"Valkenswaard",'Alle woningen'!W2:W579,"Hoekwoning")</f>
        <v>0</v>
      </c>
      <c r="E55">
        <f>COUNTIFS('Alle woningen'!H2:H579,"Valkenswaard",'Alle woningen'!W2:W579,"Tussenwoning")</f>
        <v>1</v>
      </c>
      <c r="F55">
        <f>COUNTIFS('Alle woningen'!H2:H579,"Valkenswaard",'Alle woningen'!W2:W579,"Eindwoning")</f>
        <v>0</v>
      </c>
      <c r="G55">
        <f>COUNTIFS('Alle woningen'!H2:H579,"Valkenswaard",'Alle woningen'!W2:W579,"Geschakelde woning")</f>
        <v>0</v>
      </c>
      <c r="H55">
        <f>COUNTIFS('Alle woningen'!H2:H579,"Valkenswaard",'Alle woningen'!W2:W579,"Herenhuis")</f>
        <v>0</v>
      </c>
      <c r="I55">
        <f>COUNTIFS('Alle woningen'!H2:H579,"Valkenswaard",'Alle woningen'!W2:W579,"Bungalow")</f>
        <v>0</v>
      </c>
      <c r="J55">
        <f>COUNTIFS('Alle woningen'!H2:H579,"Valkenswaard",'Alle woningen'!W2:W579,"Eengezinswoning")</f>
        <v>0</v>
      </c>
      <c r="K55">
        <f>COUNTIFS('Alle woningen'!H2:H579,"Valkenswaard",'Alle woningen'!W2:W579,"Woonhuis")</f>
        <v>0</v>
      </c>
      <c r="L55">
        <f>COUNTIFS('Alle woningen'!H2:H579,"Valkenswaard",'Alle woningen'!W2:W579,"Overig grondgebonden")</f>
        <v>0</v>
      </c>
      <c r="M55">
        <f>COUNTIFS('Alle woningen'!H2:H579,"Valkenswaard",'Alle woningen'!W2:W579,"Appartement")</f>
        <v>0</v>
      </c>
      <c r="N55">
        <f>SUM(B55:M55)</f>
        <v>1</v>
      </c>
    </row>
    <row r="56">
      <c r="A56" t="str">
        <v>Veenendaal</v>
      </c>
      <c r="B56">
        <f>COUNTIFS('Alle woningen'!H2:H579,"Veenendaal",'Alle woningen'!W2:W579,"Vrijstaande woning")</f>
        <v>6</v>
      </c>
      <c r="C56">
        <f>COUNTIFS('Alle woningen'!H2:H579,"Veenendaal",'Alle woningen'!W2:W579,"2-onder-1-kapwoning")</f>
        <v>16</v>
      </c>
      <c r="D56">
        <f>COUNTIFS('Alle woningen'!H2:H579,"Veenendaal",'Alle woningen'!W2:W579,"Hoekwoning")</f>
        <v>0</v>
      </c>
      <c r="E56">
        <f>COUNTIFS('Alle woningen'!H2:H579,"Veenendaal",'Alle woningen'!W2:W579,"Tussenwoning")</f>
        <v>0</v>
      </c>
      <c r="F56">
        <f>COUNTIFS('Alle woningen'!H2:H579,"Veenendaal",'Alle woningen'!W2:W579,"Eindwoning")</f>
        <v>0</v>
      </c>
      <c r="G56">
        <f>COUNTIFS('Alle woningen'!H2:H579,"Veenendaal",'Alle woningen'!W2:W579,"Geschakelde woning")</f>
        <v>0</v>
      </c>
      <c r="H56">
        <f>COUNTIFS('Alle woningen'!H2:H579,"Veenendaal",'Alle woningen'!W2:W579,"Herenhuis")</f>
        <v>0</v>
      </c>
      <c r="I56">
        <f>COUNTIFS('Alle woningen'!H2:H579,"Veenendaal",'Alle woningen'!W2:W579,"Bungalow")</f>
        <v>0</v>
      </c>
      <c r="J56">
        <f>COUNTIFS('Alle woningen'!H2:H579,"Veenendaal",'Alle woningen'!W2:W579,"Eengezinswoning")</f>
        <v>0</v>
      </c>
      <c r="K56">
        <f>COUNTIFS('Alle woningen'!H2:H579,"Veenendaal",'Alle woningen'!W2:W579,"Woonhuis")</f>
        <v>0</v>
      </c>
      <c r="L56">
        <f>COUNTIFS('Alle woningen'!H2:H579,"Veenendaal",'Alle woningen'!W2:W579,"Overig grondgebonden")</f>
        <v>0</v>
      </c>
      <c r="M56">
        <f>COUNTIFS('Alle woningen'!H2:H579,"Veenendaal",'Alle woningen'!W2:W579,"Appartement")</f>
        <v>34</v>
      </c>
      <c r="N56">
        <f>SUM(B56:M56)</f>
        <v>56</v>
      </c>
    </row>
    <row r="57">
      <c r="A57" t="str">
        <v>Venlo</v>
      </c>
      <c r="B57">
        <f>COUNTIFS('Alle woningen'!H2:H579,"Venlo",'Alle woningen'!W2:W579,"Vrijstaande woning")</f>
        <v>0</v>
      </c>
      <c r="C57">
        <f>COUNTIFS('Alle woningen'!H2:H579,"Venlo",'Alle woningen'!W2:W579,"2-onder-1-kapwoning")</f>
        <v>0</v>
      </c>
      <c r="D57">
        <f>COUNTIFS('Alle woningen'!H2:H579,"Venlo",'Alle woningen'!W2:W579,"Hoekwoning")</f>
        <v>0</v>
      </c>
      <c r="E57">
        <f>COUNTIFS('Alle woningen'!H2:H579,"Venlo",'Alle woningen'!W2:W579,"Tussenwoning")</f>
        <v>0</v>
      </c>
      <c r="F57">
        <f>COUNTIFS('Alle woningen'!H2:H579,"Venlo",'Alle woningen'!W2:W579,"Eindwoning")</f>
        <v>0</v>
      </c>
      <c r="G57">
        <f>COUNTIFS('Alle woningen'!H2:H579,"Venlo",'Alle woningen'!W2:W579,"Geschakelde woning")</f>
        <v>0</v>
      </c>
      <c r="H57">
        <f>COUNTIFS('Alle woningen'!H2:H579,"Venlo",'Alle woningen'!W2:W579,"Herenhuis")</f>
        <v>0</v>
      </c>
      <c r="I57">
        <f>COUNTIFS('Alle woningen'!H2:H579,"Venlo",'Alle woningen'!W2:W579,"Bungalow")</f>
        <v>0</v>
      </c>
      <c r="J57">
        <f>COUNTIFS('Alle woningen'!H2:H579,"Venlo",'Alle woningen'!W2:W579,"Eengezinswoning")</f>
        <v>0</v>
      </c>
      <c r="K57">
        <f>COUNTIFS('Alle woningen'!H2:H579,"Venlo",'Alle woningen'!W2:W579,"Woonhuis")</f>
        <v>0</v>
      </c>
      <c r="L57">
        <f>COUNTIFS('Alle woningen'!H2:H579,"Venlo",'Alle woningen'!W2:W579,"Overig grondgebonden")</f>
        <v>0</v>
      </c>
      <c r="M57">
        <f>COUNTIFS('Alle woningen'!H2:H579,"Venlo",'Alle woningen'!W2:W579,"Appartement")</f>
        <v>1</v>
      </c>
      <c r="N57">
        <f>SUM(B57:M57)</f>
        <v>1</v>
      </c>
    </row>
    <row r="58">
      <c r="A58" t="str">
        <v>Venray</v>
      </c>
      <c r="B58">
        <f>COUNTIFS('Alle woningen'!H2:H579,"Venray",'Alle woningen'!W2:W579,"Vrijstaande woning")</f>
        <v>0</v>
      </c>
      <c r="C58">
        <f>COUNTIFS('Alle woningen'!H2:H579,"Venray",'Alle woningen'!W2:W579,"2-onder-1-kapwoning")</f>
        <v>0</v>
      </c>
      <c r="D58">
        <f>COUNTIFS('Alle woningen'!H2:H579,"Venray",'Alle woningen'!W2:W579,"Hoekwoning")</f>
        <v>0</v>
      </c>
      <c r="E58">
        <f>COUNTIFS('Alle woningen'!H2:H579,"Venray",'Alle woningen'!W2:W579,"Tussenwoning")</f>
        <v>0</v>
      </c>
      <c r="F58">
        <f>COUNTIFS('Alle woningen'!H2:H579,"Venray",'Alle woningen'!W2:W579,"Eindwoning")</f>
        <v>0</v>
      </c>
      <c r="G58">
        <f>COUNTIFS('Alle woningen'!H2:H579,"Venray",'Alle woningen'!W2:W579,"Geschakelde woning")</f>
        <v>0</v>
      </c>
      <c r="H58">
        <f>COUNTIFS('Alle woningen'!H2:H579,"Venray",'Alle woningen'!W2:W579,"Herenhuis")</f>
        <v>0</v>
      </c>
      <c r="I58">
        <f>COUNTIFS('Alle woningen'!H2:H579,"Venray",'Alle woningen'!W2:W579,"Bungalow")</f>
        <v>0</v>
      </c>
      <c r="J58">
        <f>COUNTIFS('Alle woningen'!H2:H579,"Venray",'Alle woningen'!W2:W579,"Eengezinswoning")</f>
        <v>0</v>
      </c>
      <c r="K58">
        <f>COUNTIFS('Alle woningen'!H2:H579,"Venray",'Alle woningen'!W2:W579,"Woonhuis")</f>
        <v>0</v>
      </c>
      <c r="L58">
        <f>COUNTIFS('Alle woningen'!H2:H579,"Venray",'Alle woningen'!W2:W579,"Overig grondgebonden")</f>
        <v>0</v>
      </c>
      <c r="M58">
        <f>COUNTIFS('Alle woningen'!H2:H579,"Venray",'Alle woningen'!W2:W579,"Appartement")</f>
        <v>12</v>
      </c>
      <c r="N58">
        <f>SUM(B58:M58)</f>
        <v>12</v>
      </c>
    </row>
    <row r="59">
      <c r="A59" t="str">
        <v>Vlaardingen</v>
      </c>
      <c r="B59">
        <f>COUNTIFS('Alle woningen'!H2:H579,"Vlaardingen",'Alle woningen'!W2:W579,"Vrijstaande woning")</f>
        <v>0</v>
      </c>
      <c r="C59">
        <f>COUNTIFS('Alle woningen'!H2:H579,"Vlaardingen",'Alle woningen'!W2:W579,"2-onder-1-kapwoning")</f>
        <v>1</v>
      </c>
      <c r="D59">
        <f>COUNTIFS('Alle woningen'!H2:H579,"Vlaardingen",'Alle woningen'!W2:W579,"Hoekwoning")</f>
        <v>0</v>
      </c>
      <c r="E59">
        <f>COUNTIFS('Alle woningen'!H2:H579,"Vlaardingen",'Alle woningen'!W2:W579,"Tussenwoning")</f>
        <v>0</v>
      </c>
      <c r="F59">
        <f>COUNTIFS('Alle woningen'!H2:H579,"Vlaardingen",'Alle woningen'!W2:W579,"Eindwoning")</f>
        <v>0</v>
      </c>
      <c r="G59">
        <f>COUNTIFS('Alle woningen'!H2:H579,"Vlaardingen",'Alle woningen'!W2:W579,"Geschakelde woning")</f>
        <v>0</v>
      </c>
      <c r="H59">
        <f>COUNTIFS('Alle woningen'!H2:H579,"Vlaardingen",'Alle woningen'!W2:W579,"Herenhuis")</f>
        <v>0</v>
      </c>
      <c r="I59">
        <f>COUNTIFS('Alle woningen'!H2:H579,"Vlaardingen",'Alle woningen'!W2:W579,"Bungalow")</f>
        <v>0</v>
      </c>
      <c r="J59">
        <f>COUNTIFS('Alle woningen'!H2:H579,"Vlaardingen",'Alle woningen'!W2:W579,"Eengezinswoning")</f>
        <v>0</v>
      </c>
      <c r="K59">
        <f>COUNTIFS('Alle woningen'!H2:H579,"Vlaardingen",'Alle woningen'!W2:W579,"Woonhuis")</f>
        <v>0</v>
      </c>
      <c r="L59">
        <f>COUNTIFS('Alle woningen'!H2:H579,"Vlaardingen",'Alle woningen'!W2:W579,"Overig grondgebonden")</f>
        <v>0</v>
      </c>
      <c r="M59">
        <f>COUNTIFS('Alle woningen'!H2:H579,"Vlaardingen",'Alle woningen'!W2:W579,"Appartement")</f>
        <v>0</v>
      </c>
      <c r="N59">
        <f>SUM(B59:M59)</f>
        <v>1</v>
      </c>
    </row>
    <row r="60">
      <c r="A60" t="str">
        <v>Voorne aan Zee</v>
      </c>
      <c r="B60">
        <f>COUNTIFS('Alle woningen'!H2:H579,"Voorne aan Zee",'Alle woningen'!W2:W579,"Vrijstaande woning")</f>
        <v>0</v>
      </c>
      <c r="C60">
        <f>COUNTIFS('Alle woningen'!H2:H579,"Voorne aan Zee",'Alle woningen'!W2:W579,"2-onder-1-kapwoning")</f>
        <v>6</v>
      </c>
      <c r="D60">
        <f>COUNTIFS('Alle woningen'!H2:H579,"Voorne aan Zee",'Alle woningen'!W2:W579,"Hoekwoning")</f>
        <v>8</v>
      </c>
      <c r="E60">
        <f>COUNTIFS('Alle woningen'!H2:H579,"Voorne aan Zee",'Alle woningen'!W2:W579,"Tussenwoning")</f>
        <v>11</v>
      </c>
      <c r="F60">
        <f>COUNTIFS('Alle woningen'!H2:H579,"Voorne aan Zee",'Alle woningen'!W2:W579,"Eindwoning")</f>
        <v>0</v>
      </c>
      <c r="G60">
        <f>COUNTIFS('Alle woningen'!H2:H579,"Voorne aan Zee",'Alle woningen'!W2:W579,"Geschakelde woning")</f>
        <v>0</v>
      </c>
      <c r="H60">
        <f>COUNTIFS('Alle woningen'!H2:H579,"Voorne aan Zee",'Alle woningen'!W2:W579,"Herenhuis")</f>
        <v>0</v>
      </c>
      <c r="I60">
        <f>COUNTIFS('Alle woningen'!H2:H579,"Voorne aan Zee",'Alle woningen'!W2:W579,"Bungalow")</f>
        <v>0</v>
      </c>
      <c r="J60">
        <f>COUNTIFS('Alle woningen'!H2:H579,"Voorne aan Zee",'Alle woningen'!W2:W579,"Eengezinswoning")</f>
        <v>0</v>
      </c>
      <c r="K60">
        <f>COUNTIFS('Alle woningen'!H2:H579,"Voorne aan Zee",'Alle woningen'!W2:W579,"Woonhuis")</f>
        <v>0</v>
      </c>
      <c r="L60">
        <f>COUNTIFS('Alle woningen'!H2:H579,"Voorne aan Zee",'Alle woningen'!W2:W579,"Overig grondgebonden")</f>
        <v>0</v>
      </c>
      <c r="M60">
        <f>COUNTIFS('Alle woningen'!H2:H579,"Voorne aan Zee",'Alle woningen'!W2:W579,"Appartement")</f>
        <v>0</v>
      </c>
      <c r="N60">
        <f>SUM(B60:M60)</f>
        <v>25</v>
      </c>
    </row>
    <row r="61">
      <c r="A61" t="str">
        <v>Waalre</v>
      </c>
      <c r="B61">
        <f>COUNTIFS('Alle woningen'!H2:H579,"Waalre",'Alle woningen'!W2:W579,"Vrijstaande woning")</f>
        <v>0</v>
      </c>
      <c r="C61">
        <f>COUNTIFS('Alle woningen'!H2:H579,"Waalre",'Alle woningen'!W2:W579,"2-onder-1-kapwoning")</f>
        <v>0</v>
      </c>
      <c r="D61">
        <f>COUNTIFS('Alle woningen'!H2:H579,"Waalre",'Alle woningen'!W2:W579,"Hoekwoning")</f>
        <v>0</v>
      </c>
      <c r="E61">
        <f>COUNTIFS('Alle woningen'!H2:H579,"Waalre",'Alle woningen'!W2:W579,"Tussenwoning")</f>
        <v>0</v>
      </c>
      <c r="F61">
        <f>COUNTIFS('Alle woningen'!H2:H579,"Waalre",'Alle woningen'!W2:W579,"Eindwoning")</f>
        <v>0</v>
      </c>
      <c r="G61">
        <f>COUNTIFS('Alle woningen'!H2:H579,"Waalre",'Alle woningen'!W2:W579,"Geschakelde woning")</f>
        <v>0</v>
      </c>
      <c r="H61">
        <f>COUNTIFS('Alle woningen'!H2:H579,"Waalre",'Alle woningen'!W2:W579,"Herenhuis")</f>
        <v>0</v>
      </c>
      <c r="I61">
        <f>COUNTIFS('Alle woningen'!H2:H579,"Waalre",'Alle woningen'!W2:W579,"Bungalow")</f>
        <v>0</v>
      </c>
      <c r="J61">
        <f>COUNTIFS('Alle woningen'!H2:H579,"Waalre",'Alle woningen'!W2:W579,"Eengezinswoning")</f>
        <v>0</v>
      </c>
      <c r="K61">
        <f>COUNTIFS('Alle woningen'!H2:H579,"Waalre",'Alle woningen'!W2:W579,"Woonhuis")</f>
        <v>0</v>
      </c>
      <c r="L61">
        <f>COUNTIFS('Alle woningen'!H2:H579,"Waalre",'Alle woningen'!W2:W579,"Overig grondgebonden")</f>
        <v>0</v>
      </c>
      <c r="M61">
        <f>COUNTIFS('Alle woningen'!H2:H579,"Waalre",'Alle woningen'!W2:W579,"Appartement")</f>
        <v>67</v>
      </c>
      <c r="N61">
        <f>SUM(B61:M61)</f>
        <v>67</v>
      </c>
    </row>
    <row r="62">
      <c r="A62" t="str">
        <v>Westland</v>
      </c>
      <c r="B62">
        <f>COUNTIFS('Alle woningen'!H2:H579,"Westland",'Alle woningen'!W2:W579,"Vrijstaande woning")</f>
        <v>3</v>
      </c>
      <c r="C62">
        <f>COUNTIFS('Alle woningen'!H2:H579,"Westland",'Alle woningen'!W2:W579,"2-onder-1-kapwoning")</f>
        <v>4</v>
      </c>
      <c r="D62">
        <f>COUNTIFS('Alle woningen'!H2:H579,"Westland",'Alle woningen'!W2:W579,"Hoekwoning")</f>
        <v>0</v>
      </c>
      <c r="E62">
        <f>COUNTIFS('Alle woningen'!H2:H579,"Westland",'Alle woningen'!W2:W579,"Tussenwoning")</f>
        <v>0</v>
      </c>
      <c r="F62">
        <f>COUNTIFS('Alle woningen'!H2:H579,"Westland",'Alle woningen'!W2:W579,"Eindwoning")</f>
        <v>0</v>
      </c>
      <c r="G62">
        <f>COUNTIFS('Alle woningen'!H2:H579,"Westland",'Alle woningen'!W2:W579,"Geschakelde woning")</f>
        <v>0</v>
      </c>
      <c r="H62">
        <f>COUNTIFS('Alle woningen'!H2:H579,"Westland",'Alle woningen'!W2:W579,"Herenhuis")</f>
        <v>0</v>
      </c>
      <c r="I62">
        <f>COUNTIFS('Alle woningen'!H2:H579,"Westland",'Alle woningen'!W2:W579,"Bungalow")</f>
        <v>0</v>
      </c>
      <c r="J62">
        <f>COUNTIFS('Alle woningen'!H2:H579,"Westland",'Alle woningen'!W2:W579,"Eengezinswoning")</f>
        <v>0</v>
      </c>
      <c r="K62">
        <f>COUNTIFS('Alle woningen'!H2:H579,"Westland",'Alle woningen'!W2:W579,"Woonhuis")</f>
        <v>0</v>
      </c>
      <c r="L62">
        <f>COUNTIFS('Alle woningen'!H2:H579,"Westland",'Alle woningen'!W2:W579,"Overig grondgebonden")</f>
        <v>0</v>
      </c>
      <c r="M62">
        <f>COUNTIFS('Alle woningen'!H2:H579,"Westland",'Alle woningen'!W2:W579,"Appartement")</f>
        <v>0</v>
      </c>
      <c r="N62">
        <f>SUM(B62:M62)</f>
        <v>7</v>
      </c>
    </row>
    <row r="63">
      <c r="A63" t="str">
        <v>Woerden</v>
      </c>
      <c r="B63">
        <f>COUNTIFS('Alle woningen'!H2:H579,"Woerden",'Alle woningen'!W2:W579,"Vrijstaande woning")</f>
        <v>0</v>
      </c>
      <c r="C63">
        <f>COUNTIFS('Alle woningen'!H2:H579,"Woerden",'Alle woningen'!W2:W579,"2-onder-1-kapwoning")</f>
        <v>0</v>
      </c>
      <c r="D63">
        <f>COUNTIFS('Alle woningen'!H2:H579,"Woerden",'Alle woningen'!W2:W579,"Hoekwoning")</f>
        <v>2</v>
      </c>
      <c r="E63">
        <f>COUNTIFS('Alle woningen'!H2:H579,"Woerden",'Alle woningen'!W2:W579,"Tussenwoning")</f>
        <v>6</v>
      </c>
      <c r="F63">
        <f>COUNTIFS('Alle woningen'!H2:H579,"Woerden",'Alle woningen'!W2:W579,"Eindwoning")</f>
        <v>0</v>
      </c>
      <c r="G63">
        <f>COUNTIFS('Alle woningen'!H2:H579,"Woerden",'Alle woningen'!W2:W579,"Geschakelde woning")</f>
        <v>0</v>
      </c>
      <c r="H63">
        <f>COUNTIFS('Alle woningen'!H2:H579,"Woerden",'Alle woningen'!W2:W579,"Herenhuis")</f>
        <v>0</v>
      </c>
      <c r="I63">
        <f>COUNTIFS('Alle woningen'!H2:H579,"Woerden",'Alle woningen'!W2:W579,"Bungalow")</f>
        <v>0</v>
      </c>
      <c r="J63">
        <f>COUNTIFS('Alle woningen'!H2:H579,"Woerden",'Alle woningen'!W2:W579,"Eengezinswoning")</f>
        <v>0</v>
      </c>
      <c r="K63">
        <f>COUNTIFS('Alle woningen'!H2:H579,"Woerden",'Alle woningen'!W2:W579,"Woonhuis")</f>
        <v>0</v>
      </c>
      <c r="L63">
        <f>COUNTIFS('Alle woningen'!H2:H579,"Woerden",'Alle woningen'!W2:W579,"Overig grondgebonden")</f>
        <v>0</v>
      </c>
      <c r="M63">
        <f>COUNTIFS('Alle woningen'!H2:H579,"Woerden",'Alle woningen'!W2:W579,"Appartement")</f>
        <v>0</v>
      </c>
      <c r="N63">
        <f>SUM(B63:M63)</f>
        <v>8</v>
      </c>
    </row>
    <row r="64">
      <c r="A64" t="str">
        <v>Zevenaar</v>
      </c>
      <c r="B64">
        <f>COUNTIFS('Alle woningen'!H2:H579,"Zevenaar",'Alle woningen'!W2:W579,"Vrijstaande woning")</f>
        <v>0</v>
      </c>
      <c r="C64">
        <f>COUNTIFS('Alle woningen'!H2:H579,"Zevenaar",'Alle woningen'!W2:W579,"2-onder-1-kapwoning")</f>
        <v>0</v>
      </c>
      <c r="D64">
        <f>COUNTIFS('Alle woningen'!H2:H579,"Zevenaar",'Alle woningen'!W2:W579,"Hoekwoning")</f>
        <v>0</v>
      </c>
      <c r="E64">
        <f>COUNTIFS('Alle woningen'!H2:H579,"Zevenaar",'Alle woningen'!W2:W579,"Tussenwoning")</f>
        <v>0</v>
      </c>
      <c r="F64">
        <f>COUNTIFS('Alle woningen'!H2:H579,"Zevenaar",'Alle woningen'!W2:W579,"Eindwoning")</f>
        <v>0</v>
      </c>
      <c r="G64">
        <f>COUNTIFS('Alle woningen'!H2:H579,"Zevenaar",'Alle woningen'!W2:W579,"Geschakelde woning")</f>
        <v>0</v>
      </c>
      <c r="H64">
        <f>COUNTIFS('Alle woningen'!H2:H579,"Zevenaar",'Alle woningen'!W2:W579,"Herenhuis")</f>
        <v>0</v>
      </c>
      <c r="I64">
        <f>COUNTIFS('Alle woningen'!H2:H579,"Zevenaar",'Alle woningen'!W2:W579,"Bungalow")</f>
        <v>0</v>
      </c>
      <c r="J64">
        <f>COUNTIFS('Alle woningen'!H2:H579,"Zevenaar",'Alle woningen'!W2:W579,"Eengezinswoning")</f>
        <v>0</v>
      </c>
      <c r="K64">
        <f>COUNTIFS('Alle woningen'!H2:H579,"Zevenaar",'Alle woningen'!W2:W579,"Woonhuis")</f>
        <v>0</v>
      </c>
      <c r="L64">
        <f>COUNTIFS('Alle woningen'!H2:H579,"Zevenaar",'Alle woningen'!W2:W579,"Overig grondgebonden")</f>
        <v>0</v>
      </c>
      <c r="M64">
        <f>COUNTIFS('Alle woningen'!H2:H579,"Zevenaar",'Alle woningen'!W2:W579,"Appartement")</f>
        <v>1</v>
      </c>
      <c r="N64">
        <f>SUM(B64:M64)</f>
        <v>1</v>
      </c>
    </row>
  </sheetData>
  <autoFilter ref="A1:N64"/>
  <ignoredErrors>
    <ignoredError numberStoredAsText="1" sqref="A1:N6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</cols>
  <sheetData>
    <row r="1">
      <c r="A1" t="str">
        <v>Gemeente</v>
      </c>
      <c r="B1" t="str">
        <v>Appartement &lt;50 m²</v>
      </c>
      <c r="C1" t="str">
        <v>Appartement 50-75 m²</v>
      </c>
      <c r="D1" t="str">
        <v>Appartement 75-100 m²</v>
      </c>
      <c r="E1" t="str">
        <v>Appartement &gt;100 m²</v>
      </c>
      <c r="F1" t="str">
        <v>Totaal</v>
      </c>
    </row>
    <row r="2">
      <c r="A2" t="str">
        <v>'s-Gravenhage</v>
      </c>
      <c r="B2">
        <f>COUNTIFS('Alle woningen'!H2:H579,"'s-Gravenhage",'Alle woningen'!X2:X579,"Appartement &lt;50 m²")</f>
        <v>1</v>
      </c>
      <c r="C2">
        <f>COUNTIFS('Alle woningen'!H2:H579,"'s-Gravenhage",'Alle woningen'!X2:X579,"Appartement 50-75 m²")</f>
        <v>0</v>
      </c>
      <c r="D2">
        <f>COUNTIFS('Alle woningen'!H2:H579,"'s-Gravenhage",'Alle woningen'!X2:X579,"Appartement 75-100 m²")</f>
        <v>0</v>
      </c>
      <c r="E2">
        <f>COUNTIFS('Alle woningen'!H2:H579,"'s-Gravenhage",'Alle woningen'!X2:X579,"Appartement &gt;100 m²")</f>
        <v>1</v>
      </c>
      <c r="F2">
        <f>SUM(B2:E2)</f>
        <v>2</v>
      </c>
    </row>
    <row r="3">
      <c r="A3" t="str">
        <v>Aalten</v>
      </c>
      <c r="B3">
        <f>COUNTIFS('Alle woningen'!H2:H579,"Aalten",'Alle woningen'!X2:X579,"Appartement &lt;50 m²")</f>
        <v>0</v>
      </c>
      <c r="C3">
        <f>COUNTIFS('Alle woningen'!H2:H579,"Aalten",'Alle woningen'!X2:X579,"Appartement 50-75 m²")</f>
        <v>0</v>
      </c>
      <c r="D3">
        <f>COUNTIFS('Alle woningen'!H2:H579,"Aalten",'Alle woningen'!X2:X579,"Appartement 75-100 m²")</f>
        <v>1</v>
      </c>
      <c r="E3">
        <f>COUNTIFS('Alle woningen'!H2:H579,"Aalten",'Alle woningen'!X2:X579,"Appartement &gt;100 m²")</f>
        <v>0</v>
      </c>
      <c r="F3">
        <f>SUM(B3:E3)</f>
        <v>1</v>
      </c>
    </row>
    <row r="4">
      <c r="A4" t="str">
        <v>Alkmaar</v>
      </c>
      <c r="B4">
        <f>COUNTIFS('Alle woningen'!H2:H579,"Alkmaar",'Alle woningen'!X2:X579,"Appartement &lt;50 m²")</f>
        <v>0</v>
      </c>
      <c r="C4">
        <f>COUNTIFS('Alle woningen'!H2:H579,"Alkmaar",'Alle woningen'!X2:X579,"Appartement 50-75 m²")</f>
        <v>1</v>
      </c>
      <c r="D4">
        <f>COUNTIFS('Alle woningen'!H2:H579,"Alkmaar",'Alle woningen'!X2:X579,"Appartement 75-100 m²")</f>
        <v>1</v>
      </c>
      <c r="E4">
        <f>COUNTIFS('Alle woningen'!H2:H579,"Alkmaar",'Alle woningen'!X2:X579,"Appartement &gt;100 m²")</f>
        <v>0</v>
      </c>
      <c r="F4">
        <f>SUM(B4:E4)</f>
        <v>2</v>
      </c>
    </row>
    <row r="5">
      <c r="A5" t="str">
        <v>Almere</v>
      </c>
      <c r="B5">
        <f>COUNTIFS('Alle woningen'!H2:H579,"Almere",'Alle woningen'!X2:X579,"Appartement &lt;50 m²")</f>
        <v>0</v>
      </c>
      <c r="C5">
        <f>COUNTIFS('Alle woningen'!H2:H579,"Almere",'Alle woningen'!X2:X579,"Appartement 50-75 m²")</f>
        <v>0</v>
      </c>
      <c r="D5">
        <f>COUNTIFS('Alle woningen'!H2:H579,"Almere",'Alle woningen'!X2:X579,"Appartement 75-100 m²")</f>
        <v>0</v>
      </c>
      <c r="E5">
        <f>COUNTIFS('Alle woningen'!H2:H579,"Almere",'Alle woningen'!X2:X579,"Appartement &gt;100 m²")</f>
        <v>0</v>
      </c>
      <c r="F5">
        <f>SUM(B5:E5)</f>
        <v>0</v>
      </c>
    </row>
    <row r="6">
      <c r="A6" t="str">
        <v>Amersfoort</v>
      </c>
      <c r="B6">
        <f>COUNTIFS('Alle woningen'!H2:H579,"Amersfoort",'Alle woningen'!X2:X579,"Appartement &lt;50 m²")</f>
        <v>1</v>
      </c>
      <c r="C6">
        <f>COUNTIFS('Alle woningen'!H2:H579,"Amersfoort",'Alle woningen'!X2:X579,"Appartement 50-75 m²")</f>
        <v>0</v>
      </c>
      <c r="D6">
        <f>COUNTIFS('Alle woningen'!H2:H579,"Amersfoort",'Alle woningen'!X2:X579,"Appartement 75-100 m²")</f>
        <v>0</v>
      </c>
      <c r="E6">
        <f>COUNTIFS('Alle woningen'!H2:H579,"Amersfoort",'Alle woningen'!X2:X579,"Appartement &gt;100 m²")</f>
        <v>0</v>
      </c>
      <c r="F6">
        <f>SUM(B6:E6)</f>
        <v>1</v>
      </c>
    </row>
    <row r="7">
      <c r="A7" t="str">
        <v>Amsterdam</v>
      </c>
      <c r="B7">
        <f>COUNTIFS('Alle woningen'!H2:H579,"Amsterdam",'Alle woningen'!X2:X579,"Appartement &lt;50 m²")</f>
        <v>0</v>
      </c>
      <c r="C7">
        <f>COUNTIFS('Alle woningen'!H2:H579,"Amsterdam",'Alle woningen'!X2:X579,"Appartement 50-75 m²")</f>
        <v>4</v>
      </c>
      <c r="D7">
        <f>COUNTIFS('Alle woningen'!H2:H579,"Amsterdam",'Alle woningen'!X2:X579,"Appartement 75-100 m²")</f>
        <v>6</v>
      </c>
      <c r="E7">
        <f>COUNTIFS('Alle woningen'!H2:H579,"Amsterdam",'Alle woningen'!X2:X579,"Appartement &gt;100 m²")</f>
        <v>3</v>
      </c>
      <c r="F7">
        <f>SUM(B7:E7)</f>
        <v>13</v>
      </c>
    </row>
    <row r="8">
      <c r="A8" t="str">
        <v>Bergen op Zoom</v>
      </c>
      <c r="B8">
        <f>COUNTIFS('Alle woningen'!H2:H579,"Bergen op Zoom",'Alle woningen'!X2:X579,"Appartement &lt;50 m²")</f>
        <v>0</v>
      </c>
      <c r="C8">
        <f>COUNTIFS('Alle woningen'!H2:H579,"Bergen op Zoom",'Alle woningen'!X2:X579,"Appartement 50-75 m²")</f>
        <v>1</v>
      </c>
      <c r="D8">
        <f>COUNTIFS('Alle woningen'!H2:H579,"Bergen op Zoom",'Alle woningen'!X2:X579,"Appartement 75-100 m²")</f>
        <v>0</v>
      </c>
      <c r="E8">
        <f>COUNTIFS('Alle woningen'!H2:H579,"Bergen op Zoom",'Alle woningen'!X2:X579,"Appartement &gt;100 m²")</f>
        <v>0</v>
      </c>
      <c r="F8">
        <f>SUM(B8:E8)</f>
        <v>1</v>
      </c>
    </row>
    <row r="9">
      <c r="A9" t="str">
        <v>Berkelland</v>
      </c>
      <c r="B9">
        <f>COUNTIFS('Alle woningen'!H2:H579,"Berkelland",'Alle woningen'!X2:X579,"Appartement &lt;50 m²")</f>
        <v>0</v>
      </c>
      <c r="C9">
        <f>COUNTIFS('Alle woningen'!H2:H579,"Berkelland",'Alle woningen'!X2:X579,"Appartement 50-75 m²")</f>
        <v>0</v>
      </c>
      <c r="D9">
        <f>COUNTIFS('Alle woningen'!H2:H579,"Berkelland",'Alle woningen'!X2:X579,"Appartement 75-100 m²")</f>
        <v>0</v>
      </c>
      <c r="E9">
        <f>COUNTIFS('Alle woningen'!H2:H579,"Berkelland",'Alle woningen'!X2:X579,"Appartement &gt;100 m²")</f>
        <v>0</v>
      </c>
      <c r="F9">
        <f>SUM(B9:E9)</f>
        <v>0</v>
      </c>
    </row>
    <row r="10">
      <c r="A10" t="str">
        <v>Bernheze</v>
      </c>
      <c r="B10">
        <f>COUNTIFS('Alle woningen'!H2:H579,"Bernheze",'Alle woningen'!X2:X579,"Appartement &lt;50 m²")</f>
        <v>0</v>
      </c>
      <c r="C10">
        <f>COUNTIFS('Alle woningen'!H2:H579,"Bernheze",'Alle woningen'!X2:X579,"Appartement 50-75 m²")</f>
        <v>0</v>
      </c>
      <c r="D10">
        <f>COUNTIFS('Alle woningen'!H2:H579,"Bernheze",'Alle woningen'!X2:X579,"Appartement 75-100 m²")</f>
        <v>0</v>
      </c>
      <c r="E10">
        <f>COUNTIFS('Alle woningen'!H2:H579,"Bernheze",'Alle woningen'!X2:X579,"Appartement &gt;100 m²")</f>
        <v>0</v>
      </c>
      <c r="F10">
        <f>SUM(B10:E10)</f>
        <v>0</v>
      </c>
    </row>
    <row r="11">
      <c r="A11" t="str">
        <v>Borsele</v>
      </c>
      <c r="B11">
        <f>COUNTIFS('Alle woningen'!H2:H579,"Borsele",'Alle woningen'!X2:X579,"Appartement &lt;50 m²")</f>
        <v>0</v>
      </c>
      <c r="C11">
        <f>COUNTIFS('Alle woningen'!H2:H579,"Borsele",'Alle woningen'!X2:X579,"Appartement 50-75 m²")</f>
        <v>0</v>
      </c>
      <c r="D11">
        <f>COUNTIFS('Alle woningen'!H2:H579,"Borsele",'Alle woningen'!X2:X579,"Appartement 75-100 m²")</f>
        <v>0</v>
      </c>
      <c r="E11">
        <f>COUNTIFS('Alle woningen'!H2:H579,"Borsele",'Alle woningen'!X2:X579,"Appartement &gt;100 m²")</f>
        <v>0</v>
      </c>
      <c r="F11">
        <f>SUM(B11:E11)</f>
        <v>0</v>
      </c>
    </row>
    <row r="12">
      <c r="A12" t="str">
        <v>Breda</v>
      </c>
      <c r="B12">
        <f>COUNTIFS('Alle woningen'!H2:H579,"Breda",'Alle woningen'!X2:X579,"Appartement &lt;50 m²")</f>
        <v>0</v>
      </c>
      <c r="C12">
        <f>COUNTIFS('Alle woningen'!H2:H579,"Breda",'Alle woningen'!X2:X579,"Appartement 50-75 m²")</f>
        <v>2</v>
      </c>
      <c r="D12">
        <f>COUNTIFS('Alle woningen'!H2:H579,"Breda",'Alle woningen'!X2:X579,"Appartement 75-100 m²")</f>
        <v>4</v>
      </c>
      <c r="E12">
        <f>COUNTIFS('Alle woningen'!H2:H579,"Breda",'Alle woningen'!X2:X579,"Appartement &gt;100 m²")</f>
        <v>0</v>
      </c>
      <c r="F12">
        <f>SUM(B12:E12)</f>
        <v>6</v>
      </c>
    </row>
    <row r="13">
      <c r="A13" t="str">
        <v>Brummen</v>
      </c>
      <c r="B13">
        <f>COUNTIFS('Alle woningen'!H2:H579,"Brummen",'Alle woningen'!X2:X579,"Appartement &lt;50 m²")</f>
        <v>0</v>
      </c>
      <c r="C13">
        <f>COUNTIFS('Alle woningen'!H2:H579,"Brummen",'Alle woningen'!X2:X579,"Appartement 50-75 m²")</f>
        <v>0</v>
      </c>
      <c r="D13">
        <f>COUNTIFS('Alle woningen'!H2:H579,"Brummen",'Alle woningen'!X2:X579,"Appartement 75-100 m²")</f>
        <v>0</v>
      </c>
      <c r="E13">
        <f>COUNTIFS('Alle woningen'!H2:H579,"Brummen",'Alle woningen'!X2:X579,"Appartement &gt;100 m²")</f>
        <v>0</v>
      </c>
      <c r="F13">
        <f>SUM(B13:E13)</f>
        <v>0</v>
      </c>
    </row>
    <row r="14">
      <c r="A14" t="str">
        <v>Brunssum</v>
      </c>
      <c r="B14">
        <f>COUNTIFS('Alle woningen'!H2:H579,"Brunssum",'Alle woningen'!X2:X579,"Appartement &lt;50 m²")</f>
        <v>0</v>
      </c>
      <c r="C14">
        <f>COUNTIFS('Alle woningen'!H2:H579,"Brunssum",'Alle woningen'!X2:X579,"Appartement 50-75 m²")</f>
        <v>0</v>
      </c>
      <c r="D14">
        <f>COUNTIFS('Alle woningen'!H2:H579,"Brunssum",'Alle woningen'!X2:X579,"Appartement 75-100 m²")</f>
        <v>2</v>
      </c>
      <c r="E14">
        <f>COUNTIFS('Alle woningen'!H2:H579,"Brunssum",'Alle woningen'!X2:X579,"Appartement &gt;100 m²")</f>
        <v>0</v>
      </c>
      <c r="F14">
        <f>SUM(B14:E14)</f>
        <v>2</v>
      </c>
    </row>
    <row r="15">
      <c r="A15" t="str">
        <v>Capelle aan den IJssel</v>
      </c>
      <c r="B15">
        <f>COUNTIFS('Alle woningen'!H2:H579,"Capelle aan den IJssel",'Alle woningen'!X2:X579,"Appartement &lt;50 m²")</f>
        <v>2</v>
      </c>
      <c r="C15">
        <f>COUNTIFS('Alle woningen'!H2:H579,"Capelle aan den IJssel",'Alle woningen'!X2:X579,"Appartement 50-75 m²")</f>
        <v>0</v>
      </c>
      <c r="D15">
        <f>COUNTIFS('Alle woningen'!H2:H579,"Capelle aan den IJssel",'Alle woningen'!X2:X579,"Appartement 75-100 m²")</f>
        <v>0</v>
      </c>
      <c r="E15">
        <f>COUNTIFS('Alle woningen'!H2:H579,"Capelle aan den IJssel",'Alle woningen'!X2:X579,"Appartement &gt;100 m²")</f>
        <v>0</v>
      </c>
      <c r="F15">
        <f>SUM(B15:E15)</f>
        <v>2</v>
      </c>
    </row>
    <row r="16">
      <c r="A16" t="str">
        <v>Den Helder</v>
      </c>
      <c r="B16">
        <f>COUNTIFS('Alle woningen'!H2:H579,"Den Helder",'Alle woningen'!X2:X579,"Appartement &lt;50 m²")</f>
        <v>0</v>
      </c>
      <c r="C16">
        <f>COUNTIFS('Alle woningen'!H2:H579,"Den Helder",'Alle woningen'!X2:X579,"Appartement 50-75 m²")</f>
        <v>0</v>
      </c>
      <c r="D16">
        <f>COUNTIFS('Alle woningen'!H2:H579,"Den Helder",'Alle woningen'!X2:X579,"Appartement 75-100 m²")</f>
        <v>0</v>
      </c>
      <c r="E16">
        <f>COUNTIFS('Alle woningen'!H2:H579,"Den Helder",'Alle woningen'!X2:X579,"Appartement &gt;100 m²")</f>
        <v>0</v>
      </c>
      <c r="F16">
        <f>SUM(B16:E16)</f>
        <v>0</v>
      </c>
    </row>
    <row r="17">
      <c r="A17" t="str">
        <v>Deventer</v>
      </c>
      <c r="B17">
        <f>COUNTIFS('Alle woningen'!H2:H579,"Deventer",'Alle woningen'!X2:X579,"Appartement &lt;50 m²")</f>
        <v>0</v>
      </c>
      <c r="C17">
        <f>COUNTIFS('Alle woningen'!H2:H579,"Deventer",'Alle woningen'!X2:X579,"Appartement 50-75 m²")</f>
        <v>0</v>
      </c>
      <c r="D17">
        <f>COUNTIFS('Alle woningen'!H2:H579,"Deventer",'Alle woningen'!X2:X579,"Appartement 75-100 m²")</f>
        <v>0</v>
      </c>
      <c r="E17">
        <f>COUNTIFS('Alle woningen'!H2:H579,"Deventer",'Alle woningen'!X2:X579,"Appartement &gt;100 m²")</f>
        <v>0</v>
      </c>
      <c r="F17">
        <f>SUM(B17:E17)</f>
        <v>0</v>
      </c>
    </row>
    <row r="18">
      <c r="A18" t="str">
        <v>Diemen</v>
      </c>
      <c r="B18">
        <f>COUNTIFS('Alle woningen'!H2:H579,"Diemen",'Alle woningen'!X2:X579,"Appartement &lt;50 m²")</f>
        <v>0</v>
      </c>
      <c r="C18">
        <f>COUNTIFS('Alle woningen'!H2:H579,"Diemen",'Alle woningen'!X2:X579,"Appartement 50-75 m²")</f>
        <v>0</v>
      </c>
      <c r="D18">
        <f>COUNTIFS('Alle woningen'!H2:H579,"Diemen",'Alle woningen'!X2:X579,"Appartement 75-100 m²")</f>
        <v>0</v>
      </c>
      <c r="E18">
        <f>COUNTIFS('Alle woningen'!H2:H579,"Diemen",'Alle woningen'!X2:X579,"Appartement &gt;100 m²")</f>
        <v>0</v>
      </c>
      <c r="F18">
        <f>SUM(B18:E18)</f>
        <v>0</v>
      </c>
    </row>
    <row r="19">
      <c r="A19" t="str">
        <v>Dinkelland</v>
      </c>
      <c r="B19">
        <f>COUNTIFS('Alle woningen'!H2:H579,"Dinkelland",'Alle woningen'!X2:X579,"Appartement &lt;50 m²")</f>
        <v>0</v>
      </c>
      <c r="C19">
        <f>COUNTIFS('Alle woningen'!H2:H579,"Dinkelland",'Alle woningen'!X2:X579,"Appartement 50-75 m²")</f>
        <v>0</v>
      </c>
      <c r="D19">
        <f>COUNTIFS('Alle woningen'!H2:H579,"Dinkelland",'Alle woningen'!X2:X579,"Appartement 75-100 m²")</f>
        <v>0</v>
      </c>
      <c r="E19">
        <f>COUNTIFS('Alle woningen'!H2:H579,"Dinkelland",'Alle woningen'!X2:X579,"Appartement &gt;100 m²")</f>
        <v>0</v>
      </c>
      <c r="F19">
        <f>SUM(B19:E19)</f>
        <v>0</v>
      </c>
    </row>
    <row r="20">
      <c r="A20" t="str">
        <v>Doetinchem</v>
      </c>
      <c r="B20">
        <f>COUNTIFS('Alle woningen'!H2:H579,"Doetinchem",'Alle woningen'!X2:X579,"Appartement &lt;50 m²")</f>
        <v>0</v>
      </c>
      <c r="C20">
        <f>COUNTIFS('Alle woningen'!H2:H579,"Doetinchem",'Alle woningen'!X2:X579,"Appartement 50-75 m²")</f>
        <v>0</v>
      </c>
      <c r="D20">
        <f>COUNTIFS('Alle woningen'!H2:H579,"Doetinchem",'Alle woningen'!X2:X579,"Appartement 75-100 m²")</f>
        <v>0</v>
      </c>
      <c r="E20">
        <f>COUNTIFS('Alle woningen'!H2:H579,"Doetinchem",'Alle woningen'!X2:X579,"Appartement &gt;100 m²")</f>
        <v>0</v>
      </c>
      <c r="F20">
        <f>SUM(B20:E20)</f>
        <v>0</v>
      </c>
    </row>
    <row r="21">
      <c r="A21" t="str">
        <v>Dronten</v>
      </c>
      <c r="B21">
        <f>COUNTIFS('Alle woningen'!H2:H579,"Dronten",'Alle woningen'!X2:X579,"Appartement &lt;50 m²")</f>
        <v>0</v>
      </c>
      <c r="C21">
        <f>COUNTIFS('Alle woningen'!H2:H579,"Dronten",'Alle woningen'!X2:X579,"Appartement 50-75 m²")</f>
        <v>0</v>
      </c>
      <c r="D21">
        <f>COUNTIFS('Alle woningen'!H2:H579,"Dronten",'Alle woningen'!X2:X579,"Appartement 75-100 m²")</f>
        <v>0</v>
      </c>
      <c r="E21">
        <f>COUNTIFS('Alle woningen'!H2:H579,"Dronten",'Alle woningen'!X2:X579,"Appartement &gt;100 m²")</f>
        <v>0</v>
      </c>
      <c r="F21">
        <f>SUM(B21:E21)</f>
        <v>0</v>
      </c>
    </row>
    <row r="22">
      <c r="A22" t="str">
        <v>Echt-Susteren</v>
      </c>
      <c r="B22">
        <f>COUNTIFS('Alle woningen'!H2:H579,"Echt-Susteren",'Alle woningen'!X2:X579,"Appartement &lt;50 m²")</f>
        <v>0</v>
      </c>
      <c r="C22">
        <f>COUNTIFS('Alle woningen'!H2:H579,"Echt-Susteren",'Alle woningen'!X2:X579,"Appartement 50-75 m²")</f>
        <v>0</v>
      </c>
      <c r="D22">
        <f>COUNTIFS('Alle woningen'!H2:H579,"Echt-Susteren",'Alle woningen'!X2:X579,"Appartement 75-100 m²")</f>
        <v>0</v>
      </c>
      <c r="E22">
        <f>COUNTIFS('Alle woningen'!H2:H579,"Echt-Susteren",'Alle woningen'!X2:X579,"Appartement &gt;100 m²")</f>
        <v>0</v>
      </c>
      <c r="F22">
        <f>SUM(B22:E22)</f>
        <v>0</v>
      </c>
    </row>
    <row r="23">
      <c r="A23" t="str">
        <v>Eindhoven</v>
      </c>
      <c r="B23">
        <f>COUNTIFS('Alle woningen'!H2:H579,"Eindhoven",'Alle woningen'!X2:X579,"Appartement &lt;50 m²")</f>
        <v>0</v>
      </c>
      <c r="C23">
        <f>COUNTIFS('Alle woningen'!H2:H579,"Eindhoven",'Alle woningen'!X2:X579,"Appartement 50-75 m²")</f>
        <v>5</v>
      </c>
      <c r="D23">
        <f>COUNTIFS('Alle woningen'!H2:H579,"Eindhoven",'Alle woningen'!X2:X579,"Appartement 75-100 m²")</f>
        <v>0</v>
      </c>
      <c r="E23">
        <f>COUNTIFS('Alle woningen'!H2:H579,"Eindhoven",'Alle woningen'!X2:X579,"Appartement &gt;100 m²")</f>
        <v>1</v>
      </c>
      <c r="F23">
        <f>SUM(B23:E23)</f>
        <v>6</v>
      </c>
    </row>
    <row r="24">
      <c r="A24" t="str">
        <v>Emmen</v>
      </c>
      <c r="B24">
        <f>COUNTIFS('Alle woningen'!H2:H579,"Emmen",'Alle woningen'!X2:X579,"Appartement &lt;50 m²")</f>
        <v>0</v>
      </c>
      <c r="C24">
        <f>COUNTIFS('Alle woningen'!H2:H579,"Emmen",'Alle woningen'!X2:X579,"Appartement 50-75 m²")</f>
        <v>0</v>
      </c>
      <c r="D24">
        <f>COUNTIFS('Alle woningen'!H2:H579,"Emmen",'Alle woningen'!X2:X579,"Appartement 75-100 m²")</f>
        <v>2</v>
      </c>
      <c r="E24">
        <f>COUNTIFS('Alle woningen'!H2:H579,"Emmen",'Alle woningen'!X2:X579,"Appartement &gt;100 m²")</f>
        <v>0</v>
      </c>
      <c r="F24">
        <f>SUM(B24:E24)</f>
        <v>2</v>
      </c>
    </row>
    <row r="25">
      <c r="A25" t="str">
        <v>Enschede</v>
      </c>
      <c r="B25">
        <f>COUNTIFS('Alle woningen'!H2:H579,"Enschede",'Alle woningen'!X2:X579,"Appartement &lt;50 m²")</f>
        <v>0</v>
      </c>
      <c r="C25">
        <f>COUNTIFS('Alle woningen'!H2:H579,"Enschede",'Alle woningen'!X2:X579,"Appartement 50-75 m²")</f>
        <v>0</v>
      </c>
      <c r="D25">
        <f>COUNTIFS('Alle woningen'!H2:H579,"Enschede",'Alle woningen'!X2:X579,"Appartement 75-100 m²")</f>
        <v>0</v>
      </c>
      <c r="E25">
        <f>COUNTIFS('Alle woningen'!H2:H579,"Enschede",'Alle woningen'!X2:X579,"Appartement &gt;100 m²")</f>
        <v>0</v>
      </c>
      <c r="F25">
        <f>SUM(B25:E25)</f>
        <v>0</v>
      </c>
    </row>
    <row r="26">
      <c r="A26" t="str">
        <v>Gennep</v>
      </c>
      <c r="B26">
        <f>COUNTIFS('Alle woningen'!H2:H579,"Gennep",'Alle woningen'!X2:X579,"Appartement &lt;50 m²")</f>
        <v>0</v>
      </c>
      <c r="C26">
        <f>COUNTIFS('Alle woningen'!H2:H579,"Gennep",'Alle woningen'!X2:X579,"Appartement 50-75 m²")</f>
        <v>0</v>
      </c>
      <c r="D26">
        <f>COUNTIFS('Alle woningen'!H2:H579,"Gennep",'Alle woningen'!X2:X579,"Appartement 75-100 m²")</f>
        <v>3</v>
      </c>
      <c r="E26">
        <f>COUNTIFS('Alle woningen'!H2:H579,"Gennep",'Alle woningen'!X2:X579,"Appartement &gt;100 m²")</f>
        <v>0</v>
      </c>
      <c r="F26">
        <f>SUM(B26:E26)</f>
        <v>3</v>
      </c>
    </row>
    <row r="27">
      <c r="A27" t="str">
        <v>Gilze en Rijen</v>
      </c>
      <c r="B27">
        <f>COUNTIFS('Alle woningen'!H2:H579,"Gilze en Rijen",'Alle woningen'!X2:X579,"Appartement &lt;50 m²")</f>
        <v>0</v>
      </c>
      <c r="C27">
        <f>COUNTIFS('Alle woningen'!H2:H579,"Gilze en Rijen",'Alle woningen'!X2:X579,"Appartement 50-75 m²")</f>
        <v>0</v>
      </c>
      <c r="D27">
        <f>COUNTIFS('Alle woningen'!H2:H579,"Gilze en Rijen",'Alle woningen'!X2:X579,"Appartement 75-100 m²")</f>
        <v>0</v>
      </c>
      <c r="E27">
        <f>COUNTIFS('Alle woningen'!H2:H579,"Gilze en Rijen",'Alle woningen'!X2:X579,"Appartement &gt;100 m²")</f>
        <v>0</v>
      </c>
      <c r="F27">
        <f>SUM(B27:E27)</f>
        <v>0</v>
      </c>
    </row>
    <row r="28">
      <c r="A28" t="str">
        <v>Gooise Meren</v>
      </c>
      <c r="B28">
        <f>COUNTIFS('Alle woningen'!H2:H579,"Gooise Meren",'Alle woningen'!X2:X579,"Appartement &lt;50 m²")</f>
        <v>0</v>
      </c>
      <c r="C28">
        <f>COUNTIFS('Alle woningen'!H2:H579,"Gooise Meren",'Alle woningen'!X2:X579,"Appartement 50-75 m²")</f>
        <v>0</v>
      </c>
      <c r="D28">
        <f>COUNTIFS('Alle woningen'!H2:H579,"Gooise Meren",'Alle woningen'!X2:X579,"Appartement 75-100 m²")</f>
        <v>0</v>
      </c>
      <c r="E28">
        <f>COUNTIFS('Alle woningen'!H2:H579,"Gooise Meren",'Alle woningen'!X2:X579,"Appartement &gt;100 m²")</f>
        <v>0</v>
      </c>
      <c r="F28">
        <f>SUM(B28:E28)</f>
        <v>0</v>
      </c>
    </row>
    <row r="29">
      <c r="A29" t="str">
        <v>Haarlem</v>
      </c>
      <c r="B29">
        <f>COUNTIFS('Alle woningen'!H2:H579,"Haarlem",'Alle woningen'!X2:X579,"Appartement &lt;50 m²")</f>
        <v>2</v>
      </c>
      <c r="C29">
        <f>COUNTIFS('Alle woningen'!H2:H579,"Haarlem",'Alle woningen'!X2:X579,"Appartement 50-75 m²")</f>
        <v>1</v>
      </c>
      <c r="D29">
        <f>COUNTIFS('Alle woningen'!H2:H579,"Haarlem",'Alle woningen'!X2:X579,"Appartement 75-100 m²")</f>
        <v>0</v>
      </c>
      <c r="E29">
        <f>COUNTIFS('Alle woningen'!H2:H579,"Haarlem",'Alle woningen'!X2:X579,"Appartement &gt;100 m²")</f>
        <v>0</v>
      </c>
      <c r="F29">
        <f>SUM(B29:E29)</f>
        <v>3</v>
      </c>
    </row>
    <row r="30">
      <c r="A30" t="str">
        <v>Haarlemmermeer</v>
      </c>
      <c r="B30">
        <f>COUNTIFS('Alle woningen'!H2:H579,"Haarlemmermeer",'Alle woningen'!X2:X579,"Appartement &lt;50 m²")</f>
        <v>1</v>
      </c>
      <c r="C30">
        <f>COUNTIFS('Alle woningen'!H2:H579,"Haarlemmermeer",'Alle woningen'!X2:X579,"Appartement 50-75 m²")</f>
        <v>0</v>
      </c>
      <c r="D30">
        <f>COUNTIFS('Alle woningen'!H2:H579,"Haarlemmermeer",'Alle woningen'!X2:X579,"Appartement 75-100 m²")</f>
        <v>0</v>
      </c>
      <c r="E30">
        <f>COUNTIFS('Alle woningen'!H2:H579,"Haarlemmermeer",'Alle woningen'!X2:X579,"Appartement &gt;100 m²")</f>
        <v>0</v>
      </c>
      <c r="F30">
        <f>SUM(B30:E30)</f>
        <v>1</v>
      </c>
    </row>
    <row r="31">
      <c r="A31" t="str">
        <v>Halderberge</v>
      </c>
      <c r="B31">
        <f>COUNTIFS('Alle woningen'!H2:H579,"Halderberge",'Alle woningen'!X2:X579,"Appartement &lt;50 m²")</f>
        <v>0</v>
      </c>
      <c r="C31">
        <f>COUNTIFS('Alle woningen'!H2:H579,"Halderberge",'Alle woningen'!X2:X579,"Appartement 50-75 m²")</f>
        <v>0</v>
      </c>
      <c r="D31">
        <f>COUNTIFS('Alle woningen'!H2:H579,"Halderberge",'Alle woningen'!X2:X579,"Appartement 75-100 m²")</f>
        <v>9</v>
      </c>
      <c r="E31">
        <f>COUNTIFS('Alle woningen'!H2:H579,"Halderberge",'Alle woningen'!X2:X579,"Appartement &gt;100 m²")</f>
        <v>14</v>
      </c>
      <c r="F31">
        <f>SUM(B31:E31)</f>
        <v>23</v>
      </c>
    </row>
    <row r="32">
      <c r="A32" t="str">
        <v>Hardenberg</v>
      </c>
      <c r="B32">
        <f>COUNTIFS('Alle woningen'!H2:H579,"Hardenberg",'Alle woningen'!X2:X579,"Appartement &lt;50 m²")</f>
        <v>0</v>
      </c>
      <c r="C32">
        <f>COUNTIFS('Alle woningen'!H2:H579,"Hardenberg",'Alle woningen'!X2:X579,"Appartement 50-75 m²")</f>
        <v>0</v>
      </c>
      <c r="D32">
        <f>COUNTIFS('Alle woningen'!H2:H579,"Hardenberg",'Alle woningen'!X2:X579,"Appartement 75-100 m²")</f>
        <v>0</v>
      </c>
      <c r="E32">
        <f>COUNTIFS('Alle woningen'!H2:H579,"Hardenberg",'Alle woningen'!X2:X579,"Appartement &gt;100 m²")</f>
        <v>0</v>
      </c>
      <c r="F32">
        <f>SUM(B32:E32)</f>
        <v>0</v>
      </c>
    </row>
    <row r="33">
      <c r="A33" t="str">
        <v>Hengelo (O)</v>
      </c>
      <c r="B33">
        <f>COUNTIFS('Alle woningen'!H2:H579,"Hengelo (O)",'Alle woningen'!X2:X579,"Appartement &lt;50 m²")</f>
        <v>3</v>
      </c>
      <c r="C33">
        <f>COUNTIFS('Alle woningen'!H2:H579,"Hengelo (O)",'Alle woningen'!X2:X579,"Appartement 50-75 m²")</f>
        <v>13</v>
      </c>
      <c r="D33">
        <f>COUNTIFS('Alle woningen'!H2:H579,"Hengelo (O)",'Alle woningen'!X2:X579,"Appartement 75-100 m²")</f>
        <v>30</v>
      </c>
      <c r="E33">
        <f>COUNTIFS('Alle woningen'!H2:H579,"Hengelo (O)",'Alle woningen'!X2:X579,"Appartement &gt;100 m²")</f>
        <v>12</v>
      </c>
      <c r="F33">
        <f>SUM(B33:E33)</f>
        <v>58</v>
      </c>
    </row>
    <row r="34">
      <c r="A34" t="str">
        <v>Hoogeveen</v>
      </c>
      <c r="B34">
        <f>COUNTIFS('Alle woningen'!H2:H579,"Hoogeveen",'Alle woningen'!X2:X579,"Appartement &lt;50 m²")</f>
        <v>0</v>
      </c>
      <c r="C34">
        <f>COUNTIFS('Alle woningen'!H2:H579,"Hoogeveen",'Alle woningen'!X2:X579,"Appartement 50-75 m²")</f>
        <v>0</v>
      </c>
      <c r="D34">
        <f>COUNTIFS('Alle woningen'!H2:H579,"Hoogeveen",'Alle woningen'!X2:X579,"Appartement 75-100 m²")</f>
        <v>4</v>
      </c>
      <c r="E34">
        <f>COUNTIFS('Alle woningen'!H2:H579,"Hoogeveen",'Alle woningen'!X2:X579,"Appartement &gt;100 m²")</f>
        <v>12</v>
      </c>
      <c r="F34">
        <f>SUM(B34:E34)</f>
        <v>16</v>
      </c>
    </row>
    <row r="35">
      <c r="A35" t="str">
        <v>Hoorn</v>
      </c>
      <c r="B35">
        <f>COUNTIFS('Alle woningen'!H2:H579,"Hoorn",'Alle woningen'!X2:X579,"Appartement &lt;50 m²")</f>
        <v>0</v>
      </c>
      <c r="C35">
        <f>COUNTIFS('Alle woningen'!H2:H579,"Hoorn",'Alle woningen'!X2:X579,"Appartement 50-75 m²")</f>
        <v>0</v>
      </c>
      <c r="D35">
        <f>COUNTIFS('Alle woningen'!H2:H579,"Hoorn",'Alle woningen'!X2:X579,"Appartement 75-100 m²")</f>
        <v>1</v>
      </c>
      <c r="E35">
        <f>COUNTIFS('Alle woningen'!H2:H579,"Hoorn",'Alle woningen'!X2:X579,"Appartement &gt;100 m²")</f>
        <v>0</v>
      </c>
      <c r="F35">
        <f>SUM(B35:E35)</f>
        <v>1</v>
      </c>
    </row>
    <row r="36">
      <c r="A36" t="str">
        <v>Hulst</v>
      </c>
      <c r="B36">
        <f>COUNTIFS('Alle woningen'!H2:H579,"Hulst",'Alle woningen'!X2:X579,"Appartement &lt;50 m²")</f>
        <v>0</v>
      </c>
      <c r="C36">
        <f>COUNTIFS('Alle woningen'!H2:H579,"Hulst",'Alle woningen'!X2:X579,"Appartement 50-75 m²")</f>
        <v>0</v>
      </c>
      <c r="D36">
        <f>COUNTIFS('Alle woningen'!H2:H579,"Hulst",'Alle woningen'!X2:X579,"Appartement 75-100 m²")</f>
        <v>0</v>
      </c>
      <c r="E36">
        <f>COUNTIFS('Alle woningen'!H2:H579,"Hulst",'Alle woningen'!X2:X579,"Appartement &gt;100 m²")</f>
        <v>0</v>
      </c>
      <c r="F36">
        <f>SUM(B36:E36)</f>
        <v>0</v>
      </c>
    </row>
    <row r="37">
      <c r="A37" t="str">
        <v>Landgraaf</v>
      </c>
      <c r="B37">
        <f>COUNTIFS('Alle woningen'!H2:H579,"Landgraaf",'Alle woningen'!X2:X579,"Appartement &lt;50 m²")</f>
        <v>0</v>
      </c>
      <c r="C37">
        <f>COUNTIFS('Alle woningen'!H2:H579,"Landgraaf",'Alle woningen'!X2:X579,"Appartement 50-75 m²")</f>
        <v>1</v>
      </c>
      <c r="D37">
        <f>COUNTIFS('Alle woningen'!H2:H579,"Landgraaf",'Alle woningen'!X2:X579,"Appartement 75-100 m²")</f>
        <v>12</v>
      </c>
      <c r="E37">
        <f>COUNTIFS('Alle woningen'!H2:H579,"Landgraaf",'Alle woningen'!X2:X579,"Appartement &gt;100 m²")</f>
        <v>0</v>
      </c>
      <c r="F37">
        <f>SUM(B37:E37)</f>
        <v>13</v>
      </c>
    </row>
    <row r="38">
      <c r="A38" t="str">
        <v>Lingewaard</v>
      </c>
      <c r="B38">
        <f>COUNTIFS('Alle woningen'!H2:H579,"Lingewaard",'Alle woningen'!X2:X579,"Appartement &lt;50 m²")</f>
        <v>0</v>
      </c>
      <c r="C38">
        <f>COUNTIFS('Alle woningen'!H2:H579,"Lingewaard",'Alle woningen'!X2:X579,"Appartement 50-75 m²")</f>
        <v>1</v>
      </c>
      <c r="D38">
        <f>COUNTIFS('Alle woningen'!H2:H579,"Lingewaard",'Alle woningen'!X2:X579,"Appartement 75-100 m²")</f>
        <v>0</v>
      </c>
      <c r="E38">
        <f>COUNTIFS('Alle woningen'!H2:H579,"Lingewaard",'Alle woningen'!X2:X579,"Appartement &gt;100 m²")</f>
        <v>0</v>
      </c>
      <c r="F38">
        <f>SUM(B38:E38)</f>
        <v>1</v>
      </c>
    </row>
    <row r="39">
      <c r="A39" t="str">
        <v>Lochem</v>
      </c>
      <c r="B39">
        <f>COUNTIFS('Alle woningen'!H2:H579,"Lochem",'Alle woningen'!X2:X579,"Appartement &lt;50 m²")</f>
        <v>3</v>
      </c>
      <c r="C39">
        <f>COUNTIFS('Alle woningen'!H2:H579,"Lochem",'Alle woningen'!X2:X579,"Appartement 50-75 m²")</f>
        <v>0</v>
      </c>
      <c r="D39">
        <f>COUNTIFS('Alle woningen'!H2:H579,"Lochem",'Alle woningen'!X2:X579,"Appartement 75-100 m²")</f>
        <v>0</v>
      </c>
      <c r="E39">
        <f>COUNTIFS('Alle woningen'!H2:H579,"Lochem",'Alle woningen'!X2:X579,"Appartement &gt;100 m²")</f>
        <v>0</v>
      </c>
      <c r="F39">
        <f>SUM(B39:E39)</f>
        <v>3</v>
      </c>
    </row>
    <row r="40">
      <c r="A40" t="str">
        <v>Losser</v>
      </c>
      <c r="B40">
        <f>COUNTIFS('Alle woningen'!H2:H579,"Losser",'Alle woningen'!X2:X579,"Appartement &lt;50 m²")</f>
        <v>0</v>
      </c>
      <c r="C40">
        <f>COUNTIFS('Alle woningen'!H2:H579,"Losser",'Alle woningen'!X2:X579,"Appartement 50-75 m²")</f>
        <v>0</v>
      </c>
      <c r="D40">
        <f>COUNTIFS('Alle woningen'!H2:H579,"Losser",'Alle woningen'!X2:X579,"Appartement 75-100 m²")</f>
        <v>0</v>
      </c>
      <c r="E40">
        <f>COUNTIFS('Alle woningen'!H2:H579,"Losser",'Alle woningen'!X2:X579,"Appartement &gt;100 m²")</f>
        <v>0</v>
      </c>
      <c r="F40">
        <f>SUM(B40:E40)</f>
        <v>0</v>
      </c>
    </row>
    <row r="41">
      <c r="A41" t="str">
        <v>Maashorst</v>
      </c>
      <c r="B41">
        <f>COUNTIFS('Alle woningen'!H2:H579,"Maashorst",'Alle woningen'!X2:X579,"Appartement &lt;50 m²")</f>
        <v>0</v>
      </c>
      <c r="C41">
        <f>COUNTIFS('Alle woningen'!H2:H579,"Maashorst",'Alle woningen'!X2:X579,"Appartement 50-75 m²")</f>
        <v>0</v>
      </c>
      <c r="D41">
        <f>COUNTIFS('Alle woningen'!H2:H579,"Maashorst",'Alle woningen'!X2:X579,"Appartement 75-100 m²")</f>
        <v>1</v>
      </c>
      <c r="E41">
        <f>COUNTIFS('Alle woningen'!H2:H579,"Maashorst",'Alle woningen'!X2:X579,"Appartement &gt;100 m²")</f>
        <v>0</v>
      </c>
      <c r="F41">
        <f>SUM(B41:E41)</f>
        <v>1</v>
      </c>
    </row>
    <row r="42">
      <c r="A42" t="str">
        <v>Maassluis</v>
      </c>
      <c r="B42">
        <f>COUNTIFS('Alle woningen'!H2:H579,"Maassluis",'Alle woningen'!X2:X579,"Appartement &lt;50 m²")</f>
        <v>0</v>
      </c>
      <c r="C42">
        <f>COUNTIFS('Alle woningen'!H2:H579,"Maassluis",'Alle woningen'!X2:X579,"Appartement 50-75 m²")</f>
        <v>0</v>
      </c>
      <c r="D42">
        <f>COUNTIFS('Alle woningen'!H2:H579,"Maassluis",'Alle woningen'!X2:X579,"Appartement 75-100 m²")</f>
        <v>0</v>
      </c>
      <c r="E42">
        <f>COUNTIFS('Alle woningen'!H2:H579,"Maassluis",'Alle woningen'!X2:X579,"Appartement &gt;100 m²")</f>
        <v>0</v>
      </c>
      <c r="F42">
        <f>SUM(B42:E42)</f>
        <v>0</v>
      </c>
    </row>
    <row r="43">
      <c r="A43" t="str">
        <v>Midden-Groningen</v>
      </c>
      <c r="B43">
        <f>COUNTIFS('Alle woningen'!H2:H579,"Midden-Groningen",'Alle woningen'!X2:X579,"Appartement &lt;50 m²")</f>
        <v>0</v>
      </c>
      <c r="C43">
        <f>COUNTIFS('Alle woningen'!H2:H579,"Midden-Groningen",'Alle woningen'!X2:X579,"Appartement 50-75 m²")</f>
        <v>0</v>
      </c>
      <c r="D43">
        <f>COUNTIFS('Alle woningen'!H2:H579,"Midden-Groningen",'Alle woningen'!X2:X579,"Appartement 75-100 m²")</f>
        <v>1</v>
      </c>
      <c r="E43">
        <f>COUNTIFS('Alle woningen'!H2:H579,"Midden-Groningen",'Alle woningen'!X2:X579,"Appartement &gt;100 m²")</f>
        <v>0</v>
      </c>
      <c r="F43">
        <f>SUM(B43:E43)</f>
        <v>1</v>
      </c>
    </row>
    <row r="44">
      <c r="A44" t="str">
        <v>Neder-Betuwe</v>
      </c>
      <c r="B44">
        <f>COUNTIFS('Alle woningen'!H2:H579,"Neder-Betuwe",'Alle woningen'!X2:X579,"Appartement &lt;50 m²")</f>
        <v>0</v>
      </c>
      <c r="C44">
        <f>COUNTIFS('Alle woningen'!H2:H579,"Neder-Betuwe",'Alle woningen'!X2:X579,"Appartement 50-75 m²")</f>
        <v>0</v>
      </c>
      <c r="D44">
        <f>COUNTIFS('Alle woningen'!H2:H579,"Neder-Betuwe",'Alle woningen'!X2:X579,"Appartement 75-100 m²")</f>
        <v>0</v>
      </c>
      <c r="E44">
        <f>COUNTIFS('Alle woningen'!H2:H579,"Neder-Betuwe",'Alle woningen'!X2:X579,"Appartement &gt;100 m²")</f>
        <v>0</v>
      </c>
      <c r="F44">
        <f>SUM(B44:E44)</f>
        <v>0</v>
      </c>
    </row>
    <row r="45">
      <c r="A45" t="str">
        <v>Nissewaard</v>
      </c>
      <c r="B45">
        <f>COUNTIFS('Alle woningen'!H2:H579,"Nissewaard",'Alle woningen'!X2:X579,"Appartement &lt;50 m²")</f>
        <v>0</v>
      </c>
      <c r="C45">
        <f>COUNTIFS('Alle woningen'!H2:H579,"Nissewaard",'Alle woningen'!X2:X579,"Appartement 50-75 m²")</f>
        <v>12</v>
      </c>
      <c r="D45">
        <f>COUNTIFS('Alle woningen'!H2:H579,"Nissewaard",'Alle woningen'!X2:X579,"Appartement 75-100 m²")</f>
        <v>0</v>
      </c>
      <c r="E45">
        <f>COUNTIFS('Alle woningen'!H2:H579,"Nissewaard",'Alle woningen'!X2:X579,"Appartement &gt;100 m²")</f>
        <v>0</v>
      </c>
      <c r="F45">
        <f>SUM(B45:E45)</f>
        <v>12</v>
      </c>
    </row>
    <row r="46">
      <c r="A46" t="str">
        <v>Onbekend</v>
      </c>
      <c r="B46">
        <f>COUNTIFS('Alle woningen'!H2:H579,"Onbekend",'Alle woningen'!X2:X579,"Appartement &lt;50 m²")</f>
        <v>0</v>
      </c>
      <c r="C46">
        <f>COUNTIFS('Alle woningen'!H2:H579,"Onbekend",'Alle woningen'!X2:X579,"Appartement 50-75 m²")</f>
        <v>0</v>
      </c>
      <c r="D46">
        <f>COUNTIFS('Alle woningen'!H2:H579,"Onbekend",'Alle woningen'!X2:X579,"Appartement 75-100 m²")</f>
        <v>0</v>
      </c>
      <c r="E46">
        <f>COUNTIFS('Alle woningen'!H2:H579,"Onbekend",'Alle woningen'!X2:X579,"Appartement &gt;100 m²")</f>
        <v>0</v>
      </c>
      <c r="F46">
        <f>SUM(B46:E46)</f>
        <v>0</v>
      </c>
    </row>
    <row r="47">
      <c r="A47" t="str">
        <v>Oost Gelre</v>
      </c>
      <c r="B47">
        <f>COUNTIFS('Alle woningen'!H2:H579,"Oost Gelre",'Alle woningen'!X2:X579,"Appartement &lt;50 m²")</f>
        <v>0</v>
      </c>
      <c r="C47">
        <f>COUNTIFS('Alle woningen'!H2:H579,"Oost Gelre",'Alle woningen'!X2:X579,"Appartement 50-75 m²")</f>
        <v>0</v>
      </c>
      <c r="D47">
        <f>COUNTIFS('Alle woningen'!H2:H579,"Oost Gelre",'Alle woningen'!X2:X579,"Appartement 75-100 m²")</f>
        <v>0</v>
      </c>
      <c r="E47">
        <f>COUNTIFS('Alle woningen'!H2:H579,"Oost Gelre",'Alle woningen'!X2:X579,"Appartement &gt;100 m²")</f>
        <v>0</v>
      </c>
      <c r="F47">
        <f>SUM(B47:E47)</f>
        <v>0</v>
      </c>
    </row>
    <row r="48">
      <c r="A48" t="str">
        <v>Overbetuwe</v>
      </c>
      <c r="B48">
        <f>COUNTIFS('Alle woningen'!H2:H579,"Overbetuwe",'Alle woningen'!X2:X579,"Appartement &lt;50 m²")</f>
        <v>0</v>
      </c>
      <c r="C48">
        <f>COUNTIFS('Alle woningen'!H2:H579,"Overbetuwe",'Alle woningen'!X2:X579,"Appartement 50-75 m²")</f>
        <v>0</v>
      </c>
      <c r="D48">
        <f>COUNTIFS('Alle woningen'!H2:H579,"Overbetuwe",'Alle woningen'!X2:X579,"Appartement 75-100 m²")</f>
        <v>0</v>
      </c>
      <c r="E48">
        <f>COUNTIFS('Alle woningen'!H2:H579,"Overbetuwe",'Alle woningen'!X2:X579,"Appartement &gt;100 m²")</f>
        <v>0</v>
      </c>
      <c r="F48">
        <f>SUM(B48:E48)</f>
        <v>0</v>
      </c>
    </row>
    <row r="49">
      <c r="A49" t="str">
        <v>Purmerend</v>
      </c>
      <c r="B49">
        <f>COUNTIFS('Alle woningen'!H2:H579,"Purmerend",'Alle woningen'!X2:X579,"Appartement &lt;50 m²")</f>
        <v>0</v>
      </c>
      <c r="C49">
        <f>COUNTIFS('Alle woningen'!H2:H579,"Purmerend",'Alle woningen'!X2:X579,"Appartement 50-75 m²")</f>
        <v>1</v>
      </c>
      <c r="D49">
        <f>COUNTIFS('Alle woningen'!H2:H579,"Purmerend",'Alle woningen'!X2:X579,"Appartement 75-100 m²")</f>
        <v>2</v>
      </c>
      <c r="E49">
        <f>COUNTIFS('Alle woningen'!H2:H579,"Purmerend",'Alle woningen'!X2:X579,"Appartement &gt;100 m²")</f>
        <v>0</v>
      </c>
      <c r="F49">
        <f>SUM(B49:E49)</f>
        <v>3</v>
      </c>
    </row>
    <row r="50">
      <c r="A50" t="str">
        <v>Roermond</v>
      </c>
      <c r="B50">
        <f>COUNTIFS('Alle woningen'!H2:H579,"Roermond",'Alle woningen'!X2:X579,"Appartement &lt;50 m²")</f>
        <v>0</v>
      </c>
      <c r="C50">
        <f>COUNTIFS('Alle woningen'!H2:H579,"Roermond",'Alle woningen'!X2:X579,"Appartement 50-75 m²")</f>
        <v>0</v>
      </c>
      <c r="D50">
        <f>COUNTIFS('Alle woningen'!H2:H579,"Roermond",'Alle woningen'!X2:X579,"Appartement 75-100 m²")</f>
        <v>0</v>
      </c>
      <c r="E50">
        <f>COUNTIFS('Alle woningen'!H2:H579,"Roermond",'Alle woningen'!X2:X579,"Appartement &gt;100 m²")</f>
        <v>0</v>
      </c>
      <c r="F50">
        <f>SUM(B50:E50)</f>
        <v>0</v>
      </c>
    </row>
    <row r="51">
      <c r="A51" t="str">
        <v>Rotterdam</v>
      </c>
      <c r="B51">
        <f>COUNTIFS('Alle woningen'!H2:H579,"Rotterdam",'Alle woningen'!X2:X579,"Appartement &lt;50 m²")</f>
        <v>0</v>
      </c>
      <c r="C51">
        <f>COUNTIFS('Alle woningen'!H2:H579,"Rotterdam",'Alle woningen'!X2:X579,"Appartement 50-75 m²")</f>
        <v>3</v>
      </c>
      <c r="D51">
        <f>COUNTIFS('Alle woningen'!H2:H579,"Rotterdam",'Alle woningen'!X2:X579,"Appartement 75-100 m²")</f>
        <v>0</v>
      </c>
      <c r="E51">
        <f>COUNTIFS('Alle woningen'!H2:H579,"Rotterdam",'Alle woningen'!X2:X579,"Appartement &gt;100 m²")</f>
        <v>0</v>
      </c>
      <c r="F51">
        <f>SUM(B51:E51)</f>
        <v>3</v>
      </c>
    </row>
    <row r="52">
      <c r="A52" t="str">
        <v>Sittard-Geleen</v>
      </c>
      <c r="B52">
        <f>COUNTIFS('Alle woningen'!H2:H579,"Sittard-Geleen",'Alle woningen'!X2:X579,"Appartement &lt;50 m²")</f>
        <v>0</v>
      </c>
      <c r="C52">
        <f>COUNTIFS('Alle woningen'!H2:H579,"Sittard-Geleen",'Alle woningen'!X2:X579,"Appartement 50-75 m²")</f>
        <v>0</v>
      </c>
      <c r="D52">
        <f>COUNTIFS('Alle woningen'!H2:H579,"Sittard-Geleen",'Alle woningen'!X2:X579,"Appartement 75-100 m²")</f>
        <v>0</v>
      </c>
      <c r="E52">
        <f>COUNTIFS('Alle woningen'!H2:H579,"Sittard-Geleen",'Alle woningen'!X2:X579,"Appartement &gt;100 m²")</f>
        <v>0</v>
      </c>
      <c r="F52">
        <f>SUM(B52:E52)</f>
        <v>0</v>
      </c>
    </row>
    <row r="53">
      <c r="A53" t="str">
        <v>Soest</v>
      </c>
      <c r="B53">
        <f>COUNTIFS('Alle woningen'!H2:H579,"Soest",'Alle woningen'!X2:X579,"Appartement &lt;50 m²")</f>
        <v>1</v>
      </c>
      <c r="C53">
        <f>COUNTIFS('Alle woningen'!H2:H579,"Soest",'Alle woningen'!X2:X579,"Appartement 50-75 m²")</f>
        <v>15</v>
      </c>
      <c r="D53">
        <f>COUNTIFS('Alle woningen'!H2:H579,"Soest",'Alle woningen'!X2:X579,"Appartement 75-100 m²")</f>
        <v>0</v>
      </c>
      <c r="E53">
        <f>COUNTIFS('Alle woningen'!H2:H579,"Soest",'Alle woningen'!X2:X579,"Appartement &gt;100 m²")</f>
        <v>0</v>
      </c>
      <c r="F53">
        <f>SUM(B53:E53)</f>
        <v>16</v>
      </c>
    </row>
    <row r="54">
      <c r="A54" t="str">
        <v>Son en Breugel</v>
      </c>
      <c r="B54">
        <f>COUNTIFS('Alle woningen'!H2:H579,"Son en Breugel",'Alle woningen'!X2:X579,"Appartement &lt;50 m²")</f>
        <v>0</v>
      </c>
      <c r="C54">
        <f>COUNTIFS('Alle woningen'!H2:H579,"Son en Breugel",'Alle woningen'!X2:X579,"Appartement 50-75 m²")</f>
        <v>0</v>
      </c>
      <c r="D54">
        <f>COUNTIFS('Alle woningen'!H2:H579,"Son en Breugel",'Alle woningen'!X2:X579,"Appartement 75-100 m²")</f>
        <v>0</v>
      </c>
      <c r="E54">
        <f>COUNTIFS('Alle woningen'!H2:H579,"Son en Breugel",'Alle woningen'!X2:X579,"Appartement &gt;100 m²")</f>
        <v>0</v>
      </c>
      <c r="F54">
        <f>SUM(B54:E54)</f>
        <v>0</v>
      </c>
    </row>
    <row r="55">
      <c r="A55" t="str">
        <v>Valkenswaard</v>
      </c>
      <c r="B55">
        <f>COUNTIFS('Alle woningen'!H2:H579,"Valkenswaard",'Alle woningen'!X2:X579,"Appartement &lt;50 m²")</f>
        <v>0</v>
      </c>
      <c r="C55">
        <f>COUNTIFS('Alle woningen'!H2:H579,"Valkenswaard",'Alle woningen'!X2:X579,"Appartement 50-75 m²")</f>
        <v>0</v>
      </c>
      <c r="D55">
        <f>COUNTIFS('Alle woningen'!H2:H579,"Valkenswaard",'Alle woningen'!X2:X579,"Appartement 75-100 m²")</f>
        <v>0</v>
      </c>
      <c r="E55">
        <f>COUNTIFS('Alle woningen'!H2:H579,"Valkenswaard",'Alle woningen'!X2:X579,"Appartement &gt;100 m²")</f>
        <v>0</v>
      </c>
      <c r="F55">
        <f>SUM(B55:E55)</f>
        <v>0</v>
      </c>
    </row>
    <row r="56">
      <c r="A56" t="str">
        <v>Veenendaal</v>
      </c>
      <c r="B56">
        <f>COUNTIFS('Alle woningen'!H2:H579,"Veenendaal",'Alle woningen'!X2:X579,"Appartement &lt;50 m²")</f>
        <v>16</v>
      </c>
      <c r="C56">
        <f>COUNTIFS('Alle woningen'!H2:H579,"Veenendaal",'Alle woningen'!X2:X579,"Appartement 50-75 m²")</f>
        <v>2</v>
      </c>
      <c r="D56">
        <f>COUNTIFS('Alle woningen'!H2:H579,"Veenendaal",'Alle woningen'!X2:X579,"Appartement 75-100 m²")</f>
        <v>8</v>
      </c>
      <c r="E56">
        <f>COUNTIFS('Alle woningen'!H2:H579,"Veenendaal",'Alle woningen'!X2:X579,"Appartement &gt;100 m²")</f>
        <v>8</v>
      </c>
      <c r="F56">
        <f>SUM(B56:E56)</f>
        <v>34</v>
      </c>
    </row>
    <row r="57">
      <c r="A57" t="str">
        <v>Venlo</v>
      </c>
      <c r="B57">
        <f>COUNTIFS('Alle woningen'!H2:H579,"Venlo",'Alle woningen'!X2:X579,"Appartement &lt;50 m²")</f>
        <v>0</v>
      </c>
      <c r="C57">
        <f>COUNTIFS('Alle woningen'!H2:H579,"Venlo",'Alle woningen'!X2:X579,"Appartement 50-75 m²")</f>
        <v>1</v>
      </c>
      <c r="D57">
        <f>COUNTIFS('Alle woningen'!H2:H579,"Venlo",'Alle woningen'!X2:X579,"Appartement 75-100 m²")</f>
        <v>0</v>
      </c>
      <c r="E57">
        <f>COUNTIFS('Alle woningen'!H2:H579,"Venlo",'Alle woningen'!X2:X579,"Appartement &gt;100 m²")</f>
        <v>0</v>
      </c>
      <c r="F57">
        <f>SUM(B57:E57)</f>
        <v>1</v>
      </c>
    </row>
    <row r="58">
      <c r="A58" t="str">
        <v>Venray</v>
      </c>
      <c r="B58">
        <f>COUNTIFS('Alle woningen'!H2:H579,"Venray",'Alle woningen'!X2:X579,"Appartement &lt;50 m²")</f>
        <v>0</v>
      </c>
      <c r="C58">
        <f>COUNTIFS('Alle woningen'!H2:H579,"Venray",'Alle woningen'!X2:X579,"Appartement 50-75 m²")</f>
        <v>0</v>
      </c>
      <c r="D58">
        <f>COUNTIFS('Alle woningen'!H2:H579,"Venray",'Alle woningen'!X2:X579,"Appartement 75-100 m²")</f>
        <v>0</v>
      </c>
      <c r="E58">
        <f>COUNTIFS('Alle woningen'!H2:H579,"Venray",'Alle woningen'!X2:X579,"Appartement &gt;100 m²")</f>
        <v>12</v>
      </c>
      <c r="F58">
        <f>SUM(B58:E58)</f>
        <v>12</v>
      </c>
    </row>
    <row r="59">
      <c r="A59" t="str">
        <v>Vlaardingen</v>
      </c>
      <c r="B59">
        <f>COUNTIFS('Alle woningen'!H2:H579,"Vlaardingen",'Alle woningen'!X2:X579,"Appartement &lt;50 m²")</f>
        <v>0</v>
      </c>
      <c r="C59">
        <f>COUNTIFS('Alle woningen'!H2:H579,"Vlaardingen",'Alle woningen'!X2:X579,"Appartement 50-75 m²")</f>
        <v>0</v>
      </c>
      <c r="D59">
        <f>COUNTIFS('Alle woningen'!H2:H579,"Vlaardingen",'Alle woningen'!X2:X579,"Appartement 75-100 m²")</f>
        <v>0</v>
      </c>
      <c r="E59">
        <f>COUNTIFS('Alle woningen'!H2:H579,"Vlaardingen",'Alle woningen'!X2:X579,"Appartement &gt;100 m²")</f>
        <v>0</v>
      </c>
      <c r="F59">
        <f>SUM(B59:E59)</f>
        <v>0</v>
      </c>
    </row>
    <row r="60">
      <c r="A60" t="str">
        <v>Voorne aan Zee</v>
      </c>
      <c r="B60">
        <f>COUNTIFS('Alle woningen'!H2:H579,"Voorne aan Zee",'Alle woningen'!X2:X579,"Appartement &lt;50 m²")</f>
        <v>0</v>
      </c>
      <c r="C60">
        <f>COUNTIFS('Alle woningen'!H2:H579,"Voorne aan Zee",'Alle woningen'!X2:X579,"Appartement 50-75 m²")</f>
        <v>0</v>
      </c>
      <c r="D60">
        <f>COUNTIFS('Alle woningen'!H2:H579,"Voorne aan Zee",'Alle woningen'!X2:X579,"Appartement 75-100 m²")</f>
        <v>0</v>
      </c>
      <c r="E60">
        <f>COUNTIFS('Alle woningen'!H2:H579,"Voorne aan Zee",'Alle woningen'!X2:X579,"Appartement &gt;100 m²")</f>
        <v>0</v>
      </c>
      <c r="F60">
        <f>SUM(B60:E60)</f>
        <v>0</v>
      </c>
    </row>
    <row r="61">
      <c r="A61" t="str">
        <v>Waalre</v>
      </c>
      <c r="B61">
        <f>COUNTIFS('Alle woningen'!H2:H579,"Waalre",'Alle woningen'!X2:X579,"Appartement &lt;50 m²")</f>
        <v>34</v>
      </c>
      <c r="C61">
        <f>COUNTIFS('Alle woningen'!H2:H579,"Waalre",'Alle woningen'!X2:X579,"Appartement 50-75 m²")</f>
        <v>0</v>
      </c>
      <c r="D61">
        <f>COUNTIFS('Alle woningen'!H2:H579,"Waalre",'Alle woningen'!X2:X579,"Appartement 75-100 m²")</f>
        <v>0</v>
      </c>
      <c r="E61">
        <f>COUNTIFS('Alle woningen'!H2:H579,"Waalre",'Alle woningen'!X2:X579,"Appartement &gt;100 m²")</f>
        <v>33</v>
      </c>
      <c r="F61">
        <f>SUM(B61:E61)</f>
        <v>67</v>
      </c>
    </row>
    <row r="62">
      <c r="A62" t="str">
        <v>Westland</v>
      </c>
      <c r="B62">
        <f>COUNTIFS('Alle woningen'!H2:H579,"Westland",'Alle woningen'!X2:X579,"Appartement &lt;50 m²")</f>
        <v>0</v>
      </c>
      <c r="C62">
        <f>COUNTIFS('Alle woningen'!H2:H579,"Westland",'Alle woningen'!X2:X579,"Appartement 50-75 m²")</f>
        <v>0</v>
      </c>
      <c r="D62">
        <f>COUNTIFS('Alle woningen'!H2:H579,"Westland",'Alle woningen'!X2:X579,"Appartement 75-100 m²")</f>
        <v>0</v>
      </c>
      <c r="E62">
        <f>COUNTIFS('Alle woningen'!H2:H579,"Westland",'Alle woningen'!X2:X579,"Appartement &gt;100 m²")</f>
        <v>0</v>
      </c>
      <c r="F62">
        <f>SUM(B62:E62)</f>
        <v>0</v>
      </c>
    </row>
    <row r="63">
      <c r="A63" t="str">
        <v>Woerden</v>
      </c>
      <c r="B63">
        <f>COUNTIFS('Alle woningen'!H2:H579,"Woerden",'Alle woningen'!X2:X579,"Appartement &lt;50 m²")</f>
        <v>0</v>
      </c>
      <c r="C63">
        <f>COUNTIFS('Alle woningen'!H2:H579,"Woerden",'Alle woningen'!X2:X579,"Appartement 50-75 m²")</f>
        <v>0</v>
      </c>
      <c r="D63">
        <f>COUNTIFS('Alle woningen'!H2:H579,"Woerden",'Alle woningen'!X2:X579,"Appartement 75-100 m²")</f>
        <v>0</v>
      </c>
      <c r="E63">
        <f>COUNTIFS('Alle woningen'!H2:H579,"Woerden",'Alle woningen'!X2:X579,"Appartement &gt;100 m²")</f>
        <v>0</v>
      </c>
      <c r="F63">
        <f>SUM(B63:E63)</f>
        <v>0</v>
      </c>
    </row>
    <row r="64">
      <c r="A64" t="str">
        <v>Zevenaar</v>
      </c>
      <c r="B64">
        <f>COUNTIFS('Alle woningen'!H2:H579,"Zevenaar",'Alle woningen'!X2:X579,"Appartement &lt;50 m²")</f>
        <v>0</v>
      </c>
      <c r="C64">
        <f>COUNTIFS('Alle woningen'!H2:H579,"Zevenaar",'Alle woningen'!X2:X579,"Appartement 50-75 m²")</f>
        <v>1</v>
      </c>
      <c r="D64">
        <f>COUNTIFS('Alle woningen'!H2:H579,"Zevenaar",'Alle woningen'!X2:X579,"Appartement 75-100 m²")</f>
        <v>0</v>
      </c>
      <c r="E64">
        <f>COUNTIFS('Alle woningen'!H2:H579,"Zevenaar",'Alle woningen'!X2:X579,"Appartement &gt;100 m²")</f>
        <v>0</v>
      </c>
      <c r="F64">
        <f>SUM(B64:E64)</f>
        <v>1</v>
      </c>
    </row>
  </sheetData>
  <autoFilter ref="A1:F64"/>
  <ignoredErrors>
    <ignoredError numberStoredAsText="1" sqref="A1:F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6.83203125" customWidth="1"/>
    <col min="2" max="2" width="10.83203125" customWidth="1"/>
    <col min="3" max="3" width="12.83203125" customWidth="1"/>
    <col min="4" max="4" width="20.83203125" customWidth="1"/>
    <col min="5" max="5" width="16.83203125" customWidth="1"/>
    <col min="6" max="6" width="20.83203125" customWidth="1"/>
  </cols>
  <sheetData>
    <row r="1">
      <c r="A1" t="str">
        <v>Status</v>
      </c>
      <c r="B1" t="str">
        <v>Aantal</v>
      </c>
      <c r="C1" t="str">
        <v>Aandeel (%)</v>
      </c>
      <c r="D1" t="str">
        <v>Gemiddelde VON-prijs (€)</v>
      </c>
      <c r="E1" t="str">
        <v>Gemiddelde GBO (m²)</v>
      </c>
      <c r="F1" t="str">
        <v>Gemiddelde looptijd (dagen)</v>
      </c>
    </row>
    <row r="2">
      <c r="A2" t="str">
        <v>Te koop</v>
      </c>
      <c r="B2">
        <f>COUNTIF('Alle woningen'!K2:K579,"Te koop")</f>
        <v>557</v>
      </c>
      <c r="C2">
        <f>ROUND(B2/578*1000,0)/10</f>
        <v>96.4</v>
      </c>
      <c r="D2">
        <f>ROUND(AVERAGEIF('Alle woningen'!K2:K579,"Te koop",'Alle woningen'!N2:N579),0)</f>
        <v>562405</v>
      </c>
      <c r="E2">
        <f>ROUND(AVERAGEIF('Alle woningen'!K2:K579,"Te koop",'Alle woningen'!P2:P579),0)</f>
        <v>107</v>
      </c>
      <c r="F2">
        <v>6</v>
      </c>
    </row>
    <row r="3">
      <c r="A3" t="str">
        <v>Verkocht</v>
      </c>
      <c r="B3">
        <f>COUNTIF('Alle woningen'!K2:K579,"Verkocht")</f>
        <v>0</v>
      </c>
      <c r="C3">
        <f>ROUND(B3/578*1000,0)/10</f>
        <v>0</v>
      </c>
      <c r="D3">
        <f>ROUND(AVERAGEIF('Alle woningen'!K2:K579,"Verkocht",'Alle woningen'!N2:N579),0)</f>
        <v>0</v>
      </c>
      <c r="E3">
        <f>ROUND(AVERAGEIF('Alle woningen'!K2:K579,"Verkocht",'Alle woningen'!P2:P579),0)</f>
        <v>0</v>
      </c>
      <c r="F3">
        <v>0</v>
      </c>
    </row>
    <row r="4">
      <c r="A4" t="str">
        <v>V.O.V.</v>
      </c>
      <c r="B4">
        <f>COUNTIF('Alle woningen'!K2:K579,"V.O.V.")</f>
        <v>21</v>
      </c>
      <c r="C4">
        <f>ROUND(B4/578*1000,0)/10</f>
        <v>3.6</v>
      </c>
      <c r="D4">
        <f>ROUND(AVERAGEIF('Alle woningen'!K2:K579,"V.O.V.",'Alle woningen'!N2:N579),0)</f>
        <v>566571</v>
      </c>
      <c r="E4">
        <f>ROUND(AVERAGEIF('Alle woningen'!K2:K579,"V.O.V.",'Alle woningen'!P2:P579),0)</f>
        <v>122</v>
      </c>
      <c r="F4">
        <v>0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4.83203125" customWidth="1"/>
    <col min="2" max="2" width="16.83203125" customWidth="1"/>
    <col min="3" max="3" width="12.83203125" customWidth="1"/>
  </cols>
  <sheetData>
    <row r="1">
      <c r="A1" t="str">
        <v>Looptijd-categorie</v>
      </c>
      <c r="B1" t="str">
        <v>Aantal woningen</v>
      </c>
      <c r="C1" t="str">
        <v>Aandeel (%)</v>
      </c>
    </row>
    <row r="2">
      <c r="A2" t="str">
        <v>0-2 dagen</v>
      </c>
      <c r="B2">
        <v>1</v>
      </c>
      <c r="C2">
        <v>0.2</v>
      </c>
    </row>
    <row r="3">
      <c r="A3" t="str">
        <v>3-5 dagen</v>
      </c>
      <c r="B3">
        <v>19</v>
      </c>
      <c r="C3">
        <v>3.3</v>
      </c>
    </row>
    <row r="4">
      <c r="A4" t="str">
        <v>6-8 dagen</v>
      </c>
      <c r="B4">
        <v>25</v>
      </c>
      <c r="C4">
        <v>4.3</v>
      </c>
    </row>
    <row r="5">
      <c r="A5" t="str">
        <v>9-10 dagen</v>
      </c>
      <c r="B5">
        <v>0</v>
      </c>
      <c r="C5">
        <v>0</v>
      </c>
    </row>
    <row r="6">
      <c r="A6" t="str">
        <v>&gt;10 dagen</v>
      </c>
      <c r="B6">
        <v>0</v>
      </c>
      <c r="C6">
        <v>0</v>
      </c>
    </row>
    <row r="7">
      <c r="A7" t="str">
        <v>Onbekend</v>
      </c>
      <c r="B7">
        <v>533</v>
      </c>
      <c r="C7">
        <v>92.2</v>
      </c>
    </row>
    <row r="9">
      <c r="A9" t="str">
        <v>Gemiddelde looptijd totaal (dagen)</v>
      </c>
      <c r="B9">
        <v>6</v>
      </c>
    </row>
    <row r="10">
      <c r="A10" t="str">
        <v>Mediaan looptijd totaal (dagen)</v>
      </c>
      <c r="B10">
        <v>6</v>
      </c>
    </row>
  </sheetData>
  <ignoredErrors>
    <ignoredError numberStoredAsText="1" sqref="A1:C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6.83203125" customWidth="1"/>
    <col min="2" max="2" width="12.83203125" customWidth="1"/>
    <col min="3" max="3" width="12.83203125" customWidth="1"/>
  </cols>
  <sheetData>
    <row r="1">
      <c r="A1" t="str">
        <v>Parkeerplaats</v>
      </c>
      <c r="B1" t="str">
        <v>Aantal</v>
      </c>
      <c r="C1" t="str">
        <v>Aandeel (%)</v>
      </c>
    </row>
    <row r="2">
      <c r="A2" t="str">
        <v>Ja</v>
      </c>
      <c r="B2">
        <f>COUNTIF('Alle woningen'!Y2:Y579,"Ja")</f>
        <v>495</v>
      </c>
      <c r="C2">
        <v>85.6</v>
      </c>
    </row>
    <row r="3">
      <c r="A3" t="str">
        <v>Nee</v>
      </c>
      <c r="B3">
        <f>COUNTIF('Alle woningen'!Y2:Y579,"Nee")</f>
        <v>0</v>
      </c>
      <c r="C3">
        <v>0</v>
      </c>
    </row>
    <row r="4">
      <c r="A4" t="str">
        <v>Onbekend</v>
      </c>
      <c r="B4">
        <f>COUNTIF('Alle woningen'!Y2:Y579,"Onbekend")</f>
        <v>83</v>
      </c>
      <c r="C4">
        <v>14.4</v>
      </c>
    </row>
    <row r="6">
      <c r="A6" t="str">
        <v>Type parkeerplaats</v>
      </c>
      <c r="B6" t="str">
        <v>Aantal</v>
      </c>
    </row>
    <row r="7">
      <c r="A7" t="str">
        <v>eigen parkeerplaats</v>
      </c>
      <c r="B7">
        <v>170</v>
      </c>
    </row>
    <row r="8">
      <c r="A8" t="str">
        <v>garage</v>
      </c>
      <c r="B8">
        <v>165</v>
      </c>
    </row>
    <row r="9">
      <c r="A9" t="str">
        <v>parkeerplaats in garage</v>
      </c>
      <c r="B9">
        <v>0</v>
      </c>
    </row>
    <row r="10">
      <c r="A10" t="str">
        <v>carport</v>
      </c>
      <c r="B10">
        <v>0</v>
      </c>
    </row>
    <row r="11">
      <c r="A11" t="str">
        <v>openbare parkeerplaats</v>
      </c>
      <c r="B11">
        <v>135</v>
      </c>
    </row>
    <row r="12">
      <c r="A12" t="str">
        <v>parkeerterrein</v>
      </c>
      <c r="B12">
        <v>23</v>
      </c>
    </row>
    <row r="13">
      <c r="A13" t="str">
        <v>onbekend</v>
      </c>
      <c r="B13">
        <v>85</v>
      </c>
    </row>
  </sheetData>
  <ignoredErrors>
    <ignoredError numberStoredAsText="1" sqref="A1:C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45.83203125" customWidth="1"/>
    <col min="2" max="2" width="10.83203125" customWidth="1"/>
    <col min="3" max="3" width="70.83203125" customWidth="1"/>
  </cols>
  <sheetData>
    <row r="1">
      <c r="A1" t="str">
        <v>Controleblad - Datakwaliteit</v>
      </c>
    </row>
    <row r="3">
      <c r="A3" t="str">
        <v>Controle</v>
      </c>
      <c r="B3" t="str">
        <v>Aantal</v>
      </c>
      <c r="C3" t="str">
        <v>Toelichting</v>
      </c>
    </row>
    <row r="4">
      <c r="A4" t="str">
        <v>Dubbele Funda ID's</v>
      </c>
      <c r="B4">
        <v>0</v>
      </c>
      <c r="C4" t="str">
        <v>Binnen dit bestand niet aangetroffen (zie Verwijderde dubbelen)</v>
      </c>
    </row>
    <row r="5">
      <c r="A5" t="str">
        <v>Dubbele Funda URL's</v>
      </c>
      <c r="B5">
        <v>0</v>
      </c>
      <c r="C5" t="str">
        <v>Binnen dit bestand niet aangetroffen (zie Verwijderde dubbelen)</v>
      </c>
    </row>
    <row r="6">
      <c r="A6" t="str">
        <v>Ontbrekende vraagprijzen</v>
      </c>
      <c r="B6">
        <f>COUNTIF('Alle woningen'!N2:N579,"Onbekend")</f>
        <v>0</v>
      </c>
      <c r="C6" t="str">
        <v>Ingevuld als "Onbekend"</v>
      </c>
    </row>
    <row r="7">
      <c r="A7" t="str">
        <v>Ontbrekende GBO</v>
      </c>
      <c r="B7">
        <f>COUNTIF('Alle woningen'!P2:P579,"Onbekend")</f>
        <v>6</v>
      </c>
      <c r="C7" t="str">
        <v>Ingevuld als "Onbekend" (enkele projecten tonen geen exacte m² vooraf)</v>
      </c>
    </row>
    <row r="8">
      <c r="A8" t="str">
        <v>Ontbrekende energielabels</v>
      </c>
      <c r="B8">
        <f>COUNTIF('Alle woningen'!S2:S579,"Onbekend")</f>
        <v>0</v>
      </c>
      <c r="C8" t="str">
        <v>Ingevuld als "Onbekend"</v>
      </c>
    </row>
    <row r="9">
      <c r="A9" t="str">
        <v>Ontbrekende plaatsingsdatum</v>
      </c>
      <c r="B9">
        <f>COUNTIF('Alle woningen'!L2:L579,"Onbekend")</f>
        <v>533</v>
      </c>
      <c r="C9" t="str">
        <v>Ingevuld als "Onbekend"</v>
      </c>
    </row>
    <row r="10">
      <c r="A10" t="str">
        <v>Ontbrekend bouwjaar</v>
      </c>
      <c r="B10">
        <v>1</v>
      </c>
      <c r="C10" t="str">
        <v>Zie Dataverantwoording</v>
      </c>
    </row>
    <row r="11">
      <c r="A11" t="str">
        <v>Ontbrekend woningtype (subtype)</v>
      </c>
      <c r="B11">
        <v>1</v>
      </c>
      <c r="C11" t="str">
        <v>Zie Dataverantwoording</v>
      </c>
    </row>
    <row r="12">
      <c r="A12" t="str">
        <v>Ontbrekende parkeerinformatie</v>
      </c>
      <c r="B12">
        <v>83</v>
      </c>
      <c r="C12" t="str">
        <v>Zie Dataverantwoording</v>
      </c>
    </row>
    <row r="13">
      <c r="A13" t="str">
        <v>Onrealistische m²-prijzen / GBO (outliers)</v>
      </c>
      <c r="B13">
        <f>COUNTIF('Alle woningen'!AC2:AC579,"JA")</f>
        <v>8</v>
      </c>
      <c r="C13" t="str">
        <v>Gemarkeerd met Outlier flag = JA in Alle woningen</v>
      </c>
    </row>
    <row r="14">
      <c r="A14" t="str">
        <v>Foutieve/onbekende gemeentetoewijzing</v>
      </c>
      <c r="B14">
        <f>COUNTIF('Alle woningen'!AD2:AD579,"NEE")</f>
        <v>1</v>
      </c>
      <c r="C14" t="str">
        <v>Gemarkeerd met GemeenteOK = NEE in Alle woningen</v>
      </c>
    </row>
    <row r="15">
      <c r="A15" t="str">
        <v>Records met alleen basisniveau data (geen detailpagina)</v>
      </c>
      <c r="B15">
        <v>1</v>
      </c>
      <c r="C15" t="str">
        <v>Zie Dataverantwoording</v>
      </c>
    </row>
    <row r="16">
      <c r="A16" t="str">
        <v>Niet-Nederlandse woningen uitgesloten</v>
      </c>
      <c r="B16">
        <v>7</v>
      </c>
      <c r="C16" t="str">
        <v>Funda toonde deze mee in de nieuwbouw-zoekopdracht, maar het zijn buitenlandse projecten (o.a. Spanje, Frankrijk); uitgesloten conform "uitsluitend Nederlandse nieuwbouwwoningen"</v>
      </c>
    </row>
  </sheetData>
  <ignoredErrors>
    <ignoredError numberStoredAsText="1" sqref="A1:C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50.83203125" customWidth="1"/>
    <col min="3" max="3" width="25.83203125" customWidth="1"/>
    <col min="4" max="4" width="20.83203125" customWidth="1"/>
    <col min="5" max="5" width="50.83203125" customWidth="1"/>
  </cols>
  <sheetData>
    <row r="1">
      <c r="A1" t="str">
        <v>Verwijderd record (Funda ID)</v>
      </c>
      <c r="B1" t="str">
        <v>Verwijderd record (URL)</v>
      </c>
      <c r="C1" t="str">
        <v>Reden</v>
      </c>
      <c r="D1" t="str">
        <v>Behouden record (Funda ID)</v>
      </c>
      <c r="E1" t="str">
        <v>Behouden record (URL)</v>
      </c>
    </row>
    <row r="2">
      <c r="A2" t="str">
        <v>Geen dubbelen aangetroffen binnen dit bestand.</v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30.83203125" customWidth="1"/>
    <col min="2" max="2" width="110.83203125" customWidth="1"/>
  </cols>
  <sheetData>
    <row r="1">
      <c r="A1" t="str">
        <v>Dataverantwoording</v>
      </c>
    </row>
    <row r="3">
      <c r="A3" t="str">
        <v>Bron</v>
      </c>
      <c r="B3" t="str">
        <v>Funda.nl, zoekfilter: nieuwbouw, koop, status Beschikbaar/Onder optie/Verkocht, publicatiedatum laatste 10 dagen, gesorteerd op datum</v>
      </c>
    </row>
    <row r="4">
      <c r="A4" t="str">
        <v>Peildatum verzameling</v>
      </c>
      <c r="B4" t="str">
        <v>13-7-2026</v>
      </c>
    </row>
    <row r="5">
      <c r="A5" t="str">
        <v>Aantal gevonden Nederlandse nieuwbouwwoningen/bouwnummers</v>
      </c>
      <c r="B5">
        <v>578</v>
      </c>
    </row>
    <row r="6">
      <c r="A6" t="str">
        <v>Aantal gemeenten</v>
      </c>
      <c r="B6">
        <v>63</v>
      </c>
    </row>
    <row r="7">
      <c r="A7" t="str">
        <v>Aantal uitgesloten niet-Nederlandse woningen</v>
      </c>
      <c r="B7">
        <v>7</v>
      </c>
    </row>
    <row r="9">
      <c r="A9" t="str">
        <v>Methode</v>
      </c>
    </row>
    <row r="10">
      <c r="A10" t="str">
        <v>1. Zoekresultaten</v>
      </c>
      <c r="B10" t="str">
        <v>Alle resultaatpaginas van de Funda-zoekopdracht zijn uitgelezen voor basisgegevens: adres, postcode, plaats, prijs, woonoppervlak, perceel (indien getoond), slaapkamers, energielabel, project, makelaar, en plaatsings-/statusbadge.</v>
      </c>
    </row>
    <row r="11">
      <c r="A11" t="str">
        <v>2. Detailpagina's</v>
      </c>
      <c r="B11" t="str">
        <v>Voor nagenoeg alle woningen (577 van 578) zijn de individuele Funda-detailpaginas uitgelezen voor aanvullende kenmerken: bouwjaar, exact woningtype/subtype, aantal kamers (totaal), parkeerinformatie, perceeloppervlakte en exacte gemeente/provincie.</v>
      </c>
    </row>
    <row r="12">
      <c r="A12" t="str">
        <v>3. Bot-detectie</v>
      </c>
      <c r="B12" t="str">
        <v>Funda activeerde tijdens het verzamelen een CAPTCHA/human-verification. Conform veiligheidsbeleid is deze NIET omzeild; de gebruiker heeft de verificatie zelf in de browser bevestigd, waarna het verzamelen is hervat. Voor 1 woning bleef de detailpagina ontoegankelijk; deze heeft alleen basisniveau-gegevens (rest "Onbekend").</v>
      </c>
    </row>
    <row r="13">
      <c r="A13" t="str">
        <v>4. Gemeente/Provincie</v>
      </c>
      <c r="B13" t="str">
        <v>Bepaald via de officiële PDOK BAG-adreslocatieserver (Kadaster/overheid) op basis van postcode. Bij een 4-cijferige postcode (zonder lettercombinatie, zoals vaak bij nieuwbouwprojecten) is de gemeente bepaald op basis van die postcode-4-cijfers; dit is in nagenoeg alle gevallen uniek per gemeente.</v>
      </c>
    </row>
    <row r="14">
      <c r="A14" t="str">
        <v>5. Regio</v>
      </c>
      <c r="B14" t="str">
        <v>De kolom Regio is ingevuld met het CBS-landsdeel (Noord-, Oost-, West- of Zuid-Nederland) op basis van de provincie. Dit is een vaste, officiele indeling van de 12 provincies in 4 landsdelen.</v>
      </c>
    </row>
    <row r="15">
      <c r="A15" t="str">
        <v>6. Datum plaatsing</v>
      </c>
      <c r="B15" t="str">
        <v>De exacte "Aangeboden sinds"-datum op Funda is alleen zichtbaar na inloggen. Er is daarom geen Funda-account gebruikt; in plaats daarvan is de publicatie-/wijzigingsdatum afgeleid uit de datumaanduiding op de zoekresultatenpagina (bijv. "Vandaag", "Gisteren", "Zaterdag 11 juli"), omgerekend naar een kalenderdatum op basis van de peildatum 13-7-2026.</v>
      </c>
    </row>
    <row r="16">
      <c r="A16" t="str">
        <v>7. Looptijd</v>
      </c>
      <c r="B16" t="str">
        <v>Berekend als het aantal dagen tussen Datum plaatsing en de peildatum. "Onbekend" indien geen betrouwbare datum kon worden afgeleid.</v>
      </c>
    </row>
    <row r="17">
      <c r="A17" t="str">
        <v>8. Status-mapping</v>
      </c>
      <c r="B17" t="str">
        <v>Funda-statussen zijn gemapt naar de drie vereiste categorieen: "Beschikbaar"/"Onder bod" naar Te koop; "Onder optie"/"Onder voorbehoud" naar V.O.V.; "Verkocht" naar Verkocht.</v>
      </c>
    </row>
    <row r="18">
      <c r="A18" t="str">
        <v>9. Woningtype</v>
      </c>
      <c r="B18" t="str">
        <v>Voor grondgebonden woningen is het specifieke Funda-subtype gebruikt (bijv. 2-onder-1-kapwoning, Hoekwoning). Voor appartementen is Woningtype op "Appartement" gezet; de nadere categorisering naar oppervlakte staat in de kolom Appartement categorie.</v>
      </c>
    </row>
    <row r="19">
      <c r="A19" t="str">
        <v>10. Outlier flag</v>
      </c>
      <c r="B19" t="str">
        <v>JA indien de VON-prijs per m² buiten de bandbreedte 1.500-12.000 euro/m² ligt, of de GBO kleiner is dan 15 m² of groter dan 500 m². Praktische drempelwaarden, geen statistische garantie.</v>
      </c>
    </row>
    <row r="20">
      <c r="A20" t="str">
        <v>11. GemeenteOK</v>
      </c>
      <c r="B20" t="str">
        <v>JA indien een gemeente kon worden vastgesteld via de PDOK-adreslocatieserver; NEE indien dit niet lukte.</v>
      </c>
    </row>
    <row r="21">
      <c r="A21" t="str">
        <v>12. Niet-Nederlandse woningen</v>
      </c>
      <c r="B21" t="str">
        <v>Funda toont bij de nieuwbouw-zoekopdracht incidenteel ook buitenlandse projecten (o.a. Spanje, Frankrijk). Deze 7 woningen zijn herkend aan hun plaatsnaam en uitgesloten van dit bestand.</v>
      </c>
    </row>
    <row r="23">
      <c r="A23" t="str">
        <v>Beperkingen</v>
      </c>
    </row>
    <row r="24">
      <c r="A24" t="str">
        <v>- Voor 1 woning (Kerkweide 6, Liempde) bleef de detailpagina herhaaldelijk ontoegankelijk; hiervoor zijn alleen de zoekresultaat-gegevens gebruikt.</v>
      </c>
    </row>
    <row r="25">
      <c r="A25" t="str">
        <v>- "Aantal kamers" (totaal) kan voor deze ene woning "Onbekend" zijn (alleen slaapkamers is dan bekend).</v>
      </c>
    </row>
    <row r="26">
      <c r="A26" t="str">
        <v>- Cijfers geven een momentopname weer op 13-7-2026 en kunnen afwijken bij een nieuwe uitvraag.</v>
      </c>
    </row>
  </sheetData>
  <ignoredErrors>
    <ignoredError numberStoredAsText="1" sqref="A1:B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's-Gravenhage</v>
      </c>
    </row>
    <row r="3">
      <c r="A3" t="str">
        <v>Samenvatting</v>
      </c>
    </row>
    <row r="4">
      <c r="A4" t="str">
        <v>Aantal woningen</v>
      </c>
      <c r="B4">
        <v>2</v>
      </c>
    </row>
    <row r="5">
      <c r="A5" t="str">
        <v>Aantal te koop</v>
      </c>
      <c r="B5">
        <v>2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575750</v>
      </c>
    </row>
    <row r="9">
      <c r="A9" t="str">
        <v>Mediaan VON-prijs (€)</v>
      </c>
      <c r="B9">
        <v>575750</v>
      </c>
    </row>
    <row r="10">
      <c r="A10" t="str">
        <v>Gemiddelde VON-prijs per m² (€)</v>
      </c>
      <c r="B10">
        <v>7066</v>
      </c>
    </row>
    <row r="11">
      <c r="A11" t="str">
        <v>Mediaan VON-prijs per m² (€)</v>
      </c>
      <c r="B11">
        <v>7066</v>
      </c>
    </row>
    <row r="12">
      <c r="A12" t="str">
        <v>Gemiddelde GBO (m²)</v>
      </c>
      <c r="B12">
        <v>83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&lt;50 m²</v>
      </c>
      <c r="B19">
        <v>1</v>
      </c>
    </row>
    <row r="20">
      <c r="A20" t="str">
        <v>Appartement &gt;100 m²</v>
      </c>
      <c r="B20">
        <v>1</v>
      </c>
    </row>
    <row r="22">
      <c r="A22" t="str">
        <v>Alle woningen in 's-Gravenhage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44429366</v>
      </c>
      <c r="B24" t="str">
        <v>https://www.funda.nl/detail/koop/den-haag/appartement-corner-lofts-studio-appartementen-bouwnr-0215/44429366/</v>
      </c>
      <c r="C24" t="str">
        <v>Corner Lofts</v>
      </c>
      <c r="D24" t="str">
        <v>Corner Lofts, studio appartementen</v>
      </c>
      <c r="E24" t="str">
        <v>02.15</v>
      </c>
      <c r="F24" t="str">
        <v>2515 BS</v>
      </c>
      <c r="G24" t="str">
        <v>Den Haag</v>
      </c>
      <c r="H24" t="str">
        <v>'s-Gravenhage</v>
      </c>
      <c r="I24" t="str">
        <v>Zuid-Holland</v>
      </c>
      <c r="J24" t="str">
        <v>West-Nederland</v>
      </c>
      <c r="K24" t="str">
        <v>Te koop</v>
      </c>
      <c r="L24" t="str">
        <v>Onbekend</v>
      </c>
      <c r="M24" t="str">
        <v>Onbekend</v>
      </c>
      <c r="N24">
        <v>326500</v>
      </c>
      <c r="O24" t="str">
        <v>v.o.n.</v>
      </c>
      <c r="P24">
        <v>45</v>
      </c>
      <c r="Q24">
        <v>7256</v>
      </c>
      <c r="R24" t="str">
        <v>Onbekend</v>
      </c>
      <c r="S24" t="str">
        <v>Niet beschikbaar</v>
      </c>
      <c r="T24">
        <v>1</v>
      </c>
      <c r="U24">
        <v>1</v>
      </c>
      <c r="V24" t="str">
        <v>Appartement</v>
      </c>
      <c r="W24" t="str">
        <v>Appartement</v>
      </c>
      <c r="X24" t="str">
        <v>Appartement &lt;50 m²</v>
      </c>
      <c r="Y24" t="str">
        <v>Onbekend</v>
      </c>
      <c r="Z24" t="str">
        <v>onbekend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44427375</v>
      </c>
      <c r="B25" t="str">
        <v>https://www.funda.nl/detail/koop/den-haag/appartement-koningin-julianaplein-9-131/44427375/</v>
      </c>
      <c r="C25" t="str">
        <v>KJ Den Haag fase 2,3,4 en 5</v>
      </c>
      <c r="D25" t="str">
        <v>Koningin Julianaplein 9-131</v>
      </c>
      <c r="E25" t="str">
        <v>Onbekend</v>
      </c>
      <c r="F25" t="str">
        <v>2595 AA</v>
      </c>
      <c r="G25" t="str">
        <v>Den Haag</v>
      </c>
      <c r="H25" t="str">
        <v>'s-Gravenhage</v>
      </c>
      <c r="I25" t="str">
        <v>Zuid-Holland</v>
      </c>
      <c r="J25" t="str">
        <v>West-Nederland</v>
      </c>
      <c r="K25" t="str">
        <v>Te koop</v>
      </c>
      <c r="L25" t="str">
        <v>Onbekend</v>
      </c>
      <c r="M25" t="str">
        <v>Onbekend</v>
      </c>
      <c r="N25">
        <v>825000</v>
      </c>
      <c r="O25" t="str">
        <v>v.o.n.</v>
      </c>
      <c r="P25">
        <v>120</v>
      </c>
      <c r="Q25">
        <v>6875</v>
      </c>
      <c r="R25" t="str">
        <v>Onbekend</v>
      </c>
      <c r="S25" t="str">
        <v>Niet beschikbaar</v>
      </c>
      <c r="T25">
        <v>3</v>
      </c>
      <c r="U25">
        <v>2</v>
      </c>
      <c r="V25" t="str">
        <v>Appartement</v>
      </c>
      <c r="W25" t="str">
        <v>Appartement</v>
      </c>
      <c r="X25" t="str">
        <v>Appartement &gt;100 m²</v>
      </c>
      <c r="Y25" t="str">
        <v>Onbekend</v>
      </c>
      <c r="Z25" t="str">
        <v>onbekend</v>
      </c>
      <c r="AA25" t="str">
        <v>Na 2020</v>
      </c>
      <c r="AB25" t="str">
        <v>Nee</v>
      </c>
      <c r="AC25" t="str">
        <v>NEE</v>
      </c>
      <c r="AD25" t="str">
        <v>JA</v>
      </c>
    </row>
  </sheetData>
  <autoFilter ref="A23:AD25"/>
  <ignoredErrors>
    <ignoredError numberStoredAsText="1" sqref="A1:AD2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Aalten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452000</v>
      </c>
    </row>
    <row r="9">
      <c r="A9" t="str">
        <v>Mediaan VON-prijs (€)</v>
      </c>
      <c r="B9">
        <v>452000</v>
      </c>
    </row>
    <row r="10">
      <c r="A10" t="str">
        <v>Gemiddelde VON-prijs per m² (€)</v>
      </c>
      <c r="B10">
        <v>5318</v>
      </c>
    </row>
    <row r="11">
      <c r="A11" t="str">
        <v>Mediaan VON-prijs per m² (€)</v>
      </c>
      <c r="B11">
        <v>5318</v>
      </c>
    </row>
    <row r="12">
      <c r="A12" t="str">
        <v>Gemiddelde GBO (m²)</v>
      </c>
      <c r="B12">
        <v>85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75-100 m²</v>
      </c>
      <c r="B19">
        <v>1</v>
      </c>
    </row>
    <row r="21">
      <c r="A21" t="str">
        <v>Alle woningen in Aalten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44421809</v>
      </c>
      <c r="B23" t="str">
        <v>https://www.funda.nl/detail/koop/aalten/appartement-hoge-blik-2-e/44421809/</v>
      </c>
      <c r="C23" t="str">
        <v>Onbekend</v>
      </c>
      <c r="D23" t="str">
        <v>Hoge Blik 2-E</v>
      </c>
      <c r="E23" t="str">
        <v>Onbekend</v>
      </c>
      <c r="F23" t="str">
        <v>7121 CW</v>
      </c>
      <c r="G23" t="str">
        <v>Aalten</v>
      </c>
      <c r="H23" t="str">
        <v>Aalten</v>
      </c>
      <c r="I23" t="str">
        <v>Gelderland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452000</v>
      </c>
      <c r="O23" t="str">
        <v>v.o.n.</v>
      </c>
      <c r="P23">
        <v>85</v>
      </c>
      <c r="Q23">
        <v>5318</v>
      </c>
      <c r="R23" t="str">
        <v>Onbekend</v>
      </c>
      <c r="S23" t="str">
        <v>A++</v>
      </c>
      <c r="T23">
        <v>3</v>
      </c>
      <c r="U23">
        <v>2</v>
      </c>
      <c r="V23" t="str">
        <v>Appartement</v>
      </c>
      <c r="W23" t="str">
        <v>Appartement</v>
      </c>
      <c r="X23" t="str">
        <v>Appartement 75-100 m²</v>
      </c>
      <c r="Y23" t="str">
        <v>Ja</v>
      </c>
      <c r="Z23" t="str">
        <v>parkeerterrein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Alkmaar</v>
      </c>
    </row>
    <row r="3">
      <c r="A3" t="str">
        <v>Samenvatting</v>
      </c>
    </row>
    <row r="4">
      <c r="A4" t="str">
        <v>Aantal woningen</v>
      </c>
      <c r="B4">
        <v>2</v>
      </c>
    </row>
    <row r="5">
      <c r="A5" t="str">
        <v>Aantal te koop</v>
      </c>
      <c r="B5">
        <v>0</v>
      </c>
    </row>
    <row r="6">
      <c r="A6" t="str">
        <v>Aantal verkocht</v>
      </c>
      <c r="B6">
        <v>0</v>
      </c>
    </row>
    <row r="7">
      <c r="A7" t="str">
        <v>Aantal V.O.V.</v>
      </c>
      <c r="B7">
        <v>2</v>
      </c>
    </row>
    <row r="8">
      <c r="A8" t="str">
        <v>Gemiddelde VON-prijs (€)</v>
      </c>
      <c r="B8">
        <v>440000</v>
      </c>
    </row>
    <row r="9">
      <c r="A9" t="str">
        <v>Mediaan VON-prijs (€)</v>
      </c>
      <c r="B9">
        <v>440000</v>
      </c>
    </row>
    <row r="10">
      <c r="A10" t="str">
        <v>Gemiddelde VON-prijs per m² (€)</v>
      </c>
      <c r="B10">
        <v>5924</v>
      </c>
    </row>
    <row r="11">
      <c r="A11" t="str">
        <v>Mediaan VON-prijs per m² (€)</v>
      </c>
      <c r="B11">
        <v>5924</v>
      </c>
    </row>
    <row r="12">
      <c r="A12" t="str">
        <v>Gemiddelde GBO (m²)</v>
      </c>
      <c r="B12">
        <v>75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50-75 m²</v>
      </c>
      <c r="B19">
        <v>1</v>
      </c>
    </row>
    <row r="20">
      <c r="A20" t="str">
        <v>Appartement 75-100 m²</v>
      </c>
      <c r="B20">
        <v>1</v>
      </c>
    </row>
    <row r="22">
      <c r="A22" t="str">
        <v>Alle woningen in Alkmaar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44428396</v>
      </c>
      <c r="B24" t="str">
        <v>https://www.funda.nl/detail/koop/alkmaar/appartement-schermerweg-94-a7/44428396/</v>
      </c>
      <c r="C24" t="str">
        <v>Jaagpad</v>
      </c>
      <c r="D24" t="str">
        <v>Schermerweg 94-A7</v>
      </c>
      <c r="E24" t="str">
        <v>Onbekend</v>
      </c>
      <c r="F24" t="str">
        <v>1821 BJ</v>
      </c>
      <c r="G24" t="str">
        <v>Alkmaar</v>
      </c>
      <c r="H24" t="str">
        <v>Alkmaar</v>
      </c>
      <c r="I24" t="str">
        <v>Noord-Holland</v>
      </c>
      <c r="J24" t="str">
        <v>West-Nederland</v>
      </c>
      <c r="K24" t="str">
        <v>V.O.V.</v>
      </c>
      <c r="L24" t="str">
        <v>Onbekend</v>
      </c>
      <c r="M24" t="str">
        <v>Onbekend</v>
      </c>
      <c r="N24">
        <v>425000</v>
      </c>
      <c r="O24" t="str">
        <v>v.o.n.</v>
      </c>
      <c r="P24">
        <v>69</v>
      </c>
      <c r="Q24">
        <v>6159</v>
      </c>
      <c r="R24" t="str">
        <v>Onbekend</v>
      </c>
      <c r="S24" t="str">
        <v>Niet beschikbaar</v>
      </c>
      <c r="T24">
        <v>1</v>
      </c>
      <c r="U24" t="str">
        <v>Onbekend</v>
      </c>
      <c r="V24" t="str">
        <v>Appartement</v>
      </c>
      <c r="W24" t="str">
        <v>Appartement</v>
      </c>
      <c r="X24" t="str">
        <v>Appartement 50-75 m²</v>
      </c>
      <c r="Y24" t="str">
        <v>Onbekend</v>
      </c>
      <c r="Z24" t="str">
        <v>onbekend</v>
      </c>
      <c r="AA24" t="str">
        <v>2027</v>
      </c>
      <c r="AB24" t="str">
        <v>Nee</v>
      </c>
      <c r="AC24" t="str">
        <v>NEE</v>
      </c>
      <c r="AD24" t="str">
        <v>JA</v>
      </c>
    </row>
    <row r="25">
      <c r="A25" t="str">
        <v>44428393</v>
      </c>
      <c r="B25" t="str">
        <v>https://www.funda.nl/detail/koop/alkmaar/appartement-schermerweg-94-d6/44428393/</v>
      </c>
      <c r="C25" t="str">
        <v>Jaagpad</v>
      </c>
      <c r="D25" t="str">
        <v>Schermerweg 94-D6</v>
      </c>
      <c r="E25" t="str">
        <v>Onbekend</v>
      </c>
      <c r="F25" t="str">
        <v>1821 BJ</v>
      </c>
      <c r="G25" t="str">
        <v>Alkmaar</v>
      </c>
      <c r="H25" t="str">
        <v>Alkmaar</v>
      </c>
      <c r="I25" t="str">
        <v>Noord-Holland</v>
      </c>
      <c r="J25" t="str">
        <v>West-Nederland</v>
      </c>
      <c r="K25" t="str">
        <v>V.O.V.</v>
      </c>
      <c r="L25" t="str">
        <v>Onbekend</v>
      </c>
      <c r="M25" t="str">
        <v>Onbekend</v>
      </c>
      <c r="N25">
        <v>455000</v>
      </c>
      <c r="O25" t="str">
        <v>v.o.n.</v>
      </c>
      <c r="P25">
        <v>80</v>
      </c>
      <c r="Q25">
        <v>5688</v>
      </c>
      <c r="R25" t="str">
        <v>Onbekend</v>
      </c>
      <c r="S25" t="str">
        <v>Niet beschikbaar</v>
      </c>
      <c r="T25">
        <v>1</v>
      </c>
      <c r="U25" t="str">
        <v>Onbekend</v>
      </c>
      <c r="V25" t="str">
        <v>Appartement</v>
      </c>
      <c r="W25" t="str">
        <v>Appartement</v>
      </c>
      <c r="X25" t="str">
        <v>Appartement 75-100 m²</v>
      </c>
      <c r="Y25" t="str">
        <v>Onbekend</v>
      </c>
      <c r="Z25" t="str">
        <v>onbekend</v>
      </c>
      <c r="AA25" t="str">
        <v>2027</v>
      </c>
      <c r="AB25" t="str">
        <v>Nee</v>
      </c>
      <c r="AC25" t="str">
        <v>NEE</v>
      </c>
      <c r="AD25" t="str">
        <v>JA</v>
      </c>
    </row>
  </sheetData>
  <autoFilter ref="A23:AD25"/>
  <ignoredErrors>
    <ignoredError numberStoredAsText="1" sqref="A1:AD2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Almere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795000</v>
      </c>
    </row>
    <row r="9">
      <c r="A9" t="str">
        <v>Mediaan VON-prijs (€)</v>
      </c>
      <c r="B9">
        <v>795000</v>
      </c>
    </row>
    <row r="10">
      <c r="A10" t="str">
        <v>Gemiddelde VON-prijs per m² (€)</v>
      </c>
      <c r="B10">
        <v>6737</v>
      </c>
    </row>
    <row r="11">
      <c r="A11" t="str">
        <v>Mediaan VON-prijs per m² (€)</v>
      </c>
      <c r="B11">
        <v>6737</v>
      </c>
    </row>
    <row r="12">
      <c r="A12" t="str">
        <v>Gemiddelde GBO (m²)</v>
      </c>
      <c r="B12">
        <v>118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Almere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44421934</v>
      </c>
      <c r="B23" t="str">
        <v>https://www.funda.nl/detail/koop/almere/huis-jean-paul-sartrestraat-29/44421934/</v>
      </c>
      <c r="C23" t="str">
        <v>Onbekend</v>
      </c>
      <c r="D23" t="str">
        <v>Jean-Paul Sartrestraat 29</v>
      </c>
      <c r="E23" t="str">
        <v>Onbekend</v>
      </c>
      <c r="F23" t="str">
        <v>1349 HK</v>
      </c>
      <c r="G23" t="str">
        <v>Almere</v>
      </c>
      <c r="H23" t="str">
        <v>Almere</v>
      </c>
      <c r="I23" t="str">
        <v>Flevoland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795000</v>
      </c>
      <c r="O23" t="str">
        <v>v.o.n.</v>
      </c>
      <c r="P23">
        <v>118</v>
      </c>
      <c r="Q23">
        <v>6737</v>
      </c>
      <c r="R23">
        <v>1105</v>
      </c>
      <c r="S23" t="str">
        <v>A+++</v>
      </c>
      <c r="T23">
        <v>4</v>
      </c>
      <c r="U23">
        <v>3</v>
      </c>
      <c r="V23" t="str">
        <v>Grondgebonden</v>
      </c>
      <c r="W23" t="str">
        <v>Vrijstaande woning</v>
      </c>
      <c r="X23" t="str">
        <v>N.v.t.</v>
      </c>
      <c r="Y23" t="str">
        <v>Ja</v>
      </c>
      <c r="Z23" t="str">
        <v>eigen parkeerplaats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Amersfoort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339000</v>
      </c>
    </row>
    <row r="9">
      <c r="A9" t="str">
        <v>Mediaan VON-prijs (€)</v>
      </c>
      <c r="B9">
        <v>339000</v>
      </c>
    </row>
    <row r="10">
      <c r="A10" t="str">
        <v>Gemiddelde VON-prijs per m² (€)</v>
      </c>
      <c r="B10">
        <v>7884</v>
      </c>
    </row>
    <row r="11">
      <c r="A11" t="str">
        <v>Mediaan VON-prijs per m² (€)</v>
      </c>
      <c r="B11">
        <v>7884</v>
      </c>
    </row>
    <row r="12">
      <c r="A12" t="str">
        <v>Gemiddelde GBO (m²)</v>
      </c>
      <c r="B12">
        <v>43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&lt;50 m²</v>
      </c>
      <c r="B19">
        <v>1</v>
      </c>
    </row>
    <row r="21">
      <c r="A21" t="str">
        <v>Alle woningen in Amersfoort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44423727</v>
      </c>
      <c r="B23" t="str">
        <v>https://www.funda.nl/detail/koop/amersfoort/appartement-muurhuizen-56-a/44423727/</v>
      </c>
      <c r="C23" t="str">
        <v>Onbekend</v>
      </c>
      <c r="D23" t="str">
        <v>Muurhuizen 56-A</v>
      </c>
      <c r="E23" t="str">
        <v>Onbekend</v>
      </c>
      <c r="F23" t="str">
        <v>3811 EK</v>
      </c>
      <c r="G23" t="str">
        <v>Amersfoort</v>
      </c>
      <c r="H23" t="str">
        <v>Amersfoort</v>
      </c>
      <c r="I23" t="str">
        <v>Utrecht</v>
      </c>
      <c r="J23" t="str">
        <v>West-Nederland</v>
      </c>
      <c r="K23" t="str">
        <v>Te koop</v>
      </c>
      <c r="L23" t="str">
        <v>Onbekend</v>
      </c>
      <c r="M23" t="str">
        <v>Onbekend</v>
      </c>
      <c r="N23">
        <v>339000</v>
      </c>
      <c r="O23" t="str">
        <v>k.k.</v>
      </c>
      <c r="P23">
        <v>43</v>
      </c>
      <c r="Q23">
        <v>7884</v>
      </c>
      <c r="R23" t="str">
        <v>Onbekend</v>
      </c>
      <c r="S23" t="str">
        <v>A</v>
      </c>
      <c r="T23">
        <v>2</v>
      </c>
      <c r="U23">
        <v>1</v>
      </c>
      <c r="V23" t="str">
        <v>Appartement</v>
      </c>
      <c r="W23" t="str">
        <v>Appartement</v>
      </c>
      <c r="X23" t="str">
        <v>Appartement &lt;50 m²</v>
      </c>
      <c r="Y23" t="str">
        <v>Ja</v>
      </c>
      <c r="Z23" t="str">
        <v>onbekend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Amsterdam</v>
      </c>
    </row>
    <row r="3">
      <c r="A3" t="str">
        <v>Samenvatting</v>
      </c>
    </row>
    <row r="4">
      <c r="A4" t="str">
        <v>Aantal woningen</v>
      </c>
      <c r="B4">
        <v>15</v>
      </c>
    </row>
    <row r="5">
      <c r="A5" t="str">
        <v>Aantal te koop</v>
      </c>
      <c r="B5">
        <v>15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1197133</v>
      </c>
    </row>
    <row r="9">
      <c r="A9" t="str">
        <v>Mediaan VON-prijs (€)</v>
      </c>
      <c r="B9">
        <v>1070000</v>
      </c>
    </row>
    <row r="10">
      <c r="A10" t="str">
        <v>Gemiddelde VON-prijs per m² (€)</v>
      </c>
      <c r="B10">
        <v>12337</v>
      </c>
    </row>
    <row r="11">
      <c r="A11" t="str">
        <v>Mediaan VON-prijs per m² (€)</v>
      </c>
      <c r="B11">
        <v>15940</v>
      </c>
    </row>
    <row r="12">
      <c r="A12" t="str">
        <v>Gemiddelde GBO (m²)</v>
      </c>
      <c r="B12">
        <v>93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Hoekwoning</v>
      </c>
      <c r="B17">
        <v>1</v>
      </c>
    </row>
    <row r="18">
      <c r="A18" t="str">
        <v>Tussenwoning</v>
      </c>
      <c r="B18">
        <v>1</v>
      </c>
    </row>
    <row r="20">
      <c r="A20" t="str">
        <v>Uitsplitsing appartementcategorieen</v>
      </c>
      <c r="B20" t="str">
        <v>Aantal</v>
      </c>
    </row>
    <row r="21">
      <c r="A21" t="str">
        <v>Appartement 50-75 m²</v>
      </c>
      <c r="B21">
        <v>4</v>
      </c>
    </row>
    <row r="22">
      <c r="A22" t="str">
        <v>Appartement 75-100 m²</v>
      </c>
      <c r="B22">
        <v>6</v>
      </c>
    </row>
    <row r="23">
      <c r="A23" t="str">
        <v>Appartement &gt;100 m²</v>
      </c>
      <c r="B23">
        <v>3</v>
      </c>
    </row>
    <row r="25">
      <c r="A25" t="str">
        <v>Alle woningen in Amsterdam</v>
      </c>
    </row>
    <row r="26">
      <c r="A26" t="str">
        <v>Funda ID</v>
      </c>
      <c r="B26" t="str">
        <v>Funda URL</v>
      </c>
      <c r="C26" t="str">
        <v>Projectnaam</v>
      </c>
      <c r="D26" t="str">
        <v>Adres</v>
      </c>
      <c r="E26" t="str">
        <v>Bouwnummer</v>
      </c>
      <c r="F26" t="str">
        <v>Postcode</v>
      </c>
      <c r="G26" t="str">
        <v>Plaats</v>
      </c>
      <c r="H26" t="str">
        <v>Gemeente</v>
      </c>
      <c r="I26" t="str">
        <v>Provincie</v>
      </c>
      <c r="J26" t="str">
        <v>Regio</v>
      </c>
      <c r="K26" t="str">
        <v>Status</v>
      </c>
      <c r="L26" t="str">
        <v>Datum plaatsing</v>
      </c>
      <c r="M26" t="str">
        <v>Looptijd (dagen)</v>
      </c>
      <c r="N26" t="str">
        <v>Vraagprijs (€)</v>
      </c>
      <c r="O26" t="str">
        <v>Kostenlabel</v>
      </c>
      <c r="P26" t="str">
        <v>GBO (m²)</v>
      </c>
      <c r="Q26" t="str">
        <v>VON-prijs per m² (€)</v>
      </c>
      <c r="R26" t="str">
        <v>Perceeloppervlakte (m²)</v>
      </c>
      <c r="S26" t="str">
        <v>Energielabel</v>
      </c>
      <c r="T26" t="str">
        <v>Aantal kamers</v>
      </c>
      <c r="U26" t="str">
        <v>Aantal slaapkamers</v>
      </c>
      <c r="V26" t="str">
        <v>Woningcategorie</v>
      </c>
      <c r="W26" t="str">
        <v>Woningtype</v>
      </c>
      <c r="X26" t="str">
        <v>Appartement categorie</v>
      </c>
      <c r="Y26" t="str">
        <v>Parkeerplaats</v>
      </c>
      <c r="Z26" t="str">
        <v>Type parkeerplaats</v>
      </c>
      <c r="AA26" t="str">
        <v>Bouwjaar</v>
      </c>
      <c r="AB26" t="str">
        <v>Prijs op aanvraag</v>
      </c>
      <c r="AC26" t="str">
        <v>Outlier flag</v>
      </c>
      <c r="AD26" t="str">
        <v>GemeenteOK</v>
      </c>
    </row>
    <row r="27">
      <c r="A27" t="str">
        <v>44420556</v>
      </c>
      <c r="B27" t="str">
        <v>https://www.funda.nl/detail/koop/amsterdam/appartement-don-boscostraat-393/44420556/</v>
      </c>
      <c r="C27" t="str">
        <v>Onbekend</v>
      </c>
      <c r="D27" t="str">
        <v>Don Boscostraat 393</v>
      </c>
      <c r="E27" t="str">
        <v>Onbekend</v>
      </c>
      <c r="F27" t="str">
        <v>1068 TH</v>
      </c>
      <c r="G27" t="str">
        <v>Amsterdam</v>
      </c>
      <c r="H27" t="str">
        <v>Amsterdam</v>
      </c>
      <c r="I27" t="str">
        <v>Noord-Holland</v>
      </c>
      <c r="J27" t="str">
        <v>West-Nederland</v>
      </c>
      <c r="K27" t="str">
        <v>Te koop</v>
      </c>
      <c r="L27" t="str">
        <v>Onbekend</v>
      </c>
      <c r="M27" t="str">
        <v>Onbekend</v>
      </c>
      <c r="N27">
        <v>578000</v>
      </c>
      <c r="O27" t="str">
        <v>v.o.n.</v>
      </c>
      <c r="P27">
        <v>68</v>
      </c>
      <c r="Q27">
        <v>8500</v>
      </c>
      <c r="R27" t="str">
        <v>Onbekend</v>
      </c>
      <c r="S27" t="str">
        <v>A+++</v>
      </c>
      <c r="T27">
        <v>3</v>
      </c>
      <c r="U27">
        <v>2</v>
      </c>
      <c r="V27" t="str">
        <v>Appartement</v>
      </c>
      <c r="W27" t="str">
        <v>Appartement</v>
      </c>
      <c r="X27" t="str">
        <v>Appartement 50-75 m²</v>
      </c>
      <c r="Y27" t="str">
        <v>Ja</v>
      </c>
      <c r="Z27" t="str">
        <v>garage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44420981</v>
      </c>
      <c r="B28" t="str">
        <v>https://www.funda.nl/detail/koop/amsterdam/appartement-don-boscostraat-391/44420981/</v>
      </c>
      <c r="C28" t="str">
        <v>Onbekend</v>
      </c>
      <c r="D28" t="str">
        <v>Don Boscostraat 391</v>
      </c>
      <c r="E28" t="str">
        <v>Onbekend</v>
      </c>
      <c r="F28" t="str">
        <v>1068 TH</v>
      </c>
      <c r="G28" t="str">
        <v>Amsterdam</v>
      </c>
      <c r="H28" t="str">
        <v>Amsterdam</v>
      </c>
      <c r="I28" t="str">
        <v>Noord-Holland</v>
      </c>
      <c r="J28" t="str">
        <v>West-Nederland</v>
      </c>
      <c r="K28" t="str">
        <v>Te koop</v>
      </c>
      <c r="L28" t="str">
        <v>Onbekend</v>
      </c>
      <c r="M28" t="str">
        <v>Onbekend</v>
      </c>
      <c r="N28">
        <v>619000</v>
      </c>
      <c r="O28" t="str">
        <v>v.o.n.</v>
      </c>
      <c r="P28">
        <v>77</v>
      </c>
      <c r="Q28">
        <v>8039</v>
      </c>
      <c r="R28" t="str">
        <v>Onbekend</v>
      </c>
      <c r="S28" t="str">
        <v>A+++</v>
      </c>
      <c r="T28">
        <v>3</v>
      </c>
      <c r="U28">
        <v>2</v>
      </c>
      <c r="V28" t="str">
        <v>Appartement</v>
      </c>
      <c r="W28" t="str">
        <v>Appartement</v>
      </c>
      <c r="X28" t="str">
        <v>Appartement 75-100 m²</v>
      </c>
      <c r="Y28" t="str">
        <v>Ja</v>
      </c>
      <c r="Z28" t="str">
        <v>garage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44420608</v>
      </c>
      <c r="B29" t="str">
        <v>https://www.funda.nl/detail/koop/amsterdam/appartement-type-h-hakone-bouwnr-8/44420608/</v>
      </c>
      <c r="C29" t="str">
        <v>Nobu Residences Park Meadows</v>
      </c>
      <c r="D29" t="str">
        <v>Type H - HAKONE</v>
      </c>
      <c r="E29" t="str">
        <v>8</v>
      </c>
      <c r="F29" t="str">
        <v>1077 WW</v>
      </c>
      <c r="G29" t="str">
        <v>Amsterdam</v>
      </c>
      <c r="H29" t="str">
        <v>Amsterdam</v>
      </c>
      <c r="I29" t="str">
        <v>Noord-Holland</v>
      </c>
      <c r="J29" t="str">
        <v>West-Nederland</v>
      </c>
      <c r="K29" t="str">
        <v>Te koop</v>
      </c>
      <c r="L29" t="str">
        <v>Onbekend</v>
      </c>
      <c r="M29" t="str">
        <v>Onbekend</v>
      </c>
      <c r="N29">
        <v>2576000</v>
      </c>
      <c r="O29" t="str">
        <v>v.o.n.</v>
      </c>
      <c r="P29">
        <v>136</v>
      </c>
      <c r="Q29">
        <v>18941</v>
      </c>
      <c r="R29" t="str">
        <v>Onbekend</v>
      </c>
      <c r="S29" t="str">
        <v>Niet beschikbaar</v>
      </c>
      <c r="T29">
        <v>3</v>
      </c>
      <c r="U29">
        <v>2</v>
      </c>
      <c r="V29" t="str">
        <v>Appartement</v>
      </c>
      <c r="W29" t="str">
        <v>Appartement</v>
      </c>
      <c r="X29" t="str">
        <v>Appartement &gt;100 m²</v>
      </c>
      <c r="Y29" t="str">
        <v>Ja</v>
      </c>
      <c r="Z29" t="str">
        <v>garage</v>
      </c>
      <c r="AA29" t="str">
        <v>2023</v>
      </c>
      <c r="AB29" t="str">
        <v>Nee</v>
      </c>
      <c r="AC29" t="str">
        <v>JA</v>
      </c>
      <c r="AD29" t="str">
        <v>JA</v>
      </c>
    </row>
    <row r="30">
      <c r="A30" t="str">
        <v>44420603</v>
      </c>
      <c r="B30" t="str">
        <v>https://www.funda.nl/detail/koop/amsterdam/appartement-type-a-hikari-bouwnr-12/44420603/</v>
      </c>
      <c r="C30" t="str">
        <v>Nobu Residences Park Meadows</v>
      </c>
      <c r="D30" t="str">
        <v>Type A - HIKARI</v>
      </c>
      <c r="E30" t="str">
        <v>12</v>
      </c>
      <c r="F30" t="str">
        <v>1077 WW</v>
      </c>
      <c r="G30" t="str">
        <v>Amsterdam</v>
      </c>
      <c r="H30" t="str">
        <v>Amsterdam</v>
      </c>
      <c r="I30" t="str">
        <v>Noord-Holland</v>
      </c>
      <c r="J30" t="str">
        <v>West-Nederland</v>
      </c>
      <c r="K30" t="str">
        <v>Te koop</v>
      </c>
      <c r="L30" t="str">
        <v>Onbekend</v>
      </c>
      <c r="M30" t="str">
        <v>Onbekend</v>
      </c>
      <c r="N30">
        <v>1323000</v>
      </c>
      <c r="O30" t="str">
        <v>v.o.n.</v>
      </c>
      <c r="P30">
        <v>80</v>
      </c>
      <c r="Q30">
        <v>16538</v>
      </c>
      <c r="R30" t="str">
        <v>Onbekend</v>
      </c>
      <c r="S30" t="str">
        <v>Niet beschikbaar</v>
      </c>
      <c r="T30">
        <v>3</v>
      </c>
      <c r="U30">
        <v>2</v>
      </c>
      <c r="V30" t="str">
        <v>Appartement</v>
      </c>
      <c r="W30" t="str">
        <v>Appartement</v>
      </c>
      <c r="X30" t="str">
        <v>Appartement 75-100 m²</v>
      </c>
      <c r="Y30" t="str">
        <v>Ja</v>
      </c>
      <c r="Z30" t="str">
        <v>garage</v>
      </c>
      <c r="AA30" t="str">
        <v>2023</v>
      </c>
      <c r="AB30" t="str">
        <v>Nee</v>
      </c>
      <c r="AC30" t="str">
        <v>JA</v>
      </c>
      <c r="AD30" t="str">
        <v>JA</v>
      </c>
    </row>
    <row r="31">
      <c r="A31" t="str">
        <v>44420609</v>
      </c>
      <c r="B31" t="str">
        <v>https://www.funda.nl/detail/koop/amsterdam/appartement-type-f-kawe-bouwnr-6/44420609/</v>
      </c>
      <c r="C31" t="str">
        <v>Nobu Residences Park Meadows</v>
      </c>
      <c r="D31" t="str">
        <v>Type F - KAWE</v>
      </c>
      <c r="E31" t="str">
        <v>6</v>
      </c>
      <c r="F31" t="str">
        <v>1077 WW</v>
      </c>
      <c r="G31" t="str">
        <v>Amsterdam</v>
      </c>
      <c r="H31" t="str">
        <v>Amsterdam</v>
      </c>
      <c r="I31" t="str">
        <v>Noord-Holland</v>
      </c>
      <c r="J31" t="str">
        <v>West-Nederland</v>
      </c>
      <c r="K31" t="str">
        <v>Te koop</v>
      </c>
      <c r="L31" t="str">
        <v>Onbekend</v>
      </c>
      <c r="M31" t="str">
        <v>Onbekend</v>
      </c>
      <c r="N31">
        <v>1139000</v>
      </c>
      <c r="O31" t="str">
        <v>v.o.n.</v>
      </c>
      <c r="P31">
        <v>71</v>
      </c>
      <c r="Q31">
        <v>16042</v>
      </c>
      <c r="R31" t="str">
        <v>Onbekend</v>
      </c>
      <c r="S31" t="str">
        <v>Niet beschikbaar</v>
      </c>
      <c r="T31">
        <v>2</v>
      </c>
      <c r="U31">
        <v>1</v>
      </c>
      <c r="V31" t="str">
        <v>Appartement</v>
      </c>
      <c r="W31" t="str">
        <v>Appartement</v>
      </c>
      <c r="X31" t="str">
        <v>Appartement 50-75 m²</v>
      </c>
      <c r="Y31" t="str">
        <v>Ja</v>
      </c>
      <c r="Z31" t="str">
        <v>garage</v>
      </c>
      <c r="AA31" t="str">
        <v>2023</v>
      </c>
      <c r="AB31" t="str">
        <v>Nee</v>
      </c>
      <c r="AC31" t="str">
        <v>JA</v>
      </c>
      <c r="AD31" t="str">
        <v>JA</v>
      </c>
    </row>
    <row r="32">
      <c r="A32" t="str">
        <v>44420606</v>
      </c>
      <c r="B32" t="str">
        <v>https://www.funda.nl/detail/koop/amsterdam/appartement-type-e-sakura-bouwnr-5/44420606/</v>
      </c>
      <c r="C32" t="str">
        <v>Nobu Residences Park Meadows</v>
      </c>
      <c r="D32" t="str">
        <v>Type E - SAKURA</v>
      </c>
      <c r="E32" t="str">
        <v>5</v>
      </c>
      <c r="F32" t="str">
        <v>1077 WW</v>
      </c>
      <c r="G32" t="str">
        <v>Amsterdam</v>
      </c>
      <c r="H32" t="str">
        <v>Amsterdam</v>
      </c>
      <c r="I32" t="str">
        <v>Noord-Holland</v>
      </c>
      <c r="J32" t="str">
        <v>West-Nederland</v>
      </c>
      <c r="K32" t="str">
        <v>Te koop</v>
      </c>
      <c r="L32" t="str">
        <v>Onbekend</v>
      </c>
      <c r="M32" t="str">
        <v>Onbekend</v>
      </c>
      <c r="N32">
        <v>2323000</v>
      </c>
      <c r="O32" t="str">
        <v>v.o.n.</v>
      </c>
      <c r="P32">
        <v>140</v>
      </c>
      <c r="Q32">
        <v>16593</v>
      </c>
      <c r="R32" t="str">
        <v>Onbekend</v>
      </c>
      <c r="S32" t="str">
        <v>Niet beschikbaar</v>
      </c>
      <c r="T32">
        <v>3</v>
      </c>
      <c r="U32">
        <v>2</v>
      </c>
      <c r="V32" t="str">
        <v>Appartement</v>
      </c>
      <c r="W32" t="str">
        <v>Appartement</v>
      </c>
      <c r="X32" t="str">
        <v>Appartement &gt;100 m²</v>
      </c>
      <c r="Y32" t="str">
        <v>Ja</v>
      </c>
      <c r="Z32" t="str">
        <v>garage</v>
      </c>
      <c r="AA32" t="str">
        <v>2023</v>
      </c>
      <c r="AB32" t="str">
        <v>Nee</v>
      </c>
      <c r="AC32" t="str">
        <v>JA</v>
      </c>
      <c r="AD32" t="str">
        <v>JA</v>
      </c>
    </row>
    <row r="33">
      <c r="A33" t="str">
        <v>44420605</v>
      </c>
      <c r="B33" t="str">
        <v>https://www.funda.nl/detail/koop/amsterdam/appartement-type-d-tsuki-bouwnr-9/44420605/</v>
      </c>
      <c r="C33" t="str">
        <v>Nobu Residences Park Meadows</v>
      </c>
      <c r="D33" t="str">
        <v>Type D - TSUKI</v>
      </c>
      <c r="E33" t="str">
        <v>9</v>
      </c>
      <c r="F33" t="str">
        <v>1077 WW</v>
      </c>
      <c r="G33" t="str">
        <v>Amsterdam</v>
      </c>
      <c r="H33" t="str">
        <v>Amsterdam</v>
      </c>
      <c r="I33" t="str">
        <v>Noord-Holland</v>
      </c>
      <c r="J33" t="str">
        <v>West-Nederland</v>
      </c>
      <c r="K33" t="str">
        <v>Te koop</v>
      </c>
      <c r="L33" t="str">
        <v>Onbekend</v>
      </c>
      <c r="M33" t="str">
        <v>Onbekend</v>
      </c>
      <c r="N33">
        <v>2806000</v>
      </c>
      <c r="O33" t="str">
        <v>v.o.n.</v>
      </c>
      <c r="P33">
        <v>160</v>
      </c>
      <c r="Q33">
        <v>17538</v>
      </c>
      <c r="R33" t="str">
        <v>Onbekend</v>
      </c>
      <c r="S33" t="str">
        <v>Niet beschikbaar</v>
      </c>
      <c r="T33">
        <v>3</v>
      </c>
      <c r="U33">
        <v>2</v>
      </c>
      <c r="V33" t="str">
        <v>Appartement</v>
      </c>
      <c r="W33" t="str">
        <v>Appartement</v>
      </c>
      <c r="X33" t="str">
        <v>Appartement &gt;100 m²</v>
      </c>
      <c r="Y33" t="str">
        <v>Ja</v>
      </c>
      <c r="Z33" t="str">
        <v>garage</v>
      </c>
      <c r="AA33" t="str">
        <v>2023</v>
      </c>
      <c r="AB33" t="str">
        <v>Nee</v>
      </c>
      <c r="AC33" t="str">
        <v>JA</v>
      </c>
      <c r="AD33" t="str">
        <v>JA</v>
      </c>
    </row>
    <row r="34">
      <c r="A34" t="str">
        <v>44420604</v>
      </c>
      <c r="B34" t="str">
        <v>https://www.funda.nl/detail/koop/amsterdam/appartement-type-c-taiyo-bouwnr-3/44420604/</v>
      </c>
      <c r="C34" t="str">
        <v>Nobu Residences Park Meadows</v>
      </c>
      <c r="D34" t="str">
        <v>Type C - TAIYO</v>
      </c>
      <c r="E34" t="str">
        <v>3</v>
      </c>
      <c r="F34" t="str">
        <v>1077 WW</v>
      </c>
      <c r="G34" t="str">
        <v>Amsterdam</v>
      </c>
      <c r="H34" t="str">
        <v>Amsterdam</v>
      </c>
      <c r="I34" t="str">
        <v>Noord-Holland</v>
      </c>
      <c r="J34" t="str">
        <v>West-Nederland</v>
      </c>
      <c r="K34" t="str">
        <v>Te koop</v>
      </c>
      <c r="L34" t="str">
        <v>Onbekend</v>
      </c>
      <c r="M34" t="str">
        <v>Onbekend</v>
      </c>
      <c r="N34">
        <v>1208000</v>
      </c>
      <c r="O34" t="str">
        <v>v.o.n.</v>
      </c>
      <c r="P34">
        <v>72</v>
      </c>
      <c r="Q34">
        <v>16778</v>
      </c>
      <c r="R34" t="str">
        <v>Onbekend</v>
      </c>
      <c r="S34" t="str">
        <v>Niet beschikbaar</v>
      </c>
      <c r="T34">
        <v>2</v>
      </c>
      <c r="U34">
        <v>1</v>
      </c>
      <c r="V34" t="str">
        <v>Appartement</v>
      </c>
      <c r="W34" t="str">
        <v>Appartement</v>
      </c>
      <c r="X34" t="str">
        <v>Appartement 50-75 m²</v>
      </c>
      <c r="Y34" t="str">
        <v>Ja</v>
      </c>
      <c r="Z34" t="str">
        <v>garage</v>
      </c>
      <c r="AA34" t="str">
        <v>2023</v>
      </c>
      <c r="AB34" t="str">
        <v>Nee</v>
      </c>
      <c r="AC34" t="str">
        <v>JA</v>
      </c>
      <c r="AD34" t="str">
        <v>JA</v>
      </c>
    </row>
    <row r="35">
      <c r="A35" t="str">
        <v>44420691</v>
      </c>
      <c r="B35" t="str">
        <v>https://www.funda.nl/detail/koop/amsterdam/appartement-type-b-miyabi-bouwnr-13/44420691/</v>
      </c>
      <c r="C35" t="str">
        <v>Nobu Residences Park Meadows</v>
      </c>
      <c r="D35" t="str">
        <v>Type B - MIYABI</v>
      </c>
      <c r="E35" t="str">
        <v>13</v>
      </c>
      <c r="F35" t="str">
        <v>1077 WW</v>
      </c>
      <c r="G35" t="str">
        <v>Amsterdam</v>
      </c>
      <c r="H35" t="str">
        <v>Amsterdam</v>
      </c>
      <c r="I35" t="str">
        <v>Noord-Holland</v>
      </c>
      <c r="J35" t="str">
        <v>West-Nederland</v>
      </c>
      <c r="K35" t="str">
        <v>Te koop</v>
      </c>
      <c r="L35" t="str">
        <v>Onbekend</v>
      </c>
      <c r="M35" t="str">
        <v>Onbekend</v>
      </c>
      <c r="N35">
        <v>1070000</v>
      </c>
      <c r="O35" t="str">
        <v>v.o.n.</v>
      </c>
      <c r="P35">
        <v>66</v>
      </c>
      <c r="Q35">
        <v>16212</v>
      </c>
      <c r="R35" t="str">
        <v>Onbekend</v>
      </c>
      <c r="S35" t="str">
        <v>Niet beschikbaar</v>
      </c>
      <c r="T35">
        <v>2</v>
      </c>
      <c r="U35">
        <v>1</v>
      </c>
      <c r="V35" t="str">
        <v>Appartement</v>
      </c>
      <c r="W35" t="str">
        <v>Appartement</v>
      </c>
      <c r="X35" t="str">
        <v>Appartement 50-75 m²</v>
      </c>
      <c r="Y35" t="str">
        <v>Ja</v>
      </c>
      <c r="Z35" t="str">
        <v>garage</v>
      </c>
      <c r="AA35" t="str">
        <v>2023</v>
      </c>
      <c r="AB35" t="str">
        <v>Nee</v>
      </c>
      <c r="AC35" t="str">
        <v>JA</v>
      </c>
      <c r="AD35" t="str">
        <v>JA</v>
      </c>
    </row>
    <row r="36">
      <c r="A36" t="str">
        <v>44420600</v>
      </c>
      <c r="B36" t="str">
        <v>https://www.funda.nl/detail/koop/amsterdam/appartement-type-g-momiji-bouwnr-7/44420600/</v>
      </c>
      <c r="C36" t="str">
        <v>Nobu Residences Park Meadows</v>
      </c>
      <c r="D36" t="str">
        <v>Type G - Momiji</v>
      </c>
      <c r="E36" t="str">
        <v>7</v>
      </c>
      <c r="F36" t="str">
        <v>1077 WW</v>
      </c>
      <c r="G36" t="str">
        <v>Amsterdam</v>
      </c>
      <c r="H36" t="str">
        <v>Amsterdam</v>
      </c>
      <c r="I36" t="str">
        <v>Noord-Holland</v>
      </c>
      <c r="J36" t="str">
        <v>West-Nederland</v>
      </c>
      <c r="K36" t="str">
        <v>Te koop</v>
      </c>
      <c r="L36" t="str">
        <v>Onbekend</v>
      </c>
      <c r="M36" t="str">
        <v>Onbekend</v>
      </c>
      <c r="N36">
        <v>1323000</v>
      </c>
      <c r="O36" t="str">
        <v>v.o.n.</v>
      </c>
      <c r="P36">
        <v>83</v>
      </c>
      <c r="Q36">
        <v>15940</v>
      </c>
      <c r="R36" t="str">
        <v>Onbekend</v>
      </c>
      <c r="S36" t="str">
        <v>Niet beschikbaar</v>
      </c>
      <c r="T36">
        <v>3</v>
      </c>
      <c r="U36">
        <v>2</v>
      </c>
      <c r="V36" t="str">
        <v>Appartement</v>
      </c>
      <c r="W36" t="str">
        <v>Appartement</v>
      </c>
      <c r="X36" t="str">
        <v>Appartement 75-100 m²</v>
      </c>
      <c r="Y36" t="str">
        <v>Ja</v>
      </c>
      <c r="Z36" t="str">
        <v>garage</v>
      </c>
      <c r="AA36" t="str">
        <v>2023</v>
      </c>
      <c r="AB36" t="str">
        <v>Nee</v>
      </c>
      <c r="AC36" t="str">
        <v>JA</v>
      </c>
      <c r="AD36" t="str">
        <v>JA</v>
      </c>
    </row>
    <row r="37">
      <c r="A37" t="str">
        <v>44429837</v>
      </c>
      <c r="B37" t="str">
        <v>https://www.funda.nl/detail/koop/amsterdam/appartement-cortado-waterfront-95-100-bouwnr-507/44429837/</v>
      </c>
      <c r="C37" t="str">
        <v>ACE Amsterdam fase 2</v>
      </c>
      <c r="D37" t="str">
        <v>Cortado Waterfront 95-100</v>
      </c>
      <c r="E37" t="str">
        <v>507*</v>
      </c>
      <c r="F37" t="str">
        <v>1064 AB</v>
      </c>
      <c r="G37" t="str">
        <v>Amsterdam</v>
      </c>
      <c r="H37" t="str">
        <v>Amsterdam</v>
      </c>
      <c r="I37" t="str">
        <v>Noord-Holland</v>
      </c>
      <c r="J37" t="str">
        <v>West-Nederland</v>
      </c>
      <c r="K37" t="str">
        <v>Te koop</v>
      </c>
      <c r="L37" t="str">
        <v>Onbekend</v>
      </c>
      <c r="M37" t="str">
        <v>Onbekend</v>
      </c>
      <c r="N37">
        <v>694000</v>
      </c>
      <c r="O37" t="str">
        <v>v.o.n.</v>
      </c>
      <c r="P37">
        <v>91</v>
      </c>
      <c r="Q37">
        <v>7626</v>
      </c>
      <c r="R37" t="str">
        <v>Onbekend</v>
      </c>
      <c r="S37" t="str">
        <v>A++</v>
      </c>
      <c r="T37">
        <v>3</v>
      </c>
      <c r="U37">
        <v>2</v>
      </c>
      <c r="V37" t="str">
        <v>Appartement</v>
      </c>
      <c r="W37" t="str">
        <v>Appartement</v>
      </c>
      <c r="X37" t="str">
        <v>Appartement 75-100 m²</v>
      </c>
      <c r="Y37" t="str">
        <v>Ja</v>
      </c>
      <c r="Z37" t="str">
        <v>garage</v>
      </c>
      <c r="AA37" t="str">
        <v>2028</v>
      </c>
      <c r="AB37" t="str">
        <v>Nee</v>
      </c>
      <c r="AC37" t="str">
        <v>NEE</v>
      </c>
      <c r="AD37" t="str">
        <v>JA</v>
      </c>
    </row>
    <row r="38">
      <c r="A38" t="str">
        <v>44429876</v>
      </c>
      <c r="B38" t="str">
        <v>https://www.funda.nl/detail/koop/amsterdam/appartement-cortado-waterfront-95-100-bouwnr-499/44429876/</v>
      </c>
      <c r="C38" t="str">
        <v>ACE Amsterdam fase 2</v>
      </c>
      <c r="D38" t="str">
        <v>Cortado Waterfront 95-100</v>
      </c>
      <c r="E38" t="str">
        <v>499</v>
      </c>
      <c r="F38" t="str">
        <v>1064 AB</v>
      </c>
      <c r="G38" t="str">
        <v>Amsterdam</v>
      </c>
      <c r="H38" t="str">
        <v>Amsterdam</v>
      </c>
      <c r="I38" t="str">
        <v>Noord-Holland</v>
      </c>
      <c r="J38" t="str">
        <v>West-Nederland</v>
      </c>
      <c r="K38" t="str">
        <v>Te koop</v>
      </c>
      <c r="L38" t="str">
        <v>Onbekend</v>
      </c>
      <c r="M38" t="str">
        <v>Onbekend</v>
      </c>
      <c r="N38">
        <v>684000</v>
      </c>
      <c r="O38" t="str">
        <v>v.o.n.</v>
      </c>
      <c r="P38">
        <v>91</v>
      </c>
      <c r="Q38">
        <v>7516</v>
      </c>
      <c r="R38" t="str">
        <v>Onbekend</v>
      </c>
      <c r="S38" t="str">
        <v>A++</v>
      </c>
      <c r="T38">
        <v>4</v>
      </c>
      <c r="U38">
        <v>3</v>
      </c>
      <c r="V38" t="str">
        <v>Appartement</v>
      </c>
      <c r="W38" t="str">
        <v>Appartement</v>
      </c>
      <c r="X38" t="str">
        <v>Appartement 75-100 m²</v>
      </c>
      <c r="Y38" t="str">
        <v>Ja</v>
      </c>
      <c r="Z38" t="str">
        <v>garage</v>
      </c>
      <c r="AA38" t="str">
        <v>2028</v>
      </c>
      <c r="AB38" t="str">
        <v>Nee</v>
      </c>
      <c r="AC38" t="str">
        <v>NEE</v>
      </c>
      <c r="AD38" t="str">
        <v>JA</v>
      </c>
    </row>
    <row r="39">
      <c r="A39" t="str">
        <v>44429834</v>
      </c>
      <c r="B39" t="str">
        <v>https://www.funda.nl/detail/koop/amsterdam/appartement-waterfront-95-100-bouwnr-508/44429834/</v>
      </c>
      <c r="C39" t="str">
        <v>ACE Amsterdam fase 2</v>
      </c>
      <c r="D39" t="str">
        <v>Waterfront 95-100</v>
      </c>
      <c r="E39" t="str">
        <v>508*</v>
      </c>
      <c r="F39" t="str">
        <v>1064 AB</v>
      </c>
      <c r="G39" t="str">
        <v>Amsterdam</v>
      </c>
      <c r="H39" t="str">
        <v>Amsterdam</v>
      </c>
      <c r="I39" t="str">
        <v>Noord-Holland</v>
      </c>
      <c r="J39" t="str">
        <v>West-Nederland</v>
      </c>
      <c r="K39" t="str">
        <v>Te koop</v>
      </c>
      <c r="L39" t="str">
        <v>Onbekend</v>
      </c>
      <c r="M39" t="str">
        <v>Onbekend</v>
      </c>
      <c r="N39">
        <v>689000</v>
      </c>
      <c r="O39" t="str">
        <v>v.o.n.</v>
      </c>
      <c r="P39">
        <v>91</v>
      </c>
      <c r="Q39">
        <v>7571</v>
      </c>
      <c r="R39" t="str">
        <v>Onbekend</v>
      </c>
      <c r="S39" t="str">
        <v>A++</v>
      </c>
      <c r="T39">
        <v>3</v>
      </c>
      <c r="U39">
        <v>2</v>
      </c>
      <c r="V39" t="str">
        <v>Appartement</v>
      </c>
      <c r="W39" t="str">
        <v>Appartement</v>
      </c>
      <c r="X39" t="str">
        <v>Appartement 75-100 m²</v>
      </c>
      <c r="Y39" t="str">
        <v>Ja</v>
      </c>
      <c r="Z39" t="str">
        <v>garage</v>
      </c>
      <c r="AA39" t="str">
        <v>2028</v>
      </c>
      <c r="AB39" t="str">
        <v>Nee</v>
      </c>
      <c r="AC39" t="str">
        <v>NEE</v>
      </c>
      <c r="AD39" t="str">
        <v>JA</v>
      </c>
    </row>
    <row r="40">
      <c r="A40" t="str">
        <v>44429302</v>
      </c>
      <c r="B40" t="str">
        <v>https://www.funda.nl/detail/koop/amsterdam/huis-van-moerkerkenstraat-37/44429302/</v>
      </c>
      <c r="C40" t="str">
        <v>Onbekend</v>
      </c>
      <c r="D40" t="str">
        <v>Van Moerkerkenstraat 37</v>
      </c>
      <c r="E40" t="str">
        <v>Onbekend</v>
      </c>
      <c r="F40" t="str">
        <v>1064 KC</v>
      </c>
      <c r="G40" t="str">
        <v>Amsterdam</v>
      </c>
      <c r="H40" t="str">
        <v>Amsterdam</v>
      </c>
      <c r="I40" t="str">
        <v>Noord-Holland</v>
      </c>
      <c r="J40" t="str">
        <v>West-Nederland</v>
      </c>
      <c r="K40" t="str">
        <v>Te koop</v>
      </c>
      <c r="L40" t="str">
        <v>Onbekend</v>
      </c>
      <c r="M40" t="str">
        <v>Onbekend</v>
      </c>
      <c r="N40">
        <v>450000</v>
      </c>
      <c r="O40" t="str">
        <v>v.o.n.</v>
      </c>
      <c r="P40">
        <v>83</v>
      </c>
      <c r="Q40">
        <v>5422</v>
      </c>
      <c r="R40">
        <v>45</v>
      </c>
      <c r="S40" t="str">
        <v>A++</v>
      </c>
      <c r="T40">
        <v>4</v>
      </c>
      <c r="U40">
        <v>3</v>
      </c>
      <c r="V40" t="str">
        <v>Grondgebonden</v>
      </c>
      <c r="W40" t="str">
        <v>Hoekwoning</v>
      </c>
      <c r="X40" t="str">
        <v>N.v.t.</v>
      </c>
      <c r="Y40" t="str">
        <v>Ja</v>
      </c>
      <c r="Z40" t="str">
        <v>openbare parkeerplaats</v>
      </c>
      <c r="AA40" t="str">
        <v>2026</v>
      </c>
      <c r="AB40" t="str">
        <v>Nee</v>
      </c>
      <c r="AC40" t="str">
        <v>NEE</v>
      </c>
      <c r="AD40" t="str">
        <v>JA</v>
      </c>
    </row>
    <row r="41">
      <c r="A41" t="str">
        <v>44428997</v>
      </c>
      <c r="B41" t="str">
        <v>https://www.funda.nl/detail/koop/amsterdam/huis-van-moerkerkenstraat-35/44428997/</v>
      </c>
      <c r="C41" t="str">
        <v>Onbekend</v>
      </c>
      <c r="D41" t="str">
        <v>Van Moerkerkenstraat 35</v>
      </c>
      <c r="E41" t="str">
        <v>Onbekend</v>
      </c>
      <c r="F41" t="str">
        <v>1064 KC</v>
      </c>
      <c r="G41" t="str">
        <v>Amsterdam</v>
      </c>
      <c r="H41" t="str">
        <v>Amsterdam</v>
      </c>
      <c r="I41" t="str">
        <v>Noord-Holland</v>
      </c>
      <c r="J41" t="str">
        <v>West-Nederland</v>
      </c>
      <c r="K41" t="str">
        <v>Te koop</v>
      </c>
      <c r="L41" t="str">
        <v>Onbekend</v>
      </c>
      <c r="M41" t="str">
        <v>Onbekend</v>
      </c>
      <c r="N41">
        <v>475000</v>
      </c>
      <c r="O41" t="str">
        <v>v.o.n.</v>
      </c>
      <c r="P41">
        <v>82</v>
      </c>
      <c r="Q41">
        <v>5793</v>
      </c>
      <c r="R41">
        <v>58</v>
      </c>
      <c r="S41" t="str">
        <v>A++</v>
      </c>
      <c r="T41">
        <v>4</v>
      </c>
      <c r="U41">
        <v>3</v>
      </c>
      <c r="V41" t="str">
        <v>Grondgebonden</v>
      </c>
      <c r="W41" t="str">
        <v>Tussenwoning</v>
      </c>
      <c r="X41" t="str">
        <v>N.v.t.</v>
      </c>
      <c r="Y41" t="str">
        <v>Ja</v>
      </c>
      <c r="Z41" t="str">
        <v>openbare parkeerplaats</v>
      </c>
      <c r="AA41" t="str">
        <v>2026</v>
      </c>
      <c r="AB41" t="str">
        <v>Nee</v>
      </c>
      <c r="AC41" t="str">
        <v>NEE</v>
      </c>
      <c r="AD41" t="str">
        <v>JA</v>
      </c>
    </row>
  </sheetData>
  <autoFilter ref="A26:AD41"/>
  <ignoredErrors>
    <ignoredError numberStoredAsText="1" sqref="A1:AD4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Bergen op Zoom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250000</v>
      </c>
    </row>
    <row r="9">
      <c r="A9" t="str">
        <v>Mediaan VON-prijs (€)</v>
      </c>
      <c r="B9">
        <v>250000</v>
      </c>
    </row>
    <row r="10">
      <c r="A10" t="str">
        <v>Gemiddelde VON-prijs per m² (€)</v>
      </c>
      <c r="B10">
        <v>4386</v>
      </c>
    </row>
    <row r="11">
      <c r="A11" t="str">
        <v>Mediaan VON-prijs per m² (€)</v>
      </c>
      <c r="B11">
        <v>4386</v>
      </c>
    </row>
    <row r="12">
      <c r="A12" t="str">
        <v>Gemiddelde GBO (m²)</v>
      </c>
      <c r="B12">
        <v>57</v>
      </c>
    </row>
    <row r="13">
      <c r="A13" t="str">
        <v>Gemiddelde looptijd (dagen)</v>
      </c>
      <c r="B13">
        <v>8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50-75 m²</v>
      </c>
      <c r="B19">
        <v>1</v>
      </c>
    </row>
    <row r="21">
      <c r="A21" t="str">
        <v>Alle woningen in Bergen op Zoom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80882869</v>
      </c>
      <c r="B23" t="str">
        <v>https://www.funda.nl/detail/koop/bergen-op-zoom/appartement-van-der-rijtstraat-bouwnr-3/80882869/</v>
      </c>
      <c r="C23" t="str">
        <v>Citylofts ANNO52</v>
      </c>
      <c r="D23" t="str">
        <v>Van der Rijtstraat</v>
      </c>
      <c r="E23" t="str">
        <v>3</v>
      </c>
      <c r="F23" t="str">
        <v>4611 PR</v>
      </c>
      <c r="G23" t="str">
        <v>Bergen op Zoom</v>
      </c>
      <c r="H23" t="str">
        <v>Bergen op Zoom</v>
      </c>
      <c r="I23" t="str">
        <v>Noord-Brabant</v>
      </c>
      <c r="J23" t="str">
        <v>Zuid-Nederland</v>
      </c>
      <c r="K23" t="str">
        <v>Te koop</v>
      </c>
      <c r="L23" t="str">
        <v>2026-07-05</v>
      </c>
      <c r="M23">
        <v>8</v>
      </c>
      <c r="N23">
        <v>250000</v>
      </c>
      <c r="O23" t="str">
        <v>v.o.n.</v>
      </c>
      <c r="P23">
        <v>57</v>
      </c>
      <c r="Q23">
        <v>4386</v>
      </c>
      <c r="R23" t="str">
        <v>Onbekend</v>
      </c>
      <c r="S23" t="str">
        <v>A+</v>
      </c>
      <c r="T23">
        <v>1</v>
      </c>
      <c r="U23" t="str">
        <v>Onbekend</v>
      </c>
      <c r="V23" t="str">
        <v>Appartement</v>
      </c>
      <c r="W23" t="str">
        <v>Appartement</v>
      </c>
      <c r="X23" t="str">
        <v>Appartement 50-75 m²</v>
      </c>
      <c r="Y23" t="str">
        <v>Ja</v>
      </c>
      <c r="Z23" t="str">
        <v>garage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Berkelland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350000</v>
      </c>
    </row>
    <row r="9">
      <c r="A9" t="str">
        <v>Mediaan VON-prijs (€)</v>
      </c>
      <c r="B9">
        <v>350000</v>
      </c>
    </row>
    <row r="10">
      <c r="A10" t="str">
        <v>Gemiddelde VON-prijs per m² (€)</v>
      </c>
      <c r="B10">
        <v>1777</v>
      </c>
    </row>
    <row r="11">
      <c r="A11" t="str">
        <v>Mediaan VON-prijs per m² (€)</v>
      </c>
      <c r="B11">
        <v>1777</v>
      </c>
    </row>
    <row r="12">
      <c r="A12" t="str">
        <v>Gemiddelde GBO (m²)</v>
      </c>
      <c r="B12">
        <v>197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Berkelland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44429388</v>
      </c>
      <c r="B23" t="str">
        <v>https://www.funda.nl/detail/koop/rekken/huis-zuid-rekkenseweg/44429388/</v>
      </c>
      <c r="C23" t="str">
        <v>Onbekend</v>
      </c>
      <c r="D23" t="str">
        <v>Zuid Rekkenseweg</v>
      </c>
      <c r="E23" t="str">
        <v>Onbekend</v>
      </c>
      <c r="F23" t="str">
        <v>7157 BB</v>
      </c>
      <c r="G23" t="str">
        <v>Rekken</v>
      </c>
      <c r="H23" t="str">
        <v>Berkelland</v>
      </c>
      <c r="I23" t="str">
        <v>Gelderland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350000</v>
      </c>
      <c r="O23" t="str">
        <v>k.k.</v>
      </c>
      <c r="P23">
        <v>197</v>
      </c>
      <c r="Q23">
        <v>1777</v>
      </c>
      <c r="R23">
        <v>1195</v>
      </c>
      <c r="S23" t="str">
        <v>G</v>
      </c>
      <c r="T23">
        <v>2</v>
      </c>
      <c r="U23" t="str">
        <v>Onbekend</v>
      </c>
      <c r="V23" t="str">
        <v>Grondgebonden</v>
      </c>
      <c r="W23" t="str">
        <v>Vrijstaande woning</v>
      </c>
      <c r="X23" t="str">
        <v>N.v.t.</v>
      </c>
      <c r="Y23" t="str">
        <v>Ja</v>
      </c>
      <c r="Z23" t="str">
        <v>eigen parkeerplaats</v>
      </c>
      <c r="AA23" t="str">
        <v>1920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D26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Bernheze</v>
      </c>
    </row>
    <row r="3">
      <c r="A3" t="str">
        <v>Samenvatting</v>
      </c>
    </row>
    <row r="4">
      <c r="A4" t="str">
        <v>Aantal woningen</v>
      </c>
      <c r="B4">
        <v>4</v>
      </c>
    </row>
    <row r="5">
      <c r="A5" t="str">
        <v>Aantal te koop</v>
      </c>
      <c r="B5">
        <v>4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521800</v>
      </c>
    </row>
    <row r="9">
      <c r="A9" t="str">
        <v>Mediaan VON-prijs (€)</v>
      </c>
      <c r="B9">
        <v>522050</v>
      </c>
    </row>
    <row r="10">
      <c r="A10" t="str">
        <v>Gemiddelde VON-prijs per m² (€)</v>
      </c>
      <c r="B10">
        <v>4077</v>
      </c>
    </row>
    <row r="11">
      <c r="A11" t="str">
        <v>Mediaan VON-prijs per m² (€)</v>
      </c>
      <c r="B11">
        <v>4079</v>
      </c>
    </row>
    <row r="12">
      <c r="A12" t="str">
        <v>Gemiddelde GBO (m²)</v>
      </c>
      <c r="B12">
        <v>128</v>
      </c>
    </row>
    <row r="13">
      <c r="A13" t="str">
        <v>Gemiddelde looptijd (dagen)</v>
      </c>
      <c r="B13">
        <v>4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Tussenwoning</v>
      </c>
      <c r="B17">
        <v>4</v>
      </c>
    </row>
    <row r="19">
      <c r="A19" t="str">
        <v>Uitsplitsing appartementcategorieen</v>
      </c>
      <c r="B19" t="str">
        <v>Aantal</v>
      </c>
    </row>
    <row r="21">
      <c r="A21" t="str">
        <v>Alle woningen in Bernheze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44421067</v>
      </c>
      <c r="B23" t="str">
        <v>https://www.funda.nl/detail/koop/heeswijk-dinther/huis-drie-onder-een-kapwoningen-type-o-bouwnr-75/44421067/</v>
      </c>
      <c r="C23" t="str">
        <v>Kamersche Hoef Fase 2</v>
      </c>
      <c r="D23" t="str">
        <v>Drie-onder-één-kapwoningen | Type O</v>
      </c>
      <c r="E23" t="str">
        <v>75</v>
      </c>
      <c r="F23" t="str">
        <v>5473 AJ</v>
      </c>
      <c r="G23" t="str">
        <v>Heeswijk-Dinther</v>
      </c>
      <c r="H23" t="str">
        <v>Bernheze</v>
      </c>
      <c r="I23" t="str">
        <v>Noord-Brabant</v>
      </c>
      <c r="J23" t="str">
        <v>Zuid-Nederland</v>
      </c>
      <c r="K23" t="str">
        <v>Te koop</v>
      </c>
      <c r="L23" t="str">
        <v>Onbekend</v>
      </c>
      <c r="M23" t="str">
        <v>Onbekend</v>
      </c>
      <c r="N23">
        <v>518300</v>
      </c>
      <c r="O23" t="str">
        <v>v.o.n.</v>
      </c>
      <c r="P23">
        <v>128</v>
      </c>
      <c r="Q23">
        <v>4049</v>
      </c>
      <c r="R23">
        <v>152</v>
      </c>
      <c r="S23" t="str">
        <v>A+++</v>
      </c>
      <c r="T23">
        <v>5</v>
      </c>
      <c r="U23">
        <v>3</v>
      </c>
      <c r="V23" t="str">
        <v>Grondgebonden</v>
      </c>
      <c r="W23" t="str">
        <v>Tussenwoning</v>
      </c>
      <c r="X23" t="str">
        <v>N.v.t.</v>
      </c>
      <c r="Y23" t="str">
        <v>Ja</v>
      </c>
      <c r="Z23" t="str">
        <v>openbare parkeerplaats</v>
      </c>
      <c r="AA23" t="str">
        <v>2026</v>
      </c>
      <c r="AB23" t="str">
        <v>Nee</v>
      </c>
      <c r="AC23" t="str">
        <v>NEE</v>
      </c>
      <c r="AD23" t="str">
        <v>JA</v>
      </c>
    </row>
    <row r="24">
      <c r="A24" t="str">
        <v>44421262</v>
      </c>
      <c r="B24" t="str">
        <v>https://www.funda.nl/detail/koop/heeswijk-dinther/huis-drie-onder-een-kapwoningen-type-o-bouwnr-100/44421262/</v>
      </c>
      <c r="C24" t="str">
        <v>Kamersche Hoef Fase 2</v>
      </c>
      <c r="D24" t="str">
        <v>Drie-onder-één-kapwoningen | Type O</v>
      </c>
      <c r="E24" t="str">
        <v>100</v>
      </c>
      <c r="F24" t="str">
        <v>5473 AJ</v>
      </c>
      <c r="G24" t="str">
        <v>Heeswijk-Dinther</v>
      </c>
      <c r="H24" t="str">
        <v>Bernheze</v>
      </c>
      <c r="I24" t="str">
        <v>Noord-Brabant</v>
      </c>
      <c r="J24" t="str">
        <v>Zuid-Nederland</v>
      </c>
      <c r="K24" t="str">
        <v>Te koop</v>
      </c>
      <c r="L24" t="str">
        <v>2026-07-09</v>
      </c>
      <c r="M24">
        <v>4</v>
      </c>
      <c r="N24">
        <v>524800</v>
      </c>
      <c r="O24" t="str">
        <v>v.o.n.</v>
      </c>
      <c r="P24">
        <v>128</v>
      </c>
      <c r="Q24">
        <v>4100</v>
      </c>
      <c r="R24">
        <v>165</v>
      </c>
      <c r="S24" t="str">
        <v>A+++</v>
      </c>
      <c r="T24">
        <v>5</v>
      </c>
      <c r="U24">
        <v>3</v>
      </c>
      <c r="V24" t="str">
        <v>Grondgebonden</v>
      </c>
      <c r="W24" t="str">
        <v>Tussenwoning</v>
      </c>
      <c r="X24" t="str">
        <v>N.v.t.</v>
      </c>
      <c r="Y24" t="str">
        <v>Ja</v>
      </c>
      <c r="Z24" t="str">
        <v>openbare parkeerplaats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44421150</v>
      </c>
      <c r="B25" t="str">
        <v>https://www.funda.nl/detail/koop/heeswijk-dinther/huis-drie-onder-een-kapwoningen-type-o-bouwnr-87/44421150/</v>
      </c>
      <c r="C25" t="str">
        <v>Kamersche Hoef Fase 2</v>
      </c>
      <c r="D25" t="str">
        <v>Drie-onder-één-kapwoningen | Type O</v>
      </c>
      <c r="E25" t="str">
        <v>87</v>
      </c>
      <c r="F25" t="str">
        <v>5473 AJ</v>
      </c>
      <c r="G25" t="str">
        <v>Heeswijk-Dinther</v>
      </c>
      <c r="H25" t="str">
        <v>Bernheze</v>
      </c>
      <c r="I25" t="str">
        <v>Noord-Brabant</v>
      </c>
      <c r="J25" t="str">
        <v>Zuid-Nederland</v>
      </c>
      <c r="K25" t="str">
        <v>Te koop</v>
      </c>
      <c r="L25" t="str">
        <v>Onbekend</v>
      </c>
      <c r="M25" t="str">
        <v>Onbekend</v>
      </c>
      <c r="N25">
        <v>519300</v>
      </c>
      <c r="O25" t="str">
        <v>v.o.n.</v>
      </c>
      <c r="P25">
        <v>128</v>
      </c>
      <c r="Q25">
        <v>4057</v>
      </c>
      <c r="R25">
        <v>154</v>
      </c>
      <c r="S25" t="str">
        <v>A+++</v>
      </c>
      <c r="T25">
        <v>5</v>
      </c>
      <c r="U25">
        <v>3</v>
      </c>
      <c r="V25" t="str">
        <v>Grondgebonden</v>
      </c>
      <c r="W25" t="str">
        <v>Tussenwoning</v>
      </c>
      <c r="X25" t="str">
        <v>N.v.t.</v>
      </c>
      <c r="Y25" t="str">
        <v>Ja</v>
      </c>
      <c r="Z25" t="str">
        <v>openbare parkeerplaats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44421287</v>
      </c>
      <c r="B26" t="str">
        <v>https://www.funda.nl/detail/koop/heeswijk-dinther/huis-peerheuvel-tiend-11/44421287/</v>
      </c>
      <c r="C26" t="str">
        <v>Onbekend</v>
      </c>
      <c r="D26" t="str">
        <v>Peerheuvel Tiend 11</v>
      </c>
      <c r="E26" t="str">
        <v>Onbekend</v>
      </c>
      <c r="F26" t="str">
        <v>5473</v>
      </c>
      <c r="G26" t="str">
        <v>Heeswijk-Dinther</v>
      </c>
      <c r="H26" t="str">
        <v>Bernheze</v>
      </c>
      <c r="I26" t="str">
        <v>Noord-Brabant</v>
      </c>
      <c r="J26" t="str">
        <v>Zuid-Nederland</v>
      </c>
      <c r="K26" t="str">
        <v>Te koop</v>
      </c>
      <c r="L26" t="str">
        <v>Onbekend</v>
      </c>
      <c r="M26" t="str">
        <v>Onbekend</v>
      </c>
      <c r="N26">
        <v>524800</v>
      </c>
      <c r="O26" t="str">
        <v>v.o.n.</v>
      </c>
      <c r="P26">
        <v>128</v>
      </c>
      <c r="Q26">
        <v>4100</v>
      </c>
      <c r="R26">
        <v>165</v>
      </c>
      <c r="S26" t="str">
        <v>A+++</v>
      </c>
      <c r="T26">
        <v>5</v>
      </c>
      <c r="U26">
        <v>3</v>
      </c>
      <c r="V26" t="str">
        <v>Grondgebonden</v>
      </c>
      <c r="W26" t="str">
        <v>Tussenwoning</v>
      </c>
      <c r="X26" t="str">
        <v>N.v.t.</v>
      </c>
      <c r="Y26" t="str">
        <v>Ja</v>
      </c>
      <c r="Z26" t="str">
        <v>openbare parkeerplaats</v>
      </c>
      <c r="AA26" t="str">
        <v>Na 2020</v>
      </c>
      <c r="AB26" t="str">
        <v>Nee</v>
      </c>
      <c r="AC26" t="str">
        <v>NEE</v>
      </c>
      <c r="AD26" t="str">
        <v>JA</v>
      </c>
    </row>
  </sheetData>
  <autoFilter ref="A22:AD26"/>
  <ignoredErrors>
    <ignoredError numberStoredAsText="1" sqref="A1:AD2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Borsele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585000</v>
      </c>
    </row>
    <row r="9">
      <c r="A9" t="str">
        <v>Mediaan VON-prijs (€)</v>
      </c>
      <c r="B9">
        <v>585000</v>
      </c>
    </row>
    <row r="10">
      <c r="A10" t="str">
        <v>Gemiddelde VON-prijs per m² (€)</v>
      </c>
      <c r="B10">
        <v>3611</v>
      </c>
    </row>
    <row r="11">
      <c r="A11" t="str">
        <v>Mediaan VON-prijs per m² (€)</v>
      </c>
      <c r="B11">
        <v>3611</v>
      </c>
    </row>
    <row r="12">
      <c r="A12" t="str">
        <v>Gemiddelde GBO (m²)</v>
      </c>
      <c r="B12">
        <v>162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Borsele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80888079</v>
      </c>
      <c r="B23" t="str">
        <v>https://www.funda.nl/detail/koop/borssele/huis-oostkerkestraat-2a/80888079/</v>
      </c>
      <c r="C23" t="str">
        <v>Onbekend</v>
      </c>
      <c r="D23" t="str">
        <v>Oostkerkestraat 2a</v>
      </c>
      <c r="E23" t="str">
        <v>Onbekend</v>
      </c>
      <c r="F23" t="str">
        <v>4454 BZ</v>
      </c>
      <c r="G23" t="str">
        <v>Borssele</v>
      </c>
      <c r="H23" t="str">
        <v>Borsele</v>
      </c>
      <c r="I23" t="str">
        <v>Zeeland</v>
      </c>
      <c r="J23" t="str">
        <v>West-Nederland</v>
      </c>
      <c r="K23" t="str">
        <v>Te koop</v>
      </c>
      <c r="L23" t="str">
        <v>Onbekend</v>
      </c>
      <c r="M23" t="str">
        <v>Onbekend</v>
      </c>
      <c r="N23">
        <v>585000</v>
      </c>
      <c r="O23" t="str">
        <v>v.o.n.</v>
      </c>
      <c r="P23">
        <v>162</v>
      </c>
      <c r="Q23">
        <v>3611</v>
      </c>
      <c r="R23">
        <v>734</v>
      </c>
      <c r="S23" t="str">
        <v>Niet beschikbaar</v>
      </c>
      <c r="T23">
        <v>5</v>
      </c>
      <c r="U23">
        <v>3</v>
      </c>
      <c r="V23" t="str">
        <v>Grondgebonden</v>
      </c>
      <c r="W23" t="str">
        <v>Vrijstaande woning</v>
      </c>
      <c r="X23" t="str">
        <v>N.v.t.</v>
      </c>
      <c r="Y23" t="str">
        <v>Ja</v>
      </c>
      <c r="Z23" t="str">
        <v>openbare parkeerplaats</v>
      </c>
      <c r="AA23" t="str">
        <v>Na 2020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D29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Breda</v>
      </c>
    </row>
    <row r="3">
      <c r="A3" t="str">
        <v>Samenvatting</v>
      </c>
    </row>
    <row r="4">
      <c r="A4" t="str">
        <v>Aantal woningen</v>
      </c>
      <c r="B4">
        <v>6</v>
      </c>
    </row>
    <row r="5">
      <c r="A5" t="str">
        <v>Aantal te koop</v>
      </c>
      <c r="B5">
        <v>6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439167</v>
      </c>
    </row>
    <row r="9">
      <c r="A9" t="str">
        <v>Mediaan VON-prijs (€)</v>
      </c>
      <c r="B9">
        <v>457500</v>
      </c>
    </row>
    <row r="10">
      <c r="A10" t="str">
        <v>Gemiddelde VON-prijs per m² (€)</v>
      </c>
      <c r="B10">
        <v>5761</v>
      </c>
    </row>
    <row r="11">
      <c r="A11" t="str">
        <v>Mediaan VON-prijs per m² (€)</v>
      </c>
      <c r="B11">
        <v>5817</v>
      </c>
    </row>
    <row r="12">
      <c r="A12" t="str">
        <v>Gemiddelde GBO (m²)</v>
      </c>
      <c r="B12">
        <v>76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50-75 m²</v>
      </c>
      <c r="B19">
        <v>2</v>
      </c>
    </row>
    <row r="20">
      <c r="A20" t="str">
        <v>Appartement 75-100 m²</v>
      </c>
      <c r="B20">
        <v>4</v>
      </c>
    </row>
    <row r="22">
      <c r="A22" t="str">
        <v>Alle woningen in Breda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44424267</v>
      </c>
      <c r="B24" t="str">
        <v>https://www.funda.nl/detail/koop/breda/appartement-groot-ypelaardreef-12-bouwnr-b1/44424267/</v>
      </c>
      <c r="C24" t="str">
        <v>De YP | 6 nieuwbouw appartementen | Start verkoop augustus 2026 | Schrijf je in!</v>
      </c>
      <c r="D24" t="str">
        <v>Groot Ypelaardreef 12 -</v>
      </c>
      <c r="E24" t="str">
        <v>B1</v>
      </c>
      <c r="F24" t="str">
        <v>4834 HD</v>
      </c>
      <c r="G24" t="str">
        <v>Breda</v>
      </c>
      <c r="H24" t="str">
        <v>Breda</v>
      </c>
      <c r="I24" t="str">
        <v>Noord-Brabant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460000</v>
      </c>
      <c r="O24" t="str">
        <v>v.o.n.</v>
      </c>
      <c r="P24">
        <v>79</v>
      </c>
      <c r="Q24">
        <v>5823</v>
      </c>
      <c r="R24" t="str">
        <v>Onbekend</v>
      </c>
      <c r="S24" t="str">
        <v>A+++</v>
      </c>
      <c r="T24">
        <v>3</v>
      </c>
      <c r="U24">
        <v>2</v>
      </c>
      <c r="V24" t="str">
        <v>Appartement</v>
      </c>
      <c r="W24" t="str">
        <v>Appartement</v>
      </c>
      <c r="X24" t="str">
        <v>Appartement 75-100 m²</v>
      </c>
      <c r="Y24" t="str">
        <v>Ja</v>
      </c>
      <c r="Z24" t="str">
        <v>eigen parkeerplaats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44424266</v>
      </c>
      <c r="B25" t="str">
        <v>https://www.funda.nl/detail/koop/breda/appartement-groot-ypelaardreef-12-bouwnr-a1/44424266/</v>
      </c>
      <c r="C25" t="str">
        <v>De YP | 6 nieuwbouw appartementen | Start verkoop augustus 2026 | Schrijf je in!</v>
      </c>
      <c r="D25" t="str">
        <v>Groot Ypelaardreef 12 -</v>
      </c>
      <c r="E25" t="str">
        <v>A1</v>
      </c>
      <c r="F25" t="str">
        <v>4834 HD</v>
      </c>
      <c r="G25" t="str">
        <v>Breda</v>
      </c>
      <c r="H25" t="str">
        <v>Breda</v>
      </c>
      <c r="I25" t="str">
        <v>Noord-Brabant</v>
      </c>
      <c r="J25" t="str">
        <v>Zuid-Nederland</v>
      </c>
      <c r="K25" t="str">
        <v>Te koop</v>
      </c>
      <c r="L25" t="str">
        <v>Onbekend</v>
      </c>
      <c r="M25" t="str">
        <v>Onbekend</v>
      </c>
      <c r="N25">
        <v>455000</v>
      </c>
      <c r="O25" t="str">
        <v>v.o.n.</v>
      </c>
      <c r="P25">
        <v>81</v>
      </c>
      <c r="Q25">
        <v>5617</v>
      </c>
      <c r="R25" t="str">
        <v>Onbekend</v>
      </c>
      <c r="S25" t="str">
        <v>A+++</v>
      </c>
      <c r="T25">
        <v>3</v>
      </c>
      <c r="U25">
        <v>2</v>
      </c>
      <c r="V25" t="str">
        <v>Appartement</v>
      </c>
      <c r="W25" t="str">
        <v>Appartement</v>
      </c>
      <c r="X25" t="str">
        <v>Appartement 75-100 m²</v>
      </c>
      <c r="Y25" t="str">
        <v>Ja</v>
      </c>
      <c r="Z25" t="str">
        <v>eigen parkeerplaats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44424265</v>
      </c>
      <c r="B26" t="str">
        <v>https://www.funda.nl/detail/koop/breda/appartement-groot-ypelaardreef-12-bouwnr-a3/44424265/</v>
      </c>
      <c r="C26" t="str">
        <v>De YP | 6 nieuwbouw appartementen | Start verkoop augustus 2026 | Schrijf je in!</v>
      </c>
      <c r="D26" t="str">
        <v>Groot Ypelaardreef 12 -</v>
      </c>
      <c r="E26" t="str">
        <v>A3</v>
      </c>
      <c r="F26" t="str">
        <v>4834 HD</v>
      </c>
      <c r="G26" t="str">
        <v>Breda</v>
      </c>
      <c r="H26" t="str">
        <v>Breda</v>
      </c>
      <c r="I26" t="str">
        <v>Noord-Brabant</v>
      </c>
      <c r="J26" t="str">
        <v>Zuid-Nederland</v>
      </c>
      <c r="K26" t="str">
        <v>Te koop</v>
      </c>
      <c r="L26" t="str">
        <v>Onbekend</v>
      </c>
      <c r="M26" t="str">
        <v>Onbekend</v>
      </c>
      <c r="N26">
        <v>470000</v>
      </c>
      <c r="O26" t="str">
        <v>v.o.n.</v>
      </c>
      <c r="P26">
        <v>84</v>
      </c>
      <c r="Q26">
        <v>5595</v>
      </c>
      <c r="R26" t="str">
        <v>Onbekend</v>
      </c>
      <c r="S26" t="str">
        <v>A+++</v>
      </c>
      <c r="T26">
        <v>3</v>
      </c>
      <c r="U26">
        <v>2</v>
      </c>
      <c r="V26" t="str">
        <v>Appartement</v>
      </c>
      <c r="W26" t="str">
        <v>Appartement</v>
      </c>
      <c r="X26" t="str">
        <v>Appartement 75-100 m²</v>
      </c>
      <c r="Y26" t="str">
        <v>Ja</v>
      </c>
      <c r="Z26" t="str">
        <v>eigen parkeerplaats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44424152</v>
      </c>
      <c r="B27" t="str">
        <v>https://www.funda.nl/detail/koop/breda/appartement-groot-ypelaardreef-12-bouwnr-b3/44424152/</v>
      </c>
      <c r="C27" t="str">
        <v>De YP | 6 nieuwbouw appartementen | Start verkoop augustus 2026 | Schrijf je in!</v>
      </c>
      <c r="D27" t="str">
        <v>Groot Ypelaardreef 12 -</v>
      </c>
      <c r="E27" t="str">
        <v>B3</v>
      </c>
      <c r="F27" t="str">
        <v>4834 HD</v>
      </c>
      <c r="G27" t="str">
        <v>Breda</v>
      </c>
      <c r="H27" t="str">
        <v>Breda</v>
      </c>
      <c r="I27" t="str">
        <v>Noord-Brabant</v>
      </c>
      <c r="J27" t="str">
        <v>Zuid-Nederland</v>
      </c>
      <c r="K27" t="str">
        <v>Te koop</v>
      </c>
      <c r="L27" t="str">
        <v>Onbekend</v>
      </c>
      <c r="M27" t="str">
        <v>Onbekend</v>
      </c>
      <c r="N27">
        <v>465000</v>
      </c>
      <c r="O27" t="str">
        <v>v.o.n.</v>
      </c>
      <c r="P27">
        <v>80</v>
      </c>
      <c r="Q27">
        <v>5812</v>
      </c>
      <c r="R27" t="str">
        <v>Onbekend</v>
      </c>
      <c r="S27" t="str">
        <v>A+++</v>
      </c>
      <c r="T27">
        <v>3</v>
      </c>
      <c r="U27">
        <v>2</v>
      </c>
      <c r="V27" t="str">
        <v>Appartement</v>
      </c>
      <c r="W27" t="str">
        <v>Appartement</v>
      </c>
      <c r="X27" t="str">
        <v>Appartement 75-100 m²</v>
      </c>
      <c r="Y27" t="str">
        <v>Ja</v>
      </c>
      <c r="Z27" t="str">
        <v>eigen parkeerplaats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44424268</v>
      </c>
      <c r="B28" t="str">
        <v>https://www.funda.nl/detail/koop/breda/appartement-groot-ypelaardreef-12-bouwnr-b2/44424268/</v>
      </c>
      <c r="C28" t="str">
        <v>De YP | 6 nieuwbouw appartementen | Start verkoop augustus 2026 | Schrijf je in!</v>
      </c>
      <c r="D28" t="str">
        <v>Groot Ypelaardreef 12 -</v>
      </c>
      <c r="E28" t="str">
        <v>B2</v>
      </c>
      <c r="F28" t="str">
        <v>4834 HD</v>
      </c>
      <c r="G28" t="str">
        <v>Breda</v>
      </c>
      <c r="H28" t="str">
        <v>Breda</v>
      </c>
      <c r="I28" t="str">
        <v>Noord-Brabant</v>
      </c>
      <c r="J28" t="str">
        <v>Zuid-Nederland</v>
      </c>
      <c r="K28" t="str">
        <v>Te koop</v>
      </c>
      <c r="L28" t="str">
        <v>Onbekend</v>
      </c>
      <c r="M28" t="str">
        <v>Onbekend</v>
      </c>
      <c r="N28">
        <v>395000</v>
      </c>
      <c r="O28" t="str">
        <v>v.o.n.</v>
      </c>
      <c r="P28">
        <v>67</v>
      </c>
      <c r="Q28">
        <v>5896</v>
      </c>
      <c r="R28" t="str">
        <v>Onbekend</v>
      </c>
      <c r="S28" t="str">
        <v>A+++</v>
      </c>
      <c r="T28">
        <v>2</v>
      </c>
      <c r="U28">
        <v>1</v>
      </c>
      <c r="V28" t="str">
        <v>Appartement</v>
      </c>
      <c r="W28" t="str">
        <v>Appartement</v>
      </c>
      <c r="X28" t="str">
        <v>Appartement 50-75 m²</v>
      </c>
      <c r="Y28" t="str">
        <v>Ja</v>
      </c>
      <c r="Z28" t="str">
        <v>eigen parkeerplaats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44424263</v>
      </c>
      <c r="B29" t="str">
        <v>https://www.funda.nl/detail/koop/breda/appartement-groot-ypelaardreef-12-bouwnr-a2/44424263/</v>
      </c>
      <c r="C29" t="str">
        <v>De YP | 6 nieuwbouw appartementen | Start verkoop augustus 2026 | Schrijf je in!</v>
      </c>
      <c r="D29" t="str">
        <v>Groot Ypelaardreef 12 -</v>
      </c>
      <c r="E29" t="str">
        <v>A2</v>
      </c>
      <c r="F29" t="str">
        <v>4834 HD</v>
      </c>
      <c r="G29" t="str">
        <v>Breda</v>
      </c>
      <c r="H29" t="str">
        <v>Breda</v>
      </c>
      <c r="I29" t="str">
        <v>Noord-Brabant</v>
      </c>
      <c r="J29" t="str">
        <v>Zuid-Nederland</v>
      </c>
      <c r="K29" t="str">
        <v>Te koop</v>
      </c>
      <c r="L29" t="str">
        <v>Onbekend</v>
      </c>
      <c r="M29" t="str">
        <v>Onbekend</v>
      </c>
      <c r="N29">
        <v>390000</v>
      </c>
      <c r="O29" t="str">
        <v>v.o.n.</v>
      </c>
      <c r="P29">
        <v>67</v>
      </c>
      <c r="Q29">
        <v>5821</v>
      </c>
      <c r="R29" t="str">
        <v>Onbekend</v>
      </c>
      <c r="S29" t="str">
        <v>A+++</v>
      </c>
      <c r="T29">
        <v>2</v>
      </c>
      <c r="U29">
        <v>1</v>
      </c>
      <c r="V29" t="str">
        <v>Appartement</v>
      </c>
      <c r="W29" t="str">
        <v>Appartement</v>
      </c>
      <c r="X29" t="str">
        <v>Appartement 50-75 m²</v>
      </c>
      <c r="Y29" t="str">
        <v>Ja</v>
      </c>
      <c r="Z29" t="str">
        <v>eigen parkeerplaats</v>
      </c>
      <c r="AA29" t="str">
        <v>2026</v>
      </c>
      <c r="AB29" t="str">
        <v>Nee</v>
      </c>
      <c r="AC29" t="str">
        <v>NEE</v>
      </c>
      <c r="AD29" t="str">
        <v>JA</v>
      </c>
    </row>
  </sheetData>
  <autoFilter ref="A23:AD29"/>
  <ignoredErrors>
    <ignoredError numberStoredAsText="1" sqref="A1:AD2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Brummen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970000</v>
      </c>
    </row>
    <row r="9">
      <c r="A9" t="str">
        <v>Mediaan VON-prijs (€)</v>
      </c>
      <c r="B9">
        <v>970000</v>
      </c>
    </row>
    <row r="10">
      <c r="A10" t="str">
        <v>Gemiddelde VON-prijs per m² (€)</v>
      </c>
      <c r="B10">
        <v>6690</v>
      </c>
    </row>
    <row r="11">
      <c r="A11" t="str">
        <v>Mediaan VON-prijs per m² (€)</v>
      </c>
      <c r="B11">
        <v>6690</v>
      </c>
    </row>
    <row r="12">
      <c r="A12" t="str">
        <v>Gemiddelde GBO (m²)</v>
      </c>
      <c r="B12">
        <v>145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Brummen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44429532</v>
      </c>
      <c r="B23" t="str">
        <v>https://www.funda.nl/detail/koop/brummen/huis-elzenbosweg/44429532/</v>
      </c>
      <c r="C23" t="str">
        <v>Onbekend</v>
      </c>
      <c r="D23" t="str">
        <v>Elzenbosweg</v>
      </c>
      <c r="E23" t="str">
        <v>Onbekend</v>
      </c>
      <c r="F23" t="str">
        <v>6971 JM</v>
      </c>
      <c r="G23" t="str">
        <v>Brummen</v>
      </c>
      <c r="H23" t="str">
        <v>Brummen</v>
      </c>
      <c r="I23" t="str">
        <v>Gelderland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970000</v>
      </c>
      <c r="O23" t="str">
        <v>k.k.</v>
      </c>
      <c r="P23">
        <v>145</v>
      </c>
      <c r="Q23">
        <v>6690</v>
      </c>
      <c r="R23">
        <v>1670</v>
      </c>
      <c r="S23" t="str">
        <v>Niet beschikbaar</v>
      </c>
      <c r="T23">
        <v>4</v>
      </c>
      <c r="U23">
        <v>3</v>
      </c>
      <c r="V23" t="str">
        <v>Grondgebonden</v>
      </c>
      <c r="W23" t="str">
        <v>Vrijstaande woning</v>
      </c>
      <c r="X23" t="str">
        <v>N.v.t.</v>
      </c>
      <c r="Y23" t="str">
        <v>Ja</v>
      </c>
      <c r="Z23" t="str">
        <v>eigen parkeerplaats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D2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Brunssum</v>
      </c>
    </row>
    <row r="3">
      <c r="A3" t="str">
        <v>Samenvatting</v>
      </c>
    </row>
    <row r="4">
      <c r="A4" t="str">
        <v>Aantal woningen</v>
      </c>
      <c r="B4">
        <v>2</v>
      </c>
    </row>
    <row r="5">
      <c r="A5" t="str">
        <v>Aantal te koop</v>
      </c>
      <c r="B5">
        <v>2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384500</v>
      </c>
    </row>
    <row r="9">
      <c r="A9" t="str">
        <v>Mediaan VON-prijs (€)</v>
      </c>
      <c r="B9">
        <v>384500</v>
      </c>
    </row>
    <row r="10">
      <c r="A10" t="str">
        <v>Gemiddelde VON-prijs per m² (€)</v>
      </c>
      <c r="B10">
        <v>4134</v>
      </c>
    </row>
    <row r="11">
      <c r="A11" t="str">
        <v>Mediaan VON-prijs per m² (€)</v>
      </c>
      <c r="B11">
        <v>4134</v>
      </c>
    </row>
    <row r="12">
      <c r="A12" t="str">
        <v>Gemiddelde GBO (m²)</v>
      </c>
      <c r="B12">
        <v>93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75-100 m²</v>
      </c>
      <c r="B19">
        <v>2</v>
      </c>
    </row>
    <row r="21">
      <c r="A21" t="str">
        <v>Alle woningen in Brunssum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44422855</v>
      </c>
      <c r="B23" t="str">
        <v>https://www.funda.nl/detail/koop/brunssum/appartement-kloosterpark-2-b/44422855/</v>
      </c>
      <c r="C23" t="str">
        <v>Onbekend</v>
      </c>
      <c r="D23" t="str">
        <v>Kloosterpark 2-B</v>
      </c>
      <c r="E23" t="str">
        <v>Onbekend</v>
      </c>
      <c r="F23" t="str">
        <v>6441 DP</v>
      </c>
      <c r="G23" t="str">
        <v>Brunssum</v>
      </c>
      <c r="H23" t="str">
        <v>Brunssum</v>
      </c>
      <c r="I23" t="str">
        <v>Limburg</v>
      </c>
      <c r="J23" t="str">
        <v>Zuid-Nederland</v>
      </c>
      <c r="K23" t="str">
        <v>Te koop</v>
      </c>
      <c r="L23" t="str">
        <v>Onbekend</v>
      </c>
      <c r="M23" t="str">
        <v>Onbekend</v>
      </c>
      <c r="N23">
        <v>374500</v>
      </c>
      <c r="O23" t="str">
        <v>v.o.n.</v>
      </c>
      <c r="P23">
        <v>92</v>
      </c>
      <c r="Q23">
        <v>4071</v>
      </c>
      <c r="R23" t="str">
        <v>Onbekend</v>
      </c>
      <c r="S23" t="str">
        <v>A+++</v>
      </c>
      <c r="T23">
        <v>4</v>
      </c>
      <c r="U23">
        <v>2</v>
      </c>
      <c r="V23" t="str">
        <v>Appartement</v>
      </c>
      <c r="W23" t="str">
        <v>Appartement</v>
      </c>
      <c r="X23" t="str">
        <v>Appartement 75-100 m²</v>
      </c>
      <c r="Y23" t="str">
        <v>Ja</v>
      </c>
      <c r="Z23" t="str">
        <v>openbare parkeerplaats</v>
      </c>
      <c r="AA23" t="str">
        <v>2026</v>
      </c>
      <c r="AB23" t="str">
        <v>Nee</v>
      </c>
      <c r="AC23" t="str">
        <v>NEE</v>
      </c>
      <c r="AD23" t="str">
        <v>JA</v>
      </c>
    </row>
    <row r="24">
      <c r="A24" t="str">
        <v>44428225</v>
      </c>
      <c r="B24" t="str">
        <v>https://www.funda.nl/detail/koop/brunssum/appartement-kloosterpark-8-a/44428225/</v>
      </c>
      <c r="C24" t="str">
        <v>Onbekend</v>
      </c>
      <c r="D24" t="str">
        <v>Kloosterpark 8-A</v>
      </c>
      <c r="E24" t="str">
        <v>Onbekend</v>
      </c>
      <c r="F24" t="str">
        <v>6441 DP</v>
      </c>
      <c r="G24" t="str">
        <v>Brunssum</v>
      </c>
      <c r="H24" t="str">
        <v>Brunssum</v>
      </c>
      <c r="I24" t="str">
        <v>Limburg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394500</v>
      </c>
      <c r="O24" t="str">
        <v>v.o.n.</v>
      </c>
      <c r="P24">
        <v>94</v>
      </c>
      <c r="Q24">
        <v>4197</v>
      </c>
      <c r="R24" t="str">
        <v>Onbekend</v>
      </c>
      <c r="S24" t="str">
        <v>A+++</v>
      </c>
      <c r="T24">
        <v>4</v>
      </c>
      <c r="U24">
        <v>2</v>
      </c>
      <c r="V24" t="str">
        <v>Appartement</v>
      </c>
      <c r="W24" t="str">
        <v>Appartement</v>
      </c>
      <c r="X24" t="str">
        <v>Appartement 75-100 m²</v>
      </c>
      <c r="Y24" t="str">
        <v>Ja</v>
      </c>
      <c r="Z24" t="str">
        <v>openbare parkeerplaats</v>
      </c>
      <c r="AA24" t="str">
        <v>2026</v>
      </c>
      <c r="AB24" t="str">
        <v>Nee</v>
      </c>
      <c r="AC24" t="str">
        <v>NEE</v>
      </c>
      <c r="AD24" t="str">
        <v>JA</v>
      </c>
    </row>
  </sheetData>
  <autoFilter ref="A22:AD24"/>
  <ignoredErrors>
    <ignoredError numberStoredAsText="1" sqref="A1:AD2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AD2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Capelle aan den IJssel</v>
      </c>
    </row>
    <row r="3">
      <c r="A3" t="str">
        <v>Samenvatting</v>
      </c>
    </row>
    <row r="4">
      <c r="A4" t="str">
        <v>Aantal woningen</v>
      </c>
      <c r="B4">
        <v>2</v>
      </c>
    </row>
    <row r="5">
      <c r="A5" t="str">
        <v>Aantal te koop</v>
      </c>
      <c r="B5">
        <v>2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316250</v>
      </c>
    </row>
    <row r="9">
      <c r="A9" t="str">
        <v>Mediaan VON-prijs (€)</v>
      </c>
      <c r="B9">
        <v>316250</v>
      </c>
    </row>
    <row r="10">
      <c r="A10" t="str">
        <v>Gemiddelde VON-prijs per m² (€)</v>
      </c>
      <c r="B10">
        <v>7224</v>
      </c>
    </row>
    <row r="11">
      <c r="A11" t="str">
        <v>Mediaan VON-prijs per m² (€)</v>
      </c>
      <c r="B11">
        <v>7224</v>
      </c>
    </row>
    <row r="12">
      <c r="A12" t="str">
        <v>Gemiddelde GBO (m²)</v>
      </c>
      <c r="B12">
        <v>44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&lt;50 m²</v>
      </c>
      <c r="B19">
        <v>2</v>
      </c>
    </row>
    <row r="21">
      <c r="A21" t="str">
        <v>Alle woningen in Capelle aan den IJssel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44428900</v>
      </c>
      <c r="B23" t="str">
        <v>https://www.funda.nl/detail/koop/capelle-aan-den-ijssel/appartement-rivium-1e-straat-61-p/44428900/</v>
      </c>
      <c r="C23" t="str">
        <v>Rive Tower</v>
      </c>
      <c r="D23" t="str">
        <v>Rivium 1e straat 61-P</v>
      </c>
      <c r="E23" t="str">
        <v>Onbekend</v>
      </c>
      <c r="F23" t="str">
        <v>2909 LE</v>
      </c>
      <c r="G23" t="str">
        <v>Capelle aan den IJssel</v>
      </c>
      <c r="H23" t="str">
        <v>Capelle aan den IJssel</v>
      </c>
      <c r="I23" t="str">
        <v>Zuid-Holland</v>
      </c>
      <c r="J23" t="str">
        <v>West-Nederland</v>
      </c>
      <c r="K23" t="str">
        <v>Te koop</v>
      </c>
      <c r="L23" t="str">
        <v>Onbekend</v>
      </c>
      <c r="M23" t="str">
        <v>Onbekend</v>
      </c>
      <c r="N23">
        <v>327500</v>
      </c>
      <c r="O23" t="str">
        <v>k.k.</v>
      </c>
      <c r="P23">
        <v>48</v>
      </c>
      <c r="Q23">
        <v>6823</v>
      </c>
      <c r="R23" t="str">
        <v>Onbekend</v>
      </c>
      <c r="S23" t="str">
        <v>A</v>
      </c>
      <c r="T23">
        <v>2</v>
      </c>
      <c r="U23">
        <v>1</v>
      </c>
      <c r="V23" t="str">
        <v>Appartement</v>
      </c>
      <c r="W23" t="str">
        <v>Appartement</v>
      </c>
      <c r="X23" t="str">
        <v>Appartement &lt;50 m²</v>
      </c>
      <c r="Y23" t="str">
        <v>Ja</v>
      </c>
      <c r="Z23" t="str">
        <v>openbare parkeerplaats</v>
      </c>
      <c r="AA23" t="str">
        <v>1991</v>
      </c>
      <c r="AB23" t="str">
        <v>Nee</v>
      </c>
      <c r="AC23" t="str">
        <v>NEE</v>
      </c>
      <c r="AD23" t="str">
        <v>JA</v>
      </c>
    </row>
    <row r="24">
      <c r="A24" t="str">
        <v>44428895</v>
      </c>
      <c r="B24" t="str">
        <v>https://www.funda.nl/detail/koop/capelle-aan-den-ijssel/appartement-rivium-1e-straat-65-b/44428895/</v>
      </c>
      <c r="C24" t="str">
        <v>Rive Tower</v>
      </c>
      <c r="D24" t="str">
        <v>Rivium 1e straat 65-B</v>
      </c>
      <c r="E24" t="str">
        <v>Onbekend</v>
      </c>
      <c r="F24" t="str">
        <v>2909 LE</v>
      </c>
      <c r="G24" t="str">
        <v>Capelle aan den IJssel</v>
      </c>
      <c r="H24" t="str">
        <v>Capelle aan den IJssel</v>
      </c>
      <c r="I24" t="str">
        <v>Zuid-Holland</v>
      </c>
      <c r="J24" t="str">
        <v>West-Nederland</v>
      </c>
      <c r="K24" t="str">
        <v>Te koop</v>
      </c>
      <c r="L24" t="str">
        <v>Onbekend</v>
      </c>
      <c r="M24" t="str">
        <v>Onbekend</v>
      </c>
      <c r="N24">
        <v>305000</v>
      </c>
      <c r="O24" t="str">
        <v>k.k.</v>
      </c>
      <c r="P24">
        <v>40</v>
      </c>
      <c r="Q24">
        <v>7625</v>
      </c>
      <c r="R24" t="str">
        <v>Onbekend</v>
      </c>
      <c r="S24" t="str">
        <v>A+</v>
      </c>
      <c r="T24">
        <v>1</v>
      </c>
      <c r="U24" t="str">
        <v>Onbekend</v>
      </c>
      <c r="V24" t="str">
        <v>Appartement</v>
      </c>
      <c r="W24" t="str">
        <v>Appartement</v>
      </c>
      <c r="X24" t="str">
        <v>Appartement &lt;50 m²</v>
      </c>
      <c r="Y24" t="str">
        <v>Ja</v>
      </c>
      <c r="Z24" t="str">
        <v>openbare parkeerplaats</v>
      </c>
      <c r="AA24" t="str">
        <v>1991</v>
      </c>
      <c r="AB24" t="str">
        <v>Nee</v>
      </c>
      <c r="AC24" t="str">
        <v>NEE</v>
      </c>
      <c r="AD24" t="str">
        <v>JA</v>
      </c>
    </row>
  </sheetData>
  <autoFilter ref="A22:AD24"/>
  <ignoredErrors>
    <ignoredError numberStoredAsText="1" sqref="A1:AD2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Den Helder</v>
      </c>
    </row>
    <row r="3">
      <c r="A3" t="str">
        <v>Samenvatting</v>
      </c>
    </row>
    <row r="4">
      <c r="A4" t="str">
        <v>Aantal woningen</v>
      </c>
      <c r="B4">
        <v>15</v>
      </c>
    </row>
    <row r="5">
      <c r="A5" t="str">
        <v>Aantal te koop</v>
      </c>
      <c r="B5">
        <v>6</v>
      </c>
    </row>
    <row r="6">
      <c r="A6" t="str">
        <v>Aantal verkocht</v>
      </c>
      <c r="B6">
        <v>0</v>
      </c>
    </row>
    <row r="7">
      <c r="A7" t="str">
        <v>Aantal V.O.V.</v>
      </c>
      <c r="B7">
        <v>9</v>
      </c>
    </row>
    <row r="8">
      <c r="A8" t="str">
        <v>Gemiddelde VON-prijs (€)</v>
      </c>
      <c r="B8">
        <v>601033</v>
      </c>
    </row>
    <row r="9">
      <c r="A9" t="str">
        <v>Mediaan VON-prijs (€)</v>
      </c>
      <c r="B9">
        <v>585000</v>
      </c>
    </row>
    <row r="10">
      <c r="A10" t="str">
        <v>Gemiddelde VON-prijs per m² (€)</v>
      </c>
      <c r="B10">
        <v>3784</v>
      </c>
    </row>
    <row r="11">
      <c r="A11" t="str">
        <v>Mediaan VON-prijs per m² (€)</v>
      </c>
      <c r="B11">
        <v>3634</v>
      </c>
    </row>
    <row r="12">
      <c r="A12" t="str">
        <v>Gemiddelde GBO (m²)</v>
      </c>
      <c r="B12">
        <v>159</v>
      </c>
    </row>
    <row r="13">
      <c r="A13" t="str">
        <v>Gemiddelde looptijd (dagen)</v>
      </c>
      <c r="B13">
        <v>8</v>
      </c>
    </row>
    <row r="14">
      <c r="A14" t="str">
        <v>Aandeel met parkeerplaats (%)</v>
      </c>
      <c r="B14">
        <v>0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6</v>
      </c>
    </row>
    <row r="18">
      <c r="A18" t="str">
        <v>2-onder-1-kapwoning</v>
      </c>
      <c r="B18">
        <v>9</v>
      </c>
    </row>
    <row r="20">
      <c r="A20" t="str">
        <v>Uitsplitsing appartementcategorieen</v>
      </c>
      <c r="B20" t="str">
        <v>Aantal</v>
      </c>
    </row>
    <row r="22">
      <c r="A22" t="str">
        <v>Alle woningen in Den Helder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44427051</v>
      </c>
      <c r="B24" t="str">
        <v>https://www.funda.nl/detail/koop/julianadorp/huis-2k3-bouwnr-526/44427051/</v>
      </c>
      <c r="C24" t="str">
        <v>Willem Alexanderhof: Fase 6</v>
      </c>
      <c r="D24" t="str">
        <v>2K3</v>
      </c>
      <c r="E24" t="str">
        <v>526</v>
      </c>
      <c r="F24" t="str">
        <v>1787</v>
      </c>
      <c r="G24" t="str">
        <v>Julianadorp</v>
      </c>
      <c r="H24" t="str">
        <v>Den Helder</v>
      </c>
      <c r="I24" t="str">
        <v>Noord-Holland</v>
      </c>
      <c r="J24" t="str">
        <v>West-Nederland</v>
      </c>
      <c r="K24" t="str">
        <v>V.O.V.</v>
      </c>
      <c r="L24" t="str">
        <v>Onbekend</v>
      </c>
      <c r="M24" t="str">
        <v>Onbekend</v>
      </c>
      <c r="N24">
        <v>585000</v>
      </c>
      <c r="O24" t="str">
        <v>v.o.n.</v>
      </c>
      <c r="P24">
        <v>161</v>
      </c>
      <c r="Q24">
        <v>3634</v>
      </c>
      <c r="R24">
        <v>253</v>
      </c>
      <c r="S24" t="str">
        <v>A+++</v>
      </c>
      <c r="T24">
        <v>4</v>
      </c>
      <c r="U24">
        <v>3</v>
      </c>
      <c r="V24" t="str">
        <v>Grondgebonden</v>
      </c>
      <c r="W24" t="str">
        <v>2-onder-1-kapwoning</v>
      </c>
      <c r="X24" t="str">
        <v>N.v.t.</v>
      </c>
      <c r="Y24" t="str">
        <v>Onbekend</v>
      </c>
      <c r="Z24" t="str">
        <v>onbekend</v>
      </c>
      <c r="AA24" t="str">
        <v>Na 2020</v>
      </c>
      <c r="AB24" t="str">
        <v>Nee</v>
      </c>
      <c r="AC24" t="str">
        <v>NEE</v>
      </c>
      <c r="AD24" t="str">
        <v>JA</v>
      </c>
    </row>
    <row r="25">
      <c r="A25" t="str">
        <v>44427050</v>
      </c>
      <c r="B25" t="str">
        <v>https://www.funda.nl/detail/koop/julianadorp/huis-vs2-bouwnr-524/44427050/</v>
      </c>
      <c r="C25" t="str">
        <v>Willem Alexanderhof: Fase 6</v>
      </c>
      <c r="D25" t="str">
        <v>VS2</v>
      </c>
      <c r="E25" t="str">
        <v>524</v>
      </c>
      <c r="F25" t="str">
        <v>1787</v>
      </c>
      <c r="G25" t="str">
        <v>Julianadorp</v>
      </c>
      <c r="H25" t="str">
        <v>Den Helder</v>
      </c>
      <c r="I25" t="str">
        <v>Noord-Holland</v>
      </c>
      <c r="J25" t="str">
        <v>West-Nederland</v>
      </c>
      <c r="K25" t="str">
        <v>V.O.V.</v>
      </c>
      <c r="L25" t="str">
        <v>Onbekend</v>
      </c>
      <c r="M25" t="str">
        <v>Onbekend</v>
      </c>
      <c r="N25">
        <v>650000</v>
      </c>
      <c r="O25" t="str">
        <v>v.o.n.</v>
      </c>
      <c r="P25">
        <v>183</v>
      </c>
      <c r="Q25">
        <v>3552</v>
      </c>
      <c r="R25">
        <v>355</v>
      </c>
      <c r="S25" t="str">
        <v>A+++</v>
      </c>
      <c r="T25">
        <v>6</v>
      </c>
      <c r="U25">
        <v>5</v>
      </c>
      <c r="V25" t="str">
        <v>Grondgebonden</v>
      </c>
      <c r="W25" t="str">
        <v>Vrijstaande woning</v>
      </c>
      <c r="X25" t="str">
        <v>N.v.t.</v>
      </c>
      <c r="Y25" t="str">
        <v>Onbekend</v>
      </c>
      <c r="Z25" t="str">
        <v>onbekend</v>
      </c>
      <c r="AA25" t="str">
        <v>Na 2020</v>
      </c>
      <c r="AB25" t="str">
        <v>Nee</v>
      </c>
      <c r="AC25" t="str">
        <v>NEE</v>
      </c>
      <c r="AD25" t="str">
        <v>JA</v>
      </c>
    </row>
    <row r="26">
      <c r="A26" t="str">
        <v>44427056</v>
      </c>
      <c r="B26" t="str">
        <v>https://www.funda.nl/detail/koop/julianadorp/huis-2k3-bouwnr-520/44427056/</v>
      </c>
      <c r="C26" t="str">
        <v>Willem Alexanderhof: Fase 6</v>
      </c>
      <c r="D26" t="str">
        <v>2K3</v>
      </c>
      <c r="E26" t="str">
        <v>520</v>
      </c>
      <c r="F26" t="str">
        <v>1787</v>
      </c>
      <c r="G26" t="str">
        <v>Julianadorp</v>
      </c>
      <c r="H26" t="str">
        <v>Den Helder</v>
      </c>
      <c r="I26" t="str">
        <v>Noord-Holland</v>
      </c>
      <c r="J26" t="str">
        <v>West-Nederland</v>
      </c>
      <c r="K26" t="str">
        <v>Te koop</v>
      </c>
      <c r="L26" t="str">
        <v>2026-07-05</v>
      </c>
      <c r="M26">
        <v>8</v>
      </c>
      <c r="N26">
        <v>584000</v>
      </c>
      <c r="O26" t="str">
        <v>v.o.n.</v>
      </c>
      <c r="P26">
        <v>161</v>
      </c>
      <c r="Q26">
        <v>3627</v>
      </c>
      <c r="R26">
        <v>251</v>
      </c>
      <c r="S26" t="str">
        <v>A+++</v>
      </c>
      <c r="T26">
        <v>4</v>
      </c>
      <c r="U26">
        <v>3</v>
      </c>
      <c r="V26" t="str">
        <v>Grondgebonden</v>
      </c>
      <c r="W26" t="str">
        <v>2-onder-1-kapwoning</v>
      </c>
      <c r="X26" t="str">
        <v>N.v.t.</v>
      </c>
      <c r="Y26" t="str">
        <v>Onbekend</v>
      </c>
      <c r="Z26" t="str">
        <v>onbekend</v>
      </c>
      <c r="AA26" t="str">
        <v>Na 2020</v>
      </c>
      <c r="AB26" t="str">
        <v>Nee</v>
      </c>
      <c r="AC26" t="str">
        <v>NEE</v>
      </c>
      <c r="AD26" t="str">
        <v>JA</v>
      </c>
    </row>
    <row r="27">
      <c r="A27" t="str">
        <v>44427055</v>
      </c>
      <c r="B27" t="str">
        <v>https://www.funda.nl/detail/koop/julianadorp/huis-vs1sp-bouwnr-528/44427055/</v>
      </c>
      <c r="C27" t="str">
        <v>Willem Alexanderhof: Fase 6</v>
      </c>
      <c r="D27" t="str">
        <v>VS1sp</v>
      </c>
      <c r="E27" t="str">
        <v>528</v>
      </c>
      <c r="F27" t="str">
        <v>1787</v>
      </c>
      <c r="G27" t="str">
        <v>Julianadorp</v>
      </c>
      <c r="H27" t="str">
        <v>Den Helder</v>
      </c>
      <c r="I27" t="str">
        <v>Noord-Holland</v>
      </c>
      <c r="J27" t="str">
        <v>West-Nederland</v>
      </c>
      <c r="K27" t="str">
        <v>V.O.V.</v>
      </c>
      <c r="L27" t="str">
        <v>Onbekend</v>
      </c>
      <c r="M27" t="str">
        <v>Onbekend</v>
      </c>
      <c r="N27">
        <v>609000</v>
      </c>
      <c r="O27" t="str">
        <v>v.o.n.</v>
      </c>
      <c r="P27">
        <v>146</v>
      </c>
      <c r="Q27">
        <v>4171</v>
      </c>
      <c r="R27">
        <v>421</v>
      </c>
      <c r="S27" t="str">
        <v>A+++</v>
      </c>
      <c r="T27">
        <v>4</v>
      </c>
      <c r="U27">
        <v>3</v>
      </c>
      <c r="V27" t="str">
        <v>Grondgebonden</v>
      </c>
      <c r="W27" t="str">
        <v>Vrijstaande woning</v>
      </c>
      <c r="X27" t="str">
        <v>N.v.t.</v>
      </c>
      <c r="Y27" t="str">
        <v>Onbekend</v>
      </c>
      <c r="Z27" t="str">
        <v>onbekend</v>
      </c>
      <c r="AA27" t="str">
        <v>Na 2020</v>
      </c>
      <c r="AB27" t="str">
        <v>Nee</v>
      </c>
      <c r="AC27" t="str">
        <v>NEE</v>
      </c>
      <c r="AD27" t="str">
        <v>JA</v>
      </c>
    </row>
    <row r="28">
      <c r="A28" t="str">
        <v>44427054</v>
      </c>
      <c r="B28" t="str">
        <v>https://www.funda.nl/detail/koop/julianadorp/huis-vs1sp-bouwnr-519/44427054/</v>
      </c>
      <c r="C28" t="str">
        <v>Willem Alexanderhof: Fase 6</v>
      </c>
      <c r="D28" t="str">
        <v>VS1sp</v>
      </c>
      <c r="E28" t="str">
        <v>519</v>
      </c>
      <c r="F28" t="str">
        <v>1787</v>
      </c>
      <c r="G28" t="str">
        <v>Julianadorp</v>
      </c>
      <c r="H28" t="str">
        <v>Den Helder</v>
      </c>
      <c r="I28" t="str">
        <v>Noord-Holland</v>
      </c>
      <c r="J28" t="str">
        <v>West-Nederland</v>
      </c>
      <c r="K28" t="str">
        <v>V.O.V.</v>
      </c>
      <c r="L28" t="str">
        <v>Onbekend</v>
      </c>
      <c r="M28" t="str">
        <v>Onbekend</v>
      </c>
      <c r="N28">
        <v>609000</v>
      </c>
      <c r="O28" t="str">
        <v>v.o.n.</v>
      </c>
      <c r="P28">
        <v>146</v>
      </c>
      <c r="Q28">
        <v>4171</v>
      </c>
      <c r="R28">
        <v>374</v>
      </c>
      <c r="S28" t="str">
        <v>A+++</v>
      </c>
      <c r="T28">
        <v>4</v>
      </c>
      <c r="U28">
        <v>3</v>
      </c>
      <c r="V28" t="str">
        <v>Grondgebonden</v>
      </c>
      <c r="W28" t="str">
        <v>Vrijstaande woning</v>
      </c>
      <c r="X28" t="str">
        <v>N.v.t.</v>
      </c>
      <c r="Y28" t="str">
        <v>Onbekend</v>
      </c>
      <c r="Z28" t="str">
        <v>onbekend</v>
      </c>
      <c r="AA28" t="str">
        <v>Na 2020</v>
      </c>
      <c r="AB28" t="str">
        <v>Nee</v>
      </c>
      <c r="AC28" t="str">
        <v>NEE</v>
      </c>
      <c r="AD28" t="str">
        <v>JA</v>
      </c>
    </row>
    <row r="29">
      <c r="A29" t="str">
        <v>44427042</v>
      </c>
      <c r="B29" t="str">
        <v>https://www.funda.nl/detail/koop/julianadorp/huis-2k3sp-bouwnr-521/44427042/</v>
      </c>
      <c r="C29" t="str">
        <v>Willem Alexanderhof: Fase 6</v>
      </c>
      <c r="D29" t="str">
        <v>2K3sp</v>
      </c>
      <c r="E29" t="str">
        <v>521</v>
      </c>
      <c r="F29" t="str">
        <v>1787</v>
      </c>
      <c r="G29" t="str">
        <v>Julianadorp</v>
      </c>
      <c r="H29" t="str">
        <v>Den Helder</v>
      </c>
      <c r="I29" t="str">
        <v>Noord-Holland</v>
      </c>
      <c r="J29" t="str">
        <v>West-Nederland</v>
      </c>
      <c r="K29" t="str">
        <v>Te koop</v>
      </c>
      <c r="L29" t="str">
        <v>Onbekend</v>
      </c>
      <c r="M29" t="str">
        <v>Onbekend</v>
      </c>
      <c r="N29">
        <v>585000</v>
      </c>
      <c r="O29" t="str">
        <v>v.o.n.</v>
      </c>
      <c r="P29">
        <v>161</v>
      </c>
      <c r="Q29">
        <v>3634</v>
      </c>
      <c r="R29">
        <v>256</v>
      </c>
      <c r="S29" t="str">
        <v>A+++</v>
      </c>
      <c r="T29">
        <v>4</v>
      </c>
      <c r="U29">
        <v>3</v>
      </c>
      <c r="V29" t="str">
        <v>Grondgebonden</v>
      </c>
      <c r="W29" t="str">
        <v>2-onder-1-kapwoning</v>
      </c>
      <c r="X29" t="str">
        <v>N.v.t.</v>
      </c>
      <c r="Y29" t="str">
        <v>Onbekend</v>
      </c>
      <c r="Z29" t="str">
        <v>onbekend</v>
      </c>
      <c r="AA29" t="str">
        <v>Na 2020</v>
      </c>
      <c r="AB29" t="str">
        <v>Nee</v>
      </c>
      <c r="AC29" t="str">
        <v>NEE</v>
      </c>
      <c r="AD29" t="str">
        <v>JA</v>
      </c>
    </row>
    <row r="30">
      <c r="A30" t="str">
        <v>44427041</v>
      </c>
      <c r="B30" t="str">
        <v>https://www.funda.nl/detail/koop/julianadorp/huis-2k2-bouwnr-522/44427041/</v>
      </c>
      <c r="C30" t="str">
        <v>Willem Alexanderhof: Fase 6</v>
      </c>
      <c r="D30" t="str">
        <v>2K2</v>
      </c>
      <c r="E30" t="str">
        <v>522</v>
      </c>
      <c r="F30" t="str">
        <v>1787</v>
      </c>
      <c r="G30" t="str">
        <v>Julianadorp</v>
      </c>
      <c r="H30" t="str">
        <v>Den Helder</v>
      </c>
      <c r="I30" t="str">
        <v>Noord-Holland</v>
      </c>
      <c r="J30" t="str">
        <v>West-Nederland</v>
      </c>
      <c r="K30" t="str">
        <v>Te koop</v>
      </c>
      <c r="L30" t="str">
        <v>Onbekend</v>
      </c>
      <c r="M30" t="str">
        <v>Onbekend</v>
      </c>
      <c r="N30">
        <v>562500</v>
      </c>
      <c r="O30" t="str">
        <v>v.o.n.</v>
      </c>
      <c r="P30">
        <v>155</v>
      </c>
      <c r="Q30">
        <v>3629</v>
      </c>
      <c r="R30">
        <v>275</v>
      </c>
      <c r="S30" t="str">
        <v>A+++</v>
      </c>
      <c r="T30">
        <v>5</v>
      </c>
      <c r="U30">
        <v>4</v>
      </c>
      <c r="V30" t="str">
        <v>Grondgebonden</v>
      </c>
      <c r="W30" t="str">
        <v>2-onder-1-kapwoning</v>
      </c>
      <c r="X30" t="str">
        <v>N.v.t.</v>
      </c>
      <c r="Y30" t="str">
        <v>Onbekend</v>
      </c>
      <c r="Z30" t="str">
        <v>onbekend</v>
      </c>
      <c r="AA30" t="str">
        <v>Na 2020</v>
      </c>
      <c r="AB30" t="str">
        <v>Nee</v>
      </c>
      <c r="AC30" t="str">
        <v>NEE</v>
      </c>
      <c r="AD30" t="str">
        <v>JA</v>
      </c>
    </row>
    <row r="31">
      <c r="A31" t="str">
        <v>44427049</v>
      </c>
      <c r="B31" t="str">
        <v>https://www.funda.nl/detail/koop/julianadorp/huis-2k3-bouwnr-531/44427049/</v>
      </c>
      <c r="C31" t="str">
        <v>Willem Alexanderhof: Fase 6</v>
      </c>
      <c r="D31" t="str">
        <v>2K3</v>
      </c>
      <c r="E31" t="str">
        <v>531</v>
      </c>
      <c r="F31" t="str">
        <v>1787</v>
      </c>
      <c r="G31" t="str">
        <v>Julianadorp</v>
      </c>
      <c r="H31" t="str">
        <v>Den Helder</v>
      </c>
      <c r="I31" t="str">
        <v>Noord-Holland</v>
      </c>
      <c r="J31" t="str">
        <v>West-Nederland</v>
      </c>
      <c r="K31" t="str">
        <v>Te koop</v>
      </c>
      <c r="L31" t="str">
        <v>Onbekend</v>
      </c>
      <c r="M31" t="str">
        <v>Onbekend</v>
      </c>
      <c r="N31">
        <v>585000</v>
      </c>
      <c r="O31" t="str">
        <v>v.o.n.</v>
      </c>
      <c r="P31">
        <v>161</v>
      </c>
      <c r="Q31">
        <v>3634</v>
      </c>
      <c r="R31">
        <v>254</v>
      </c>
      <c r="S31" t="str">
        <v>A+++</v>
      </c>
      <c r="T31">
        <v>4</v>
      </c>
      <c r="U31">
        <v>3</v>
      </c>
      <c r="V31" t="str">
        <v>Grondgebonden</v>
      </c>
      <c r="W31" t="str">
        <v>Vrijstaande woning</v>
      </c>
      <c r="X31" t="str">
        <v>N.v.t.</v>
      </c>
      <c r="Y31" t="str">
        <v>Onbekend</v>
      </c>
      <c r="Z31" t="str">
        <v>onbekend</v>
      </c>
      <c r="AA31" t="str">
        <v>Na 2020</v>
      </c>
      <c r="AB31" t="str">
        <v>Nee</v>
      </c>
      <c r="AC31" t="str">
        <v>NEE</v>
      </c>
      <c r="AD31" t="str">
        <v>JA</v>
      </c>
    </row>
    <row r="32">
      <c r="A32" t="str">
        <v>44427048</v>
      </c>
      <c r="B32" t="str">
        <v>https://www.funda.nl/detail/koop/julianadorp/huis-2k3sp-bouwnr-532/44427048/</v>
      </c>
      <c r="C32" t="str">
        <v>Willem Alexanderhof: Fase 6</v>
      </c>
      <c r="D32" t="str">
        <v>2K3sp</v>
      </c>
      <c r="E32" t="str">
        <v>532</v>
      </c>
      <c r="F32" t="str">
        <v>1787</v>
      </c>
      <c r="G32" t="str">
        <v>Julianadorp</v>
      </c>
      <c r="H32" t="str">
        <v>Den Helder</v>
      </c>
      <c r="I32" t="str">
        <v>Noord-Holland</v>
      </c>
      <c r="J32" t="str">
        <v>West-Nederland</v>
      </c>
      <c r="K32" t="str">
        <v>Te koop</v>
      </c>
      <c r="L32" t="str">
        <v>Onbekend</v>
      </c>
      <c r="M32" t="str">
        <v>Onbekend</v>
      </c>
      <c r="N32">
        <v>599000</v>
      </c>
      <c r="O32" t="str">
        <v>v.o.n.</v>
      </c>
      <c r="P32">
        <v>161</v>
      </c>
      <c r="Q32">
        <v>3720</v>
      </c>
      <c r="R32">
        <v>338</v>
      </c>
      <c r="S32" t="str">
        <v>A+++</v>
      </c>
      <c r="T32">
        <v>4</v>
      </c>
      <c r="U32">
        <v>3</v>
      </c>
      <c r="V32" t="str">
        <v>Grondgebonden</v>
      </c>
      <c r="W32" t="str">
        <v>2-onder-1-kapwoning</v>
      </c>
      <c r="X32" t="str">
        <v>N.v.t.</v>
      </c>
      <c r="Y32" t="str">
        <v>Onbekend</v>
      </c>
      <c r="Z32" t="str">
        <v>onbekend</v>
      </c>
      <c r="AA32" t="str">
        <v>Na 2020</v>
      </c>
      <c r="AB32" t="str">
        <v>Nee</v>
      </c>
      <c r="AC32" t="str">
        <v>NEE</v>
      </c>
      <c r="AD32" t="str">
        <v>JA</v>
      </c>
    </row>
    <row r="33">
      <c r="A33" t="str">
        <v>44427053</v>
      </c>
      <c r="B33" t="str">
        <v>https://www.funda.nl/detail/koop/julianadorp/huis-vs3sp-bouwnr-525/44427053/</v>
      </c>
      <c r="C33" t="str">
        <v>Willem Alexanderhof: Fase 6</v>
      </c>
      <c r="D33" t="str">
        <v>VS3sp</v>
      </c>
      <c r="E33" t="str">
        <v>525</v>
      </c>
      <c r="F33" t="str">
        <v>1787</v>
      </c>
      <c r="G33" t="str">
        <v>Julianadorp</v>
      </c>
      <c r="H33" t="str">
        <v>Den Helder</v>
      </c>
      <c r="I33" t="str">
        <v>Noord-Holland</v>
      </c>
      <c r="J33" t="str">
        <v>West-Nederland</v>
      </c>
      <c r="K33" t="str">
        <v>V.O.V.</v>
      </c>
      <c r="L33" t="str">
        <v>Onbekend</v>
      </c>
      <c r="M33" t="str">
        <v>Onbekend</v>
      </c>
      <c r="N33">
        <v>689000</v>
      </c>
      <c r="O33" t="str">
        <v>v.o.n.</v>
      </c>
      <c r="P33">
        <v>146</v>
      </c>
      <c r="Q33">
        <v>4719</v>
      </c>
      <c r="R33">
        <v>383</v>
      </c>
      <c r="S33" t="str">
        <v>A+++</v>
      </c>
      <c r="T33">
        <v>5</v>
      </c>
      <c r="U33">
        <v>4</v>
      </c>
      <c r="V33" t="str">
        <v>Grondgebonden</v>
      </c>
      <c r="W33" t="str">
        <v>Vrijstaande woning</v>
      </c>
      <c r="X33" t="str">
        <v>N.v.t.</v>
      </c>
      <c r="Y33" t="str">
        <v>Onbekend</v>
      </c>
      <c r="Z33" t="str">
        <v>onbekend</v>
      </c>
      <c r="AA33" t="str">
        <v>Na 2020</v>
      </c>
      <c r="AB33" t="str">
        <v>Nee</v>
      </c>
      <c r="AC33" t="str">
        <v>NEE</v>
      </c>
      <c r="AD33" t="str">
        <v>JA</v>
      </c>
    </row>
    <row r="34">
      <c r="A34" t="str">
        <v>44427164</v>
      </c>
      <c r="B34" t="str">
        <v>https://www.funda.nl/detail/koop/julianadorp/huis-2k2sp-bouwnr-530/44427164/</v>
      </c>
      <c r="C34" t="str">
        <v>Willem Alexanderhof: Fase 6</v>
      </c>
      <c r="D34" t="str">
        <v>2K2sp</v>
      </c>
      <c r="E34" t="str">
        <v>530</v>
      </c>
      <c r="F34" t="str">
        <v>1787</v>
      </c>
      <c r="G34" t="str">
        <v>Julianadorp</v>
      </c>
      <c r="H34" t="str">
        <v>Den Helder</v>
      </c>
      <c r="I34" t="str">
        <v>Noord-Holland</v>
      </c>
      <c r="J34" t="str">
        <v>West-Nederland</v>
      </c>
      <c r="K34" t="str">
        <v>V.O.V.</v>
      </c>
      <c r="L34" t="str">
        <v>Onbekend</v>
      </c>
      <c r="M34" t="str">
        <v>Onbekend</v>
      </c>
      <c r="N34">
        <v>560000</v>
      </c>
      <c r="O34" t="str">
        <v>v.o.n.</v>
      </c>
      <c r="P34">
        <v>155</v>
      </c>
      <c r="Q34">
        <v>3613</v>
      </c>
      <c r="R34">
        <v>264</v>
      </c>
      <c r="S34" t="str">
        <v>A+++</v>
      </c>
      <c r="T34">
        <v>5</v>
      </c>
      <c r="U34">
        <v>4</v>
      </c>
      <c r="V34" t="str">
        <v>Grondgebonden</v>
      </c>
      <c r="W34" t="str">
        <v>2-onder-1-kapwoning</v>
      </c>
      <c r="X34" t="str">
        <v>N.v.t.</v>
      </c>
      <c r="Y34" t="str">
        <v>Onbekend</v>
      </c>
      <c r="Z34" t="str">
        <v>onbekend</v>
      </c>
      <c r="AA34" t="str">
        <v>Na 2020</v>
      </c>
      <c r="AB34" t="str">
        <v>Nee</v>
      </c>
      <c r="AC34" t="str">
        <v>NEE</v>
      </c>
      <c r="AD34" t="str">
        <v>JA</v>
      </c>
    </row>
    <row r="35">
      <c r="A35" t="str">
        <v>44427163</v>
      </c>
      <c r="B35" t="str">
        <v>https://www.funda.nl/detail/koop/julianadorp/huis-2k2sp-bouwnr-523/44427163/</v>
      </c>
      <c r="C35" t="str">
        <v>Willem Alexanderhof: Fase 6</v>
      </c>
      <c r="D35" t="str">
        <v>2K2sp</v>
      </c>
      <c r="E35" t="str">
        <v>523</v>
      </c>
      <c r="F35" t="str">
        <v>1787</v>
      </c>
      <c r="G35" t="str">
        <v>Julianadorp</v>
      </c>
      <c r="H35" t="str">
        <v>Den Helder</v>
      </c>
      <c r="I35" t="str">
        <v>Noord-Holland</v>
      </c>
      <c r="J35" t="str">
        <v>West-Nederland</v>
      </c>
      <c r="K35" t="str">
        <v>V.O.V.</v>
      </c>
      <c r="L35" t="str">
        <v>Onbekend</v>
      </c>
      <c r="M35" t="str">
        <v>Onbekend</v>
      </c>
      <c r="N35">
        <v>564000</v>
      </c>
      <c r="O35" t="str">
        <v>v.o.n.</v>
      </c>
      <c r="P35">
        <v>155</v>
      </c>
      <c r="Q35">
        <v>3639</v>
      </c>
      <c r="R35">
        <v>280</v>
      </c>
      <c r="S35" t="str">
        <v>A+++</v>
      </c>
      <c r="T35">
        <v>5</v>
      </c>
      <c r="U35">
        <v>4</v>
      </c>
      <c r="V35" t="str">
        <v>Grondgebonden</v>
      </c>
      <c r="W35" t="str">
        <v>2-onder-1-kapwoning</v>
      </c>
      <c r="X35" t="str">
        <v>N.v.t.</v>
      </c>
      <c r="Y35" t="str">
        <v>Onbekend</v>
      </c>
      <c r="Z35" t="str">
        <v>onbekend</v>
      </c>
      <c r="AA35" t="str">
        <v>Na 2020</v>
      </c>
      <c r="AB35" t="str">
        <v>Nee</v>
      </c>
      <c r="AC35" t="str">
        <v>NEE</v>
      </c>
      <c r="AD35" t="str">
        <v>JA</v>
      </c>
    </row>
    <row r="36">
      <c r="A36" t="str">
        <v>44427059</v>
      </c>
      <c r="B36" t="str">
        <v>https://www.funda.nl/detail/koop/julianadorp/huis-2k3sp-bouwnr-527/44427059/</v>
      </c>
      <c r="C36" t="str">
        <v>Willem Alexanderhof: Fase 6</v>
      </c>
      <c r="D36" t="str">
        <v>2K3sp</v>
      </c>
      <c r="E36" t="str">
        <v>527</v>
      </c>
      <c r="F36" t="str">
        <v>1787</v>
      </c>
      <c r="G36" t="str">
        <v>Julianadorp</v>
      </c>
      <c r="H36" t="str">
        <v>Den Helder</v>
      </c>
      <c r="I36" t="str">
        <v>Noord-Holland</v>
      </c>
      <c r="J36" t="str">
        <v>West-Nederland</v>
      </c>
      <c r="K36" t="str">
        <v>Te koop</v>
      </c>
      <c r="L36" t="str">
        <v>Onbekend</v>
      </c>
      <c r="M36" t="str">
        <v>Onbekend</v>
      </c>
      <c r="N36">
        <v>585000</v>
      </c>
      <c r="O36" t="str">
        <v>v.o.n.</v>
      </c>
      <c r="P36">
        <v>161</v>
      </c>
      <c r="Q36">
        <v>3634</v>
      </c>
      <c r="R36">
        <v>254</v>
      </c>
      <c r="S36" t="str">
        <v>A+++</v>
      </c>
      <c r="T36">
        <v>4</v>
      </c>
      <c r="U36">
        <v>3</v>
      </c>
      <c r="V36" t="str">
        <v>Grondgebonden</v>
      </c>
      <c r="W36" t="str">
        <v>2-onder-1-kapwoning</v>
      </c>
      <c r="X36" t="str">
        <v>N.v.t.</v>
      </c>
      <c r="Y36" t="str">
        <v>Onbekend</v>
      </c>
      <c r="Z36" t="str">
        <v>onbekend</v>
      </c>
      <c r="AA36" t="str">
        <v>Na 2020</v>
      </c>
      <c r="AB36" t="str">
        <v>Nee</v>
      </c>
      <c r="AC36" t="str">
        <v>NEE</v>
      </c>
      <c r="AD36" t="str">
        <v>JA</v>
      </c>
    </row>
    <row r="37">
      <c r="A37" t="str">
        <v>44427040</v>
      </c>
      <c r="B37" t="str">
        <v>https://www.funda.nl/detail/koop/julianadorp/huis-2k2-bouwnr-529/44427040/</v>
      </c>
      <c r="C37" t="str">
        <v>Willem Alexanderhof: Fase 6</v>
      </c>
      <c r="D37" t="str">
        <v>2K2</v>
      </c>
      <c r="E37" t="str">
        <v>529</v>
      </c>
      <c r="F37" t="str">
        <v>1787</v>
      </c>
      <c r="G37" t="str">
        <v>Julianadorp</v>
      </c>
      <c r="H37" t="str">
        <v>Den Helder</v>
      </c>
      <c r="I37" t="str">
        <v>Noord-Holland</v>
      </c>
      <c r="J37" t="str">
        <v>West-Nederland</v>
      </c>
      <c r="K37" t="str">
        <v>V.O.V.</v>
      </c>
      <c r="L37" t="str">
        <v>Onbekend</v>
      </c>
      <c r="M37" t="str">
        <v>Onbekend</v>
      </c>
      <c r="N37">
        <v>560000</v>
      </c>
      <c r="O37" t="str">
        <v>v.o.n.</v>
      </c>
      <c r="P37">
        <v>155</v>
      </c>
      <c r="Q37">
        <v>3613</v>
      </c>
      <c r="R37">
        <v>264</v>
      </c>
      <c r="S37" t="str">
        <v>A+++</v>
      </c>
      <c r="T37">
        <v>5</v>
      </c>
      <c r="U37">
        <v>4</v>
      </c>
      <c r="V37" t="str">
        <v>Grondgebonden</v>
      </c>
      <c r="W37" t="str">
        <v>2-onder-1-kapwoning</v>
      </c>
      <c r="X37" t="str">
        <v>N.v.t.</v>
      </c>
      <c r="Y37" t="str">
        <v>Onbekend</v>
      </c>
      <c r="Z37" t="str">
        <v>onbekend</v>
      </c>
      <c r="AA37" t="str">
        <v>Na 2020</v>
      </c>
      <c r="AB37" t="str">
        <v>Nee</v>
      </c>
      <c r="AC37" t="str">
        <v>NEE</v>
      </c>
      <c r="AD37" t="str">
        <v>JA</v>
      </c>
    </row>
    <row r="38">
      <c r="A38" t="str">
        <v>44427057</v>
      </c>
      <c r="B38" t="str">
        <v>https://www.funda.nl/detail/koop/julianadorp/huis-vs2sp-bouwnr-518/44427057/</v>
      </c>
      <c r="C38" t="str">
        <v>Willem Alexanderhof: Fase 6</v>
      </c>
      <c r="D38" t="str">
        <v>VS2sp</v>
      </c>
      <c r="E38" t="str">
        <v>518</v>
      </c>
      <c r="F38" t="str">
        <v>1787</v>
      </c>
      <c r="G38" t="str">
        <v>Julianadorp</v>
      </c>
      <c r="H38" t="str">
        <v>Den Helder</v>
      </c>
      <c r="I38" t="str">
        <v>Noord-Holland</v>
      </c>
      <c r="J38" t="str">
        <v>West-Nederland</v>
      </c>
      <c r="K38" t="str">
        <v>V.O.V.</v>
      </c>
      <c r="L38" t="str">
        <v>Onbekend</v>
      </c>
      <c r="M38" t="str">
        <v>Onbekend</v>
      </c>
      <c r="N38">
        <v>689000</v>
      </c>
      <c r="O38" t="str">
        <v>v.o.n.</v>
      </c>
      <c r="P38">
        <v>183</v>
      </c>
      <c r="Q38">
        <v>3765</v>
      </c>
      <c r="R38">
        <v>568</v>
      </c>
      <c r="S38" t="str">
        <v>A+++</v>
      </c>
      <c r="T38">
        <v>6</v>
      </c>
      <c r="U38">
        <v>5</v>
      </c>
      <c r="V38" t="str">
        <v>Grondgebonden</v>
      </c>
      <c r="W38" t="str">
        <v>Vrijstaande woning</v>
      </c>
      <c r="X38" t="str">
        <v>N.v.t.</v>
      </c>
      <c r="Y38" t="str">
        <v>Onbekend</v>
      </c>
      <c r="Z38" t="str">
        <v>onbekend</v>
      </c>
      <c r="AA38" t="str">
        <v>Na 2020</v>
      </c>
      <c r="AB38" t="str">
        <v>Nee</v>
      </c>
      <c r="AC38" t="str">
        <v>NEE</v>
      </c>
      <c r="AD38" t="str">
        <v>JA</v>
      </c>
    </row>
  </sheetData>
  <autoFilter ref="A23:AD38"/>
  <ignoredErrors>
    <ignoredError numberStoredAsText="1" sqref="A1:AD3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Deventer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810000</v>
      </c>
    </row>
    <row r="9">
      <c r="A9" t="str">
        <v>Mediaan VON-prijs (€)</v>
      </c>
      <c r="B9">
        <v>810000</v>
      </c>
    </row>
    <row r="10">
      <c r="A10" t="str">
        <v>Gemiddelde VON-prijs per m² (€)</v>
      </c>
      <c r="B10">
        <v>5260</v>
      </c>
    </row>
    <row r="11">
      <c r="A11" t="str">
        <v>Mediaan VON-prijs per m² (€)</v>
      </c>
      <c r="B11">
        <v>5260</v>
      </c>
    </row>
    <row r="12">
      <c r="A12" t="str">
        <v>Gemiddelde GBO (m²)</v>
      </c>
      <c r="B12">
        <v>154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Deventer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44420599</v>
      </c>
      <c r="B23" t="str">
        <v>https://www.funda.nl/detail/koop/bathmen/huis-molenstraat-5/44420599/</v>
      </c>
      <c r="C23" t="str">
        <v>Onbekend</v>
      </c>
      <c r="D23" t="str">
        <v>Molenstraat 5</v>
      </c>
      <c r="E23" t="str">
        <v>Onbekend</v>
      </c>
      <c r="F23" t="str">
        <v>7437 AH</v>
      </c>
      <c r="G23" t="str">
        <v>Bathmen</v>
      </c>
      <c r="H23" t="str">
        <v>Deventer</v>
      </c>
      <c r="I23" t="str">
        <v>Overijssel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810000</v>
      </c>
      <c r="O23" t="str">
        <v>v.o.n.</v>
      </c>
      <c r="P23">
        <v>154</v>
      </c>
      <c r="Q23">
        <v>5260</v>
      </c>
      <c r="R23">
        <v>529</v>
      </c>
      <c r="S23" t="str">
        <v>Niet beschikbaar</v>
      </c>
      <c r="T23">
        <v>4</v>
      </c>
      <c r="U23">
        <v>3</v>
      </c>
      <c r="V23" t="str">
        <v>Grondgebonden</v>
      </c>
      <c r="W23" t="str">
        <v>Vrijstaande woning</v>
      </c>
      <c r="X23" t="str">
        <v>N.v.t.</v>
      </c>
      <c r="Y23" t="str">
        <v>Ja</v>
      </c>
      <c r="Z23" t="str">
        <v>openbare parkeerplaats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Diemen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1085995</v>
      </c>
    </row>
    <row r="9">
      <c r="A9" t="str">
        <v>Mediaan VON-prijs (€)</v>
      </c>
      <c r="B9">
        <v>1085995</v>
      </c>
    </row>
    <row r="10">
      <c r="A10" t="str">
        <v>Gemiddelde VON-prijs per m² (€)</v>
      </c>
      <c r="B10">
        <v>6582</v>
      </c>
    </row>
    <row r="11">
      <c r="A11" t="str">
        <v>Mediaan VON-prijs per m² (€)</v>
      </c>
      <c r="B11">
        <v>6582</v>
      </c>
    </row>
    <row r="12">
      <c r="A12" t="str">
        <v>Gemiddelde GBO (m²)</v>
      </c>
      <c r="B12">
        <v>165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Tussenwoning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Diemen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44429650</v>
      </c>
      <c r="B23" t="str">
        <v>https://www.funda.nl/detail/koop/diemen/huis-eli-heimanspad-35/44429650/</v>
      </c>
      <c r="C23" t="str">
        <v>Onbekend</v>
      </c>
      <c r="D23" t="str">
        <v>Eli Heimanspad 35</v>
      </c>
      <c r="E23" t="str">
        <v>Onbekend</v>
      </c>
      <c r="F23" t="str">
        <v>1112 ZM</v>
      </c>
      <c r="G23" t="str">
        <v>Diemen</v>
      </c>
      <c r="H23" t="str">
        <v>Diemen</v>
      </c>
      <c r="I23" t="str">
        <v>Noord-Holland</v>
      </c>
      <c r="J23" t="str">
        <v>West-Nederland</v>
      </c>
      <c r="K23" t="str">
        <v>Te koop</v>
      </c>
      <c r="L23" t="str">
        <v>Onbekend</v>
      </c>
      <c r="M23" t="str">
        <v>Onbekend</v>
      </c>
      <c r="N23">
        <v>1085995</v>
      </c>
      <c r="O23" t="str">
        <v>v.o.n.</v>
      </c>
      <c r="P23">
        <v>165</v>
      </c>
      <c r="Q23">
        <v>6582</v>
      </c>
      <c r="R23" t="str">
        <v>Onbekend</v>
      </c>
      <c r="S23" t="str">
        <v>A++++</v>
      </c>
      <c r="T23">
        <v>7</v>
      </c>
      <c r="U23">
        <v>6</v>
      </c>
      <c r="V23" t="str">
        <v>Grondgebonden</v>
      </c>
      <c r="W23" t="str">
        <v>Tussenwoning</v>
      </c>
      <c r="X23" t="str">
        <v>N.v.t.</v>
      </c>
      <c r="Y23" t="str">
        <v>Ja</v>
      </c>
      <c r="Z23" t="str">
        <v>garage</v>
      </c>
      <c r="AA23" t="str">
        <v>Na 2020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Dinkelland</v>
      </c>
    </row>
    <row r="3">
      <c r="A3" t="str">
        <v>Samenvatting</v>
      </c>
    </row>
    <row r="4">
      <c r="A4" t="str">
        <v>Aantal woningen</v>
      </c>
      <c r="B4">
        <v>10</v>
      </c>
    </row>
    <row r="5">
      <c r="A5" t="str">
        <v>Aantal te koop</v>
      </c>
      <c r="B5">
        <v>10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503700</v>
      </c>
    </row>
    <row r="9">
      <c r="A9" t="str">
        <v>Mediaan VON-prijs (€)</v>
      </c>
      <c r="B9">
        <v>496500</v>
      </c>
    </row>
    <row r="10">
      <c r="A10" t="str">
        <v>Gemiddelde VON-prijs per m² (€)</v>
      </c>
      <c r="B10">
        <v>3731</v>
      </c>
    </row>
    <row r="11">
      <c r="A11" t="str">
        <v>Mediaan VON-prijs per m² (€)</v>
      </c>
      <c r="B11">
        <v>3677</v>
      </c>
    </row>
    <row r="12">
      <c r="A12" t="str">
        <v>Gemiddelde GBO (m²)</v>
      </c>
      <c r="B12">
        <v>134</v>
      </c>
    </row>
    <row r="13">
      <c r="A13" t="str">
        <v>Gemiddelde looptijd (dagen)</v>
      </c>
      <c r="B13">
        <v>8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Tussenwoning</v>
      </c>
      <c r="B17">
        <v>3</v>
      </c>
    </row>
    <row r="18">
      <c r="A18" t="str">
        <v>Eindwoning</v>
      </c>
      <c r="B18">
        <v>2</v>
      </c>
    </row>
    <row r="19">
      <c r="A19" t="str">
        <v>Geschakelde woning</v>
      </c>
      <c r="B19">
        <v>5</v>
      </c>
    </row>
    <row r="21">
      <c r="A21" t="str">
        <v>Uitsplitsing appartementcategorieen</v>
      </c>
      <c r="B21" t="str">
        <v>Aantal</v>
      </c>
    </row>
    <row r="23">
      <c r="A23" t="str">
        <v>Alle woningen in Dinkelland</v>
      </c>
    </row>
    <row r="24">
      <c r="A24" t="str">
        <v>Funda ID</v>
      </c>
      <c r="B24" t="str">
        <v>Funda URL</v>
      </c>
      <c r="C24" t="str">
        <v>Projectnaam</v>
      </c>
      <c r="D24" t="str">
        <v>Adres</v>
      </c>
      <c r="E24" t="str">
        <v>Bouwnummer</v>
      </c>
      <c r="F24" t="str">
        <v>Postcode</v>
      </c>
      <c r="G24" t="str">
        <v>Plaats</v>
      </c>
      <c r="H24" t="str">
        <v>Gemeente</v>
      </c>
      <c r="I24" t="str">
        <v>Provincie</v>
      </c>
      <c r="J24" t="str">
        <v>Regio</v>
      </c>
      <c r="K24" t="str">
        <v>Status</v>
      </c>
      <c r="L24" t="str">
        <v>Datum plaatsing</v>
      </c>
      <c r="M24" t="str">
        <v>Looptijd (dagen)</v>
      </c>
      <c r="N24" t="str">
        <v>Vraagprijs (€)</v>
      </c>
      <c r="O24" t="str">
        <v>Kostenlabel</v>
      </c>
      <c r="P24" t="str">
        <v>GBO (m²)</v>
      </c>
      <c r="Q24" t="str">
        <v>VON-prijs per m² (€)</v>
      </c>
      <c r="R24" t="str">
        <v>Perceeloppervlakte (m²)</v>
      </c>
      <c r="S24" t="str">
        <v>Energielabel</v>
      </c>
      <c r="T24" t="str">
        <v>Aantal kamers</v>
      </c>
      <c r="U24" t="str">
        <v>Aantal slaapkamers</v>
      </c>
      <c r="V24" t="str">
        <v>Woningcategorie</v>
      </c>
      <c r="W24" t="str">
        <v>Woningtype</v>
      </c>
      <c r="X24" t="str">
        <v>Appartement categorie</v>
      </c>
      <c r="Y24" t="str">
        <v>Parkeerplaats</v>
      </c>
      <c r="Z24" t="str">
        <v>Type parkeerplaats</v>
      </c>
      <c r="AA24" t="str">
        <v>Bouwjaar</v>
      </c>
      <c r="AB24" t="str">
        <v>Prijs op aanvraag</v>
      </c>
      <c r="AC24" t="str">
        <v>Outlier flag</v>
      </c>
      <c r="AD24" t="str">
        <v>GemeenteOK</v>
      </c>
    </row>
    <row r="25">
      <c r="A25" t="str">
        <v>44428524</v>
      </c>
      <c r="B25" t="str">
        <v>https://www.funda.nl/detail/koop/rossum-ov/huis-hutt-rossum-bungalow-bouwnummer-11-bouwnr-11/44428524/</v>
      </c>
      <c r="C25" t="str">
        <v>Hutt Rossum</v>
      </c>
      <c r="D25" t="str">
        <v>Hutt Rossum - bungalow bouwnummer 11</v>
      </c>
      <c r="E25" t="str">
        <v>11</v>
      </c>
      <c r="F25" t="str">
        <v>7596 KE</v>
      </c>
      <c r="G25" t="str">
        <v>Rossum (OV)</v>
      </c>
      <c r="H25" t="str">
        <v>Dinkelland</v>
      </c>
      <c r="I25" t="str">
        <v>Overijssel</v>
      </c>
      <c r="J25" t="str">
        <v>Oost-Nederland</v>
      </c>
      <c r="K25" t="str">
        <v>Te koop</v>
      </c>
      <c r="L25" t="str">
        <v>Onbekend</v>
      </c>
      <c r="M25" t="str">
        <v>Onbekend</v>
      </c>
      <c r="N25">
        <v>588000</v>
      </c>
      <c r="O25" t="str">
        <v>v.o.n.</v>
      </c>
      <c r="P25">
        <v>156</v>
      </c>
      <c r="Q25">
        <v>3769</v>
      </c>
      <c r="R25">
        <v>277</v>
      </c>
      <c r="S25" t="str">
        <v>A+++</v>
      </c>
      <c r="T25">
        <v>4</v>
      </c>
      <c r="U25">
        <v>3</v>
      </c>
      <c r="V25" t="str">
        <v>Grondgebonden</v>
      </c>
      <c r="W25" t="str">
        <v>Geschakelde woning</v>
      </c>
      <c r="X25" t="str">
        <v>N.v.t.</v>
      </c>
      <c r="Y25" t="str">
        <v>Ja</v>
      </c>
      <c r="Z25" t="str">
        <v>openbare parkeerplaats</v>
      </c>
      <c r="AA25" t="str">
        <v>2027</v>
      </c>
      <c r="AB25" t="str">
        <v>Nee</v>
      </c>
      <c r="AC25" t="str">
        <v>NEE</v>
      </c>
      <c r="AD25" t="str">
        <v>JA</v>
      </c>
    </row>
    <row r="26">
      <c r="A26" t="str">
        <v>44428523</v>
      </c>
      <c r="B26" t="str">
        <v>https://www.funda.nl/detail/koop/rossum-ov/huis-hutt-rossum-bungalow-bouwnummer-10-bouwnr-10/44428523/</v>
      </c>
      <c r="C26" t="str">
        <v>Hutt Rossum</v>
      </c>
      <c r="D26" t="str">
        <v>Hutt Rossum - bungalow bouwnummer 10</v>
      </c>
      <c r="E26" t="str">
        <v>10</v>
      </c>
      <c r="F26" t="str">
        <v>7596 KE</v>
      </c>
      <c r="G26" t="str">
        <v>Rossum (OV)</v>
      </c>
      <c r="H26" t="str">
        <v>Dinkelland</v>
      </c>
      <c r="I26" t="str">
        <v>Overijssel</v>
      </c>
      <c r="J26" t="str">
        <v>Oost-Nederland</v>
      </c>
      <c r="K26" t="str">
        <v>Te koop</v>
      </c>
      <c r="L26" t="str">
        <v>Onbekend</v>
      </c>
      <c r="M26" t="str">
        <v>Onbekend</v>
      </c>
      <c r="N26">
        <v>588000</v>
      </c>
      <c r="O26" t="str">
        <v>v.o.n.</v>
      </c>
      <c r="P26">
        <v>156</v>
      </c>
      <c r="Q26">
        <v>3769</v>
      </c>
      <c r="R26">
        <v>282</v>
      </c>
      <c r="S26" t="str">
        <v>A+++</v>
      </c>
      <c r="T26">
        <v>4</v>
      </c>
      <c r="U26">
        <v>3</v>
      </c>
      <c r="V26" t="str">
        <v>Grondgebonden</v>
      </c>
      <c r="W26" t="str">
        <v>Geschakelde woning</v>
      </c>
      <c r="X26" t="str">
        <v>N.v.t.</v>
      </c>
      <c r="Y26" t="str">
        <v>Ja</v>
      </c>
      <c r="Z26" t="str">
        <v>openbare parkeerplaats</v>
      </c>
      <c r="AA26" t="str">
        <v>2027</v>
      </c>
      <c r="AB26" t="str">
        <v>Nee</v>
      </c>
      <c r="AC26" t="str">
        <v>NEE</v>
      </c>
      <c r="AD26" t="str">
        <v>JA</v>
      </c>
    </row>
    <row r="27">
      <c r="A27" t="str">
        <v>44428512</v>
      </c>
      <c r="B27" t="str">
        <v>https://www.funda.nl/detail/koop/rossum-ov/huis-hutt-rossum-rijwoning-bouwnummer-5-bouwnr-5/44428512/</v>
      </c>
      <c r="C27" t="str">
        <v>Hutt Rossum</v>
      </c>
      <c r="D27" t="str">
        <v>Hutt Rossum - rijwoning bouwnummer 5</v>
      </c>
      <c r="E27" t="str">
        <v>5</v>
      </c>
      <c r="F27" t="str">
        <v>7596 KE</v>
      </c>
      <c r="G27" t="str">
        <v>Rossum (OV)</v>
      </c>
      <c r="H27" t="str">
        <v>Dinkelland</v>
      </c>
      <c r="I27" t="str">
        <v>Overijssel</v>
      </c>
      <c r="J27" t="str">
        <v>Oost-Nederland</v>
      </c>
      <c r="K27" t="str">
        <v>Te koop</v>
      </c>
      <c r="L27" t="str">
        <v>Onbekend</v>
      </c>
      <c r="M27" t="str">
        <v>Onbekend</v>
      </c>
      <c r="N27">
        <v>405000</v>
      </c>
      <c r="O27" t="str">
        <v>v.o.n.</v>
      </c>
      <c r="P27">
        <v>113</v>
      </c>
      <c r="Q27">
        <v>3584</v>
      </c>
      <c r="R27">
        <v>128</v>
      </c>
      <c r="S27" t="str">
        <v>A+++</v>
      </c>
      <c r="T27">
        <v>4</v>
      </c>
      <c r="U27">
        <v>3</v>
      </c>
      <c r="V27" t="str">
        <v>Grondgebonden</v>
      </c>
      <c r="W27" t="str">
        <v>Eindwoning</v>
      </c>
      <c r="X27" t="str">
        <v>N.v.t.</v>
      </c>
      <c r="Y27" t="str">
        <v>Ja</v>
      </c>
      <c r="Z27" t="str">
        <v>openbare parkeerplaats</v>
      </c>
      <c r="AA27" t="str">
        <v>2027</v>
      </c>
      <c r="AB27" t="str">
        <v>Nee</v>
      </c>
      <c r="AC27" t="str">
        <v>NEE</v>
      </c>
      <c r="AD27" t="str">
        <v>JA</v>
      </c>
    </row>
    <row r="28">
      <c r="A28" t="str">
        <v>44428511</v>
      </c>
      <c r="B28" t="str">
        <v>https://www.funda.nl/detail/koop/rossum-ov/huis-hutt-rossum-bungalow-bouwnummer-13-bouwnr-13/44428511/</v>
      </c>
      <c r="C28" t="str">
        <v>Hutt Rossum</v>
      </c>
      <c r="D28" t="str">
        <v>Hutt Rossum - bungalow bouwnummer 13</v>
      </c>
      <c r="E28" t="str">
        <v>13</v>
      </c>
      <c r="F28" t="str">
        <v>7596 KE</v>
      </c>
      <c r="G28" t="str">
        <v>Rossum (OV)</v>
      </c>
      <c r="H28" t="str">
        <v>Dinkelland</v>
      </c>
      <c r="I28" t="str">
        <v>Overijssel</v>
      </c>
      <c r="J28" t="str">
        <v>Oost-Nederland</v>
      </c>
      <c r="K28" t="str">
        <v>Te koop</v>
      </c>
      <c r="L28" t="str">
        <v>Onbekend</v>
      </c>
      <c r="M28" t="str">
        <v>Onbekend</v>
      </c>
      <c r="N28">
        <v>598000</v>
      </c>
      <c r="O28" t="str">
        <v>v.o.n.</v>
      </c>
      <c r="P28">
        <v>156</v>
      </c>
      <c r="Q28">
        <v>3833</v>
      </c>
      <c r="R28">
        <v>267</v>
      </c>
      <c r="S28" t="str">
        <v>A+++</v>
      </c>
      <c r="T28">
        <v>4</v>
      </c>
      <c r="U28">
        <v>3</v>
      </c>
      <c r="V28" t="str">
        <v>Grondgebonden</v>
      </c>
      <c r="W28" t="str">
        <v>Geschakelde woning</v>
      </c>
      <c r="X28" t="str">
        <v>N.v.t.</v>
      </c>
      <c r="Y28" t="str">
        <v>Ja</v>
      </c>
      <c r="Z28" t="str">
        <v>openbare parkeerplaats</v>
      </c>
      <c r="AA28" t="str">
        <v>2027</v>
      </c>
      <c r="AB28" t="str">
        <v>Nee</v>
      </c>
      <c r="AC28" t="str">
        <v>NEE</v>
      </c>
      <c r="AD28" t="str">
        <v>JA</v>
      </c>
    </row>
    <row r="29">
      <c r="A29" t="str">
        <v>44428510</v>
      </c>
      <c r="B29" t="str">
        <v>https://www.funda.nl/detail/koop/rossum-ov/huis-hutt-rossum-bungalow-bouwnummer-12-bouwnr-12/44428510/</v>
      </c>
      <c r="C29" t="str">
        <v>Hutt Rossum</v>
      </c>
      <c r="D29" t="str">
        <v>Hutt Rossum - bungalow bouwnummer 12</v>
      </c>
      <c r="E29" t="str">
        <v>12</v>
      </c>
      <c r="F29" t="str">
        <v>7596 KE</v>
      </c>
      <c r="G29" t="str">
        <v>Rossum (OV)</v>
      </c>
      <c r="H29" t="str">
        <v>Dinkelland</v>
      </c>
      <c r="I29" t="str">
        <v>Overijssel</v>
      </c>
      <c r="J29" t="str">
        <v>Oost-Nederland</v>
      </c>
      <c r="K29" t="str">
        <v>Te koop</v>
      </c>
      <c r="L29" t="str">
        <v>Onbekend</v>
      </c>
      <c r="M29" t="str">
        <v>Onbekend</v>
      </c>
      <c r="N29">
        <v>588000</v>
      </c>
      <c r="O29" t="str">
        <v>v.o.n.</v>
      </c>
      <c r="P29">
        <v>156</v>
      </c>
      <c r="Q29">
        <v>3769</v>
      </c>
      <c r="R29">
        <v>271</v>
      </c>
      <c r="S29" t="str">
        <v>A+++</v>
      </c>
      <c r="T29">
        <v>4</v>
      </c>
      <c r="U29">
        <v>3</v>
      </c>
      <c r="V29" t="str">
        <v>Grondgebonden</v>
      </c>
      <c r="W29" t="str">
        <v>Geschakelde woning</v>
      </c>
      <c r="X29" t="str">
        <v>N.v.t.</v>
      </c>
      <c r="Y29" t="str">
        <v>Ja</v>
      </c>
      <c r="Z29" t="str">
        <v>openbare parkeerplaats</v>
      </c>
      <c r="AA29" t="str">
        <v>2027</v>
      </c>
      <c r="AB29" t="str">
        <v>Nee</v>
      </c>
      <c r="AC29" t="str">
        <v>NEE</v>
      </c>
      <c r="AD29" t="str">
        <v>JA</v>
      </c>
    </row>
    <row r="30">
      <c r="A30" t="str">
        <v>44428519</v>
      </c>
      <c r="B30" t="str">
        <v>https://www.funda.nl/detail/koop/rossum-ov/huis-hutt-rossum-bungalow-bouwnummer-14-bouwnr-14/44428519/</v>
      </c>
      <c r="C30" t="str">
        <v>Hutt Rossum</v>
      </c>
      <c r="D30" t="str">
        <v>Hutt Rossum - bungalow bouwnummer 14</v>
      </c>
      <c r="E30" t="str">
        <v>14</v>
      </c>
      <c r="F30" t="str">
        <v>7596 KE</v>
      </c>
      <c r="G30" t="str">
        <v>Rossum (OV)</v>
      </c>
      <c r="H30" t="str">
        <v>Dinkelland</v>
      </c>
      <c r="I30" t="str">
        <v>Overijssel</v>
      </c>
      <c r="J30" t="str">
        <v>Oost-Nederland</v>
      </c>
      <c r="K30" t="str">
        <v>Te koop</v>
      </c>
      <c r="L30" t="str">
        <v>Onbekend</v>
      </c>
      <c r="M30" t="str">
        <v>Onbekend</v>
      </c>
      <c r="N30">
        <v>650000</v>
      </c>
      <c r="O30" t="str">
        <v>v.o.n.</v>
      </c>
      <c r="P30">
        <v>153</v>
      </c>
      <c r="Q30">
        <v>4248</v>
      </c>
      <c r="R30">
        <v>529</v>
      </c>
      <c r="S30" t="str">
        <v>A+++</v>
      </c>
      <c r="T30">
        <v>4</v>
      </c>
      <c r="U30">
        <v>3</v>
      </c>
      <c r="V30" t="str">
        <v>Grondgebonden</v>
      </c>
      <c r="W30" t="str">
        <v>Geschakelde woning</v>
      </c>
      <c r="X30" t="str">
        <v>N.v.t.</v>
      </c>
      <c r="Y30" t="str">
        <v>Ja</v>
      </c>
      <c r="Z30" t="str">
        <v>openbare parkeerplaats</v>
      </c>
      <c r="AA30" t="str">
        <v>2027</v>
      </c>
      <c r="AB30" t="str">
        <v>Nee</v>
      </c>
      <c r="AC30" t="str">
        <v>NEE</v>
      </c>
      <c r="AD30" t="str">
        <v>JA</v>
      </c>
    </row>
    <row r="31">
      <c r="A31" t="str">
        <v>44428518</v>
      </c>
      <c r="B31" t="str">
        <v>https://www.funda.nl/detail/koop/rossum-ov/huis-hutt-rossum-rijwoning-bouwnummer-2-bouwnr-2/44428518/</v>
      </c>
      <c r="C31" t="str">
        <v>Hutt Rossum</v>
      </c>
      <c r="D31" t="str">
        <v>Hutt Rossum - rijwoning bouwnummer 2</v>
      </c>
      <c r="E31" t="str">
        <v>2</v>
      </c>
      <c r="F31" t="str">
        <v>7596 KE</v>
      </c>
      <c r="G31" t="str">
        <v>Rossum (OV)</v>
      </c>
      <c r="H31" t="str">
        <v>Dinkelland</v>
      </c>
      <c r="I31" t="str">
        <v>Overijssel</v>
      </c>
      <c r="J31" t="str">
        <v>Oost-Nederland</v>
      </c>
      <c r="K31" t="str">
        <v>Te koop</v>
      </c>
      <c r="L31" t="str">
        <v>Onbekend</v>
      </c>
      <c r="M31" t="str">
        <v>Onbekend</v>
      </c>
      <c r="N31">
        <v>405000</v>
      </c>
      <c r="O31" t="str">
        <v>v.o.n.</v>
      </c>
      <c r="P31">
        <v>113</v>
      </c>
      <c r="Q31">
        <v>3584</v>
      </c>
      <c r="R31">
        <v>134</v>
      </c>
      <c r="S31" t="str">
        <v>A+++</v>
      </c>
      <c r="T31">
        <v>4</v>
      </c>
      <c r="U31">
        <v>3</v>
      </c>
      <c r="V31" t="str">
        <v>Grondgebonden</v>
      </c>
      <c r="W31" t="str">
        <v>Tussenwoning</v>
      </c>
      <c r="X31" t="str">
        <v>N.v.t.</v>
      </c>
      <c r="Y31" t="str">
        <v>Ja</v>
      </c>
      <c r="Z31" t="str">
        <v>openbare parkeerplaats</v>
      </c>
      <c r="AA31" t="str">
        <v>2027</v>
      </c>
      <c r="AB31" t="str">
        <v>Nee</v>
      </c>
      <c r="AC31" t="str">
        <v>NEE</v>
      </c>
      <c r="AD31" t="str">
        <v>JA</v>
      </c>
    </row>
    <row r="32">
      <c r="A32" t="str">
        <v>44428517</v>
      </c>
      <c r="B32" t="str">
        <v>https://www.funda.nl/detail/koop/rossum-ov/huis-hutt-rossum-rijwoning-bouwnummer-3-bouwnr-3/44428517/</v>
      </c>
      <c r="C32" t="str">
        <v>Hutt Rossum</v>
      </c>
      <c r="D32" t="str">
        <v>Hutt Rossum - rijwoning bouwnummer 3</v>
      </c>
      <c r="E32" t="str">
        <v>3</v>
      </c>
      <c r="F32" t="str">
        <v>7596 KE</v>
      </c>
      <c r="G32" t="str">
        <v>Rossum (OV)</v>
      </c>
      <c r="H32" t="str">
        <v>Dinkelland</v>
      </c>
      <c r="I32" t="str">
        <v>Overijssel</v>
      </c>
      <c r="J32" t="str">
        <v>Oost-Nederland</v>
      </c>
      <c r="K32" t="str">
        <v>Te koop</v>
      </c>
      <c r="L32" t="str">
        <v>2026-07-05</v>
      </c>
      <c r="M32">
        <v>8</v>
      </c>
      <c r="N32">
        <v>405000</v>
      </c>
      <c r="O32" t="str">
        <v>v.o.n.</v>
      </c>
      <c r="P32">
        <v>113</v>
      </c>
      <c r="Q32">
        <v>3584</v>
      </c>
      <c r="R32">
        <v>134</v>
      </c>
      <c r="S32" t="str">
        <v>A+++</v>
      </c>
      <c r="T32">
        <v>4</v>
      </c>
      <c r="U32">
        <v>3</v>
      </c>
      <c r="V32" t="str">
        <v>Grondgebonden</v>
      </c>
      <c r="W32" t="str">
        <v>Tussenwoning</v>
      </c>
      <c r="X32" t="str">
        <v>N.v.t.</v>
      </c>
      <c r="Y32" t="str">
        <v>Ja</v>
      </c>
      <c r="Z32" t="str">
        <v>openbare parkeerplaats</v>
      </c>
      <c r="AA32" t="str">
        <v>2027</v>
      </c>
      <c r="AB32" t="str">
        <v>Nee</v>
      </c>
      <c r="AC32" t="str">
        <v>NEE</v>
      </c>
      <c r="AD32" t="str">
        <v>JA</v>
      </c>
    </row>
    <row r="33">
      <c r="A33" t="str">
        <v>44428516</v>
      </c>
      <c r="B33" t="str">
        <v>https://www.funda.nl/detail/koop/rossum-ov/huis-hutt-rossum-rijwoning-bouwnummer-4-bouwnr-4/44428516/</v>
      </c>
      <c r="C33" t="str">
        <v>Hutt Rossum</v>
      </c>
      <c r="D33" t="str">
        <v>Hutt Rossum - rijwoning bouwnummer 4</v>
      </c>
      <c r="E33" t="str">
        <v>4</v>
      </c>
      <c r="F33" t="str">
        <v>7596 KE</v>
      </c>
      <c r="G33" t="str">
        <v>Rossum (OV)</v>
      </c>
      <c r="H33" t="str">
        <v>Dinkelland</v>
      </c>
      <c r="I33" t="str">
        <v>Overijssel</v>
      </c>
      <c r="J33" t="str">
        <v>Oost-Nederland</v>
      </c>
      <c r="K33" t="str">
        <v>Te koop</v>
      </c>
      <c r="L33" t="str">
        <v>Onbekend</v>
      </c>
      <c r="M33" t="str">
        <v>Onbekend</v>
      </c>
      <c r="N33">
        <v>405000</v>
      </c>
      <c r="O33" t="str">
        <v>v.o.n.</v>
      </c>
      <c r="P33">
        <v>113</v>
      </c>
      <c r="Q33">
        <v>3584</v>
      </c>
      <c r="R33">
        <v>134</v>
      </c>
      <c r="S33" t="str">
        <v>A+++</v>
      </c>
      <c r="T33">
        <v>4</v>
      </c>
      <c r="U33">
        <v>3</v>
      </c>
      <c r="V33" t="str">
        <v>Grondgebonden</v>
      </c>
      <c r="W33" t="str">
        <v>Tussenwoning</v>
      </c>
      <c r="X33" t="str">
        <v>N.v.t.</v>
      </c>
      <c r="Y33" t="str">
        <v>Ja</v>
      </c>
      <c r="Z33" t="str">
        <v>openbare parkeerplaats</v>
      </c>
      <c r="AA33" t="str">
        <v>2027</v>
      </c>
      <c r="AB33" t="str">
        <v>Nee</v>
      </c>
      <c r="AC33" t="str">
        <v>NEE</v>
      </c>
      <c r="AD33" t="str">
        <v>JA</v>
      </c>
    </row>
    <row r="34">
      <c r="A34" t="str">
        <v>44428515</v>
      </c>
      <c r="B34" t="str">
        <v>https://www.funda.nl/detail/koop/rossum-ov/huis-hutt-rossum-rijwoning-bouwnummer-1-bouwnr-1/44428515/</v>
      </c>
      <c r="C34" t="str">
        <v>Hutt Rossum</v>
      </c>
      <c r="D34" t="str">
        <v>Hutt Rossum - rijwoning bouwnummer 1</v>
      </c>
      <c r="E34" t="str">
        <v>1</v>
      </c>
      <c r="F34" t="str">
        <v>7596 KE</v>
      </c>
      <c r="G34" t="str">
        <v>Rossum (OV)</v>
      </c>
      <c r="H34" t="str">
        <v>Dinkelland</v>
      </c>
      <c r="I34" t="str">
        <v>Overijssel</v>
      </c>
      <c r="J34" t="str">
        <v>Oost-Nederland</v>
      </c>
      <c r="K34" t="str">
        <v>Te koop</v>
      </c>
      <c r="L34" t="str">
        <v>Onbekend</v>
      </c>
      <c r="M34" t="str">
        <v>Onbekend</v>
      </c>
      <c r="N34">
        <v>405000</v>
      </c>
      <c r="O34" t="str">
        <v>v.o.n.</v>
      </c>
      <c r="P34">
        <v>113</v>
      </c>
      <c r="Q34">
        <v>3584</v>
      </c>
      <c r="R34">
        <v>182</v>
      </c>
      <c r="S34" t="str">
        <v>A+++</v>
      </c>
      <c r="T34">
        <v>4</v>
      </c>
      <c r="U34">
        <v>3</v>
      </c>
      <c r="V34" t="str">
        <v>Grondgebonden</v>
      </c>
      <c r="W34" t="str">
        <v>Eindwoning</v>
      </c>
      <c r="X34" t="str">
        <v>N.v.t.</v>
      </c>
      <c r="Y34" t="str">
        <v>Ja</v>
      </c>
      <c r="Z34" t="str">
        <v>openbare parkeerplaats</v>
      </c>
      <c r="AA34" t="str">
        <v>2027</v>
      </c>
      <c r="AB34" t="str">
        <v>Nee</v>
      </c>
      <c r="AC34" t="str">
        <v>NEE</v>
      </c>
      <c r="AD34" t="str">
        <v>JA</v>
      </c>
    </row>
  </sheetData>
  <autoFilter ref="A24:AD34"/>
  <ignoredErrors>
    <ignoredError numberStoredAsText="1" sqref="A1:AD3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Doetinchem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838500</v>
      </c>
    </row>
    <row r="9">
      <c r="A9" t="str">
        <v>Mediaan VON-prijs (€)</v>
      </c>
      <c r="B9">
        <v>838500</v>
      </c>
    </row>
    <row r="10">
      <c r="A10" t="str">
        <v>Gemiddelde VON-prijs per m² (€)</v>
      </c>
      <c r="B10">
        <v>4322</v>
      </c>
    </row>
    <row r="11">
      <c r="A11" t="str">
        <v>Mediaan VON-prijs per m² (€)</v>
      </c>
      <c r="B11">
        <v>4322</v>
      </c>
    </row>
    <row r="12">
      <c r="A12" t="str">
        <v>Gemiddelde GBO (m²)</v>
      </c>
      <c r="B12">
        <v>194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Doetinchem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44423788</v>
      </c>
      <c r="B23" t="str">
        <v>https://www.funda.nl/detail/koop/wehl/huis-mantelspeld-15/44423788/</v>
      </c>
      <c r="C23" t="str">
        <v>Onbekend</v>
      </c>
      <c r="D23" t="str">
        <v>Mantelspeld 15</v>
      </c>
      <c r="E23" t="str">
        <v>Onbekend</v>
      </c>
      <c r="F23" t="str">
        <v>7031 EZ</v>
      </c>
      <c r="G23" t="str">
        <v>Wehl</v>
      </c>
      <c r="H23" t="str">
        <v>Doetinchem</v>
      </c>
      <c r="I23" t="str">
        <v>Gelderland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838500</v>
      </c>
      <c r="O23" t="str">
        <v>v.o.n.</v>
      </c>
      <c r="P23">
        <v>194</v>
      </c>
      <c r="Q23">
        <v>4322</v>
      </c>
      <c r="R23">
        <v>403</v>
      </c>
      <c r="S23" t="str">
        <v>A+++</v>
      </c>
      <c r="T23">
        <v>6</v>
      </c>
      <c r="U23">
        <v>4</v>
      </c>
      <c r="V23" t="str">
        <v>Grondgebonden</v>
      </c>
      <c r="W23" t="str">
        <v>Vrijstaande woning</v>
      </c>
      <c r="X23" t="str">
        <v>N.v.t.</v>
      </c>
      <c r="Y23" t="str">
        <v>Ja</v>
      </c>
      <c r="Z23" t="str">
        <v>garage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AD2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Dronten</v>
      </c>
    </row>
    <row r="3">
      <c r="A3" t="str">
        <v>Samenvatting</v>
      </c>
    </row>
    <row r="4">
      <c r="A4" t="str">
        <v>Aantal woningen</v>
      </c>
      <c r="B4">
        <v>2</v>
      </c>
    </row>
    <row r="5">
      <c r="A5" t="str">
        <v>Aantal te koop</v>
      </c>
      <c r="B5">
        <v>2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717500</v>
      </c>
    </row>
    <row r="9">
      <c r="A9" t="str">
        <v>Mediaan VON-prijs (€)</v>
      </c>
      <c r="B9">
        <v>717500</v>
      </c>
    </row>
    <row r="10">
      <c r="A10" t="str">
        <v>Gemiddelde VON-prijs per m² (€)</v>
      </c>
      <c r="B10">
        <v>4629</v>
      </c>
    </row>
    <row r="11">
      <c r="A11" t="str">
        <v>Mediaan VON-prijs per m² (€)</v>
      </c>
      <c r="B11">
        <v>4629</v>
      </c>
    </row>
    <row r="12">
      <c r="A12" t="str">
        <v>Gemiddelde GBO (m²)</v>
      </c>
      <c r="B12">
        <v>155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2</v>
      </c>
    </row>
    <row r="19">
      <c r="A19" t="str">
        <v>Uitsplitsing appartementcategorieen</v>
      </c>
      <c r="B19" t="str">
        <v>Aantal</v>
      </c>
    </row>
    <row r="21">
      <c r="A21" t="str">
        <v>Alle woningen in Dronten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44420549</v>
      </c>
      <c r="B23" t="str">
        <v>https://www.funda.nl/detail/koop/dronten/huis-peterhof-8/44420549/</v>
      </c>
      <c r="C23" t="str">
        <v>Onbekend</v>
      </c>
      <c r="D23" t="str">
        <v>Peterhof 8</v>
      </c>
      <c r="E23" t="str">
        <v>Onbekend</v>
      </c>
      <c r="F23" t="str">
        <v>8251 KG</v>
      </c>
      <c r="G23" t="str">
        <v>Dronten</v>
      </c>
      <c r="H23" t="str">
        <v>Dronten</v>
      </c>
      <c r="I23" t="str">
        <v>Flevoland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710000</v>
      </c>
      <c r="O23" t="str">
        <v>v.o.n.</v>
      </c>
      <c r="P23">
        <v>155</v>
      </c>
      <c r="Q23">
        <v>4581</v>
      </c>
      <c r="R23" t="str">
        <v>Onbekend</v>
      </c>
      <c r="S23" t="str">
        <v>Niet beschikbaar</v>
      </c>
      <c r="T23">
        <v>10</v>
      </c>
      <c r="U23">
        <v>5</v>
      </c>
      <c r="V23" t="str">
        <v>Grondgebonden</v>
      </c>
      <c r="W23" t="str">
        <v>Vrijstaande woning</v>
      </c>
      <c r="X23" t="str">
        <v>N.v.t.</v>
      </c>
      <c r="Y23" t="str">
        <v>Ja</v>
      </c>
      <c r="Z23" t="str">
        <v>eigen parkeerplaats</v>
      </c>
      <c r="AA23" t="str">
        <v>2026</v>
      </c>
      <c r="AB23" t="str">
        <v>Nee</v>
      </c>
      <c r="AC23" t="str">
        <v>NEE</v>
      </c>
      <c r="AD23" t="str">
        <v>JA</v>
      </c>
    </row>
    <row r="24">
      <c r="A24" t="str">
        <v>44420543</v>
      </c>
      <c r="B24" t="str">
        <v>https://www.funda.nl/detail/koop/dronten/huis-peterhof-2/44420543/</v>
      </c>
      <c r="C24" t="str">
        <v>Onbekend</v>
      </c>
      <c r="D24" t="str">
        <v>Peterhof 2</v>
      </c>
      <c r="E24" t="str">
        <v>Onbekend</v>
      </c>
      <c r="F24" t="str">
        <v>8251 KG</v>
      </c>
      <c r="G24" t="str">
        <v>Dronten</v>
      </c>
      <c r="H24" t="str">
        <v>Dronten</v>
      </c>
      <c r="I24" t="str">
        <v>Flevoland</v>
      </c>
      <c r="J24" t="str">
        <v>Oost-Nederland</v>
      </c>
      <c r="K24" t="str">
        <v>Te koop</v>
      </c>
      <c r="L24" t="str">
        <v>Onbekend</v>
      </c>
      <c r="M24" t="str">
        <v>Onbekend</v>
      </c>
      <c r="N24">
        <v>725000</v>
      </c>
      <c r="O24" t="str">
        <v>v.o.n.</v>
      </c>
      <c r="P24">
        <v>155</v>
      </c>
      <c r="Q24">
        <v>4677</v>
      </c>
      <c r="R24" t="str">
        <v>Onbekend</v>
      </c>
      <c r="S24" t="str">
        <v>Niet beschikbaar</v>
      </c>
      <c r="T24">
        <v>10</v>
      </c>
      <c r="U24">
        <v>5</v>
      </c>
      <c r="V24" t="str">
        <v>Grondgebonden</v>
      </c>
      <c r="W24" t="str">
        <v>Vrijstaande woning</v>
      </c>
      <c r="X24" t="str">
        <v>N.v.t.</v>
      </c>
      <c r="Y24" t="str">
        <v>Ja</v>
      </c>
      <c r="Z24" t="str">
        <v>eigen parkeerplaats</v>
      </c>
      <c r="AA24" t="str">
        <v>2026</v>
      </c>
      <c r="AB24" t="str">
        <v>Nee</v>
      </c>
      <c r="AC24" t="str">
        <v>NEE</v>
      </c>
      <c r="AD24" t="str">
        <v>JA</v>
      </c>
    </row>
  </sheetData>
  <autoFilter ref="A22:AD24"/>
  <ignoredErrors>
    <ignoredError numberStoredAsText="1" sqref="A1:AD2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AD2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Echt-Susteren</v>
      </c>
    </row>
    <row r="3">
      <c r="A3" t="str">
        <v>Samenvatting</v>
      </c>
    </row>
    <row r="4">
      <c r="A4" t="str">
        <v>Aantal woningen</v>
      </c>
      <c r="B4">
        <v>2</v>
      </c>
    </row>
    <row r="5">
      <c r="A5" t="str">
        <v>Aantal te koop</v>
      </c>
      <c r="B5">
        <v>2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420000</v>
      </c>
    </row>
    <row r="9">
      <c r="A9" t="str">
        <v>Mediaan VON-prijs (€)</v>
      </c>
      <c r="B9">
        <v>420000</v>
      </c>
    </row>
    <row r="10">
      <c r="A10" t="str">
        <v>Gemiddelde VON-prijs per m² (€)</v>
      </c>
      <c r="B10">
        <v>4000</v>
      </c>
    </row>
    <row r="11">
      <c r="A11" t="str">
        <v>Mediaan VON-prijs per m² (€)</v>
      </c>
      <c r="B11">
        <v>4000</v>
      </c>
    </row>
    <row r="12">
      <c r="A12" t="str">
        <v>Gemiddelde GBO (m²)</v>
      </c>
      <c r="B12">
        <v>105</v>
      </c>
    </row>
    <row r="13">
      <c r="A13" t="str">
        <v>Gemiddelde looptijd (dagen)</v>
      </c>
      <c r="B13">
        <v>6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2-onder-1-kapwoning</v>
      </c>
      <c r="B17">
        <v>2</v>
      </c>
    </row>
    <row r="19">
      <c r="A19" t="str">
        <v>Uitsplitsing appartementcategorieen</v>
      </c>
      <c r="B19" t="str">
        <v>Aantal</v>
      </c>
    </row>
    <row r="21">
      <c r="A21" t="str">
        <v>Alle woningen in Echt-Susteren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80883704</v>
      </c>
      <c r="B23" t="str">
        <v>https://www.funda.nl/detail/koop/echt/huis-dijkveldstraat-38/80883704/</v>
      </c>
      <c r="C23" t="str">
        <v>Onbekend</v>
      </c>
      <c r="D23" t="str">
        <v>Dijkveldstraat 38</v>
      </c>
      <c r="E23" t="str">
        <v>Onbekend</v>
      </c>
      <c r="F23" t="str">
        <v>6102 VR</v>
      </c>
      <c r="G23" t="str">
        <v>Echt</v>
      </c>
      <c r="H23" t="str">
        <v>Echt-Susteren</v>
      </c>
      <c r="I23" t="str">
        <v>Limburg</v>
      </c>
      <c r="J23" t="str">
        <v>Zuid-Nederland</v>
      </c>
      <c r="K23" t="str">
        <v>Te koop</v>
      </c>
      <c r="L23" t="str">
        <v>2026-07-07</v>
      </c>
      <c r="M23">
        <v>6</v>
      </c>
      <c r="N23">
        <v>420000</v>
      </c>
      <c r="O23" t="str">
        <v>v.o.n.</v>
      </c>
      <c r="P23">
        <v>105</v>
      </c>
      <c r="Q23">
        <v>4000</v>
      </c>
      <c r="R23">
        <v>195</v>
      </c>
      <c r="S23" t="str">
        <v>A+++</v>
      </c>
      <c r="T23">
        <v>4</v>
      </c>
      <c r="U23">
        <v>3</v>
      </c>
      <c r="V23" t="str">
        <v>Grondgebonden</v>
      </c>
      <c r="W23" t="str">
        <v>2-onder-1-kapwoning</v>
      </c>
      <c r="X23" t="str">
        <v>N.v.t.</v>
      </c>
      <c r="Y23" t="str">
        <v>Ja</v>
      </c>
      <c r="Z23" t="str">
        <v>openbare parkeerplaats</v>
      </c>
      <c r="AA23" t="str">
        <v>2026</v>
      </c>
      <c r="AB23" t="str">
        <v>Nee</v>
      </c>
      <c r="AC23" t="str">
        <v>NEE</v>
      </c>
      <c r="AD23" t="str">
        <v>JA</v>
      </c>
    </row>
    <row r="24">
      <c r="A24" t="str">
        <v>80883621</v>
      </c>
      <c r="B24" t="str">
        <v>https://www.funda.nl/detail/koop/echt/huis-dijkveldstraat-36/80883621/</v>
      </c>
      <c r="C24" t="str">
        <v>Onbekend</v>
      </c>
      <c r="D24" t="str">
        <v>Dijkveldstraat 36</v>
      </c>
      <c r="E24" t="str">
        <v>Onbekend</v>
      </c>
      <c r="F24" t="str">
        <v>6102 VR</v>
      </c>
      <c r="G24" t="str">
        <v>Echt</v>
      </c>
      <c r="H24" t="str">
        <v>Echt-Susteren</v>
      </c>
      <c r="I24" t="str">
        <v>Limburg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420000</v>
      </c>
      <c r="O24" t="str">
        <v>v.o.n.</v>
      </c>
      <c r="P24">
        <v>105</v>
      </c>
      <c r="Q24">
        <v>4000</v>
      </c>
      <c r="R24">
        <v>205</v>
      </c>
      <c r="S24" t="str">
        <v>A+++</v>
      </c>
      <c r="T24">
        <v>4</v>
      </c>
      <c r="U24">
        <v>3</v>
      </c>
      <c r="V24" t="str">
        <v>Grondgebonden</v>
      </c>
      <c r="W24" t="str">
        <v>2-onder-1-kapwoning</v>
      </c>
      <c r="X24" t="str">
        <v>N.v.t.</v>
      </c>
      <c r="Y24" t="str">
        <v>Ja</v>
      </c>
      <c r="Z24" t="str">
        <v>openbare parkeerplaats</v>
      </c>
      <c r="AA24" t="str">
        <v>2026</v>
      </c>
      <c r="AB24" t="str">
        <v>Nee</v>
      </c>
      <c r="AC24" t="str">
        <v>NEE</v>
      </c>
      <c r="AD24" t="str">
        <v>JA</v>
      </c>
    </row>
  </sheetData>
  <autoFilter ref="A22:AD24"/>
  <ignoredErrors>
    <ignoredError numberStoredAsText="1" sqref="A1:AD2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AD29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Eindhoven</v>
      </c>
    </row>
    <row r="3">
      <c r="A3" t="str">
        <v>Samenvatting</v>
      </c>
    </row>
    <row r="4">
      <c r="A4" t="str">
        <v>Aantal woningen</v>
      </c>
      <c r="B4">
        <v>6</v>
      </c>
    </row>
    <row r="5">
      <c r="A5" t="str">
        <v>Aantal te koop</v>
      </c>
      <c r="B5">
        <v>6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441667</v>
      </c>
    </row>
    <row r="9">
      <c r="A9" t="str">
        <v>Mediaan VON-prijs (€)</v>
      </c>
      <c r="B9">
        <v>400000</v>
      </c>
    </row>
    <row r="10">
      <c r="A10" t="str">
        <v>Gemiddelde VON-prijs per m² (€)</v>
      </c>
      <c r="B10">
        <v>5794</v>
      </c>
    </row>
    <row r="11">
      <c r="A11" t="str">
        <v>Mediaan VON-prijs per m² (€)</v>
      </c>
      <c r="B11">
        <v>5769</v>
      </c>
    </row>
    <row r="12">
      <c r="A12" t="str">
        <v>Gemiddelde GBO (m²)</v>
      </c>
      <c r="B12">
        <v>77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50-75 m²</v>
      </c>
      <c r="B19">
        <v>5</v>
      </c>
    </row>
    <row r="20">
      <c r="A20" t="str">
        <v>Appartement &gt;100 m²</v>
      </c>
      <c r="B20">
        <v>1</v>
      </c>
    </row>
    <row r="22">
      <c r="A22" t="str">
        <v>Alle woningen in Eindhoven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44420624</v>
      </c>
      <c r="B24" t="str">
        <v>https://www.funda.nl/detail/koop/eindhoven/appartement-138-2-kmr-app-iii-the-weaver-bouwnr-138/44420624/</v>
      </c>
      <c r="C24" t="str">
        <v>Het Gildekwartier - The Weaver te Eindhoven</v>
      </c>
      <c r="D24" t="str">
        <v>138 | 2-kmr app III | The Weaver</v>
      </c>
      <c r="E24" t="str">
        <v>138</v>
      </c>
      <c r="F24" t="str">
        <v>5612 BS</v>
      </c>
      <c r="G24" t="str">
        <v>Eindhoven</v>
      </c>
      <c r="H24" t="str">
        <v>Eindhoven</v>
      </c>
      <c r="I24" t="str">
        <v>Noord-Brabant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415000</v>
      </c>
      <c r="O24" t="str">
        <v>v.o.n.</v>
      </c>
      <c r="P24">
        <v>72</v>
      </c>
      <c r="Q24">
        <v>5764</v>
      </c>
      <c r="R24" t="str">
        <v>Onbekend</v>
      </c>
      <c r="S24" t="str">
        <v>A++</v>
      </c>
      <c r="T24">
        <v>2</v>
      </c>
      <c r="U24">
        <v>1</v>
      </c>
      <c r="V24" t="str">
        <v>Appartement</v>
      </c>
      <c r="W24" t="str">
        <v>Appartement</v>
      </c>
      <c r="X24" t="str">
        <v>Appartement 50-75 m²</v>
      </c>
      <c r="Y24" t="str">
        <v>Ja</v>
      </c>
      <c r="Z24" t="str">
        <v>garage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44420626</v>
      </c>
      <c r="B25" t="str">
        <v>https://www.funda.nl/detail/koop/eindhoven/appartement-159-3-kmr-app-i-the-weaver-bouwnr-159/44420626/</v>
      </c>
      <c r="C25" t="str">
        <v>Het Gildekwartier - The Weaver te Eindhoven</v>
      </c>
      <c r="D25" t="str">
        <v>159 | 3-kmr app I | The Weaver</v>
      </c>
      <c r="E25" t="str">
        <v>159</v>
      </c>
      <c r="F25" t="str">
        <v>5612 BS</v>
      </c>
      <c r="G25" t="str">
        <v>Eindhoven</v>
      </c>
      <c r="H25" t="str">
        <v>Eindhoven</v>
      </c>
      <c r="I25" t="str">
        <v>Noord-Brabant</v>
      </c>
      <c r="J25" t="str">
        <v>Zuid-Nederland</v>
      </c>
      <c r="K25" t="str">
        <v>Te koop</v>
      </c>
      <c r="L25" t="str">
        <v>Onbekend</v>
      </c>
      <c r="M25" t="str">
        <v>Onbekend</v>
      </c>
      <c r="N25">
        <v>385000</v>
      </c>
      <c r="O25" t="str">
        <v>v.o.n.</v>
      </c>
      <c r="P25">
        <v>62</v>
      </c>
      <c r="Q25">
        <v>6210</v>
      </c>
      <c r="R25" t="str">
        <v>Onbekend</v>
      </c>
      <c r="S25" t="str">
        <v>A++</v>
      </c>
      <c r="T25">
        <v>3</v>
      </c>
      <c r="U25">
        <v>2</v>
      </c>
      <c r="V25" t="str">
        <v>Appartement</v>
      </c>
      <c r="W25" t="str">
        <v>Appartement</v>
      </c>
      <c r="X25" t="str">
        <v>Appartement 50-75 m²</v>
      </c>
      <c r="Y25" t="str">
        <v>Ja</v>
      </c>
      <c r="Z25" t="str">
        <v>garage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44420652</v>
      </c>
      <c r="B26" t="str">
        <v>https://www.funda.nl/detail/koop/eindhoven/appartement-164-penthouse-the-weaver-bouwnr-164/44420652/</v>
      </c>
      <c r="C26" t="str">
        <v>Het Gildekwartier - The Weaver te Eindhoven</v>
      </c>
      <c r="D26" t="str">
        <v>164 | Penthouse | The Weaver</v>
      </c>
      <c r="E26" t="str">
        <v>164</v>
      </c>
      <c r="F26" t="str">
        <v>5612 BS</v>
      </c>
      <c r="G26" t="str">
        <v>Eindhoven</v>
      </c>
      <c r="H26" t="str">
        <v>Eindhoven</v>
      </c>
      <c r="I26" t="str">
        <v>Noord-Brabant</v>
      </c>
      <c r="J26" t="str">
        <v>Zuid-Nederland</v>
      </c>
      <c r="K26" t="str">
        <v>Te koop</v>
      </c>
      <c r="L26" t="str">
        <v>Onbekend</v>
      </c>
      <c r="M26" t="str">
        <v>Onbekend</v>
      </c>
      <c r="N26">
        <v>655000</v>
      </c>
      <c r="O26" t="str">
        <v>v.o.n.</v>
      </c>
      <c r="P26">
        <v>125</v>
      </c>
      <c r="Q26">
        <v>5240</v>
      </c>
      <c r="R26" t="str">
        <v>Onbekend</v>
      </c>
      <c r="S26" t="str">
        <v>A++</v>
      </c>
      <c r="T26">
        <v>3</v>
      </c>
      <c r="U26">
        <v>2</v>
      </c>
      <c r="V26" t="str">
        <v>Appartement</v>
      </c>
      <c r="W26" t="str">
        <v>Appartement</v>
      </c>
      <c r="X26" t="str">
        <v>Appartement &gt;100 m²</v>
      </c>
      <c r="Y26" t="str">
        <v>Ja</v>
      </c>
      <c r="Z26" t="str">
        <v>garage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44420635</v>
      </c>
      <c r="B27" t="str">
        <v>https://www.funda.nl/detail/koop/eindhoven/appartement-122-2-kmr-app-ii-the-weaver-bouwnr-122/44420635/</v>
      </c>
      <c r="C27" t="str">
        <v>Het Gildekwartier - The Weaver te Eindhoven</v>
      </c>
      <c r="D27" t="str">
        <v>122 | 2-kmr app II | The Weaver</v>
      </c>
      <c r="E27" t="str">
        <v>122</v>
      </c>
      <c r="F27" t="str">
        <v>5612 BS</v>
      </c>
      <c r="G27" t="str">
        <v>Eindhoven</v>
      </c>
      <c r="H27" t="str">
        <v>Eindhoven</v>
      </c>
      <c r="I27" t="str">
        <v>Noord-Brabant</v>
      </c>
      <c r="J27" t="str">
        <v>Zuid-Nederland</v>
      </c>
      <c r="K27" t="str">
        <v>Te koop</v>
      </c>
      <c r="L27" t="str">
        <v>Onbekend</v>
      </c>
      <c r="M27" t="str">
        <v>Onbekend</v>
      </c>
      <c r="N27">
        <v>375000</v>
      </c>
      <c r="O27" t="str">
        <v>v.o.n.</v>
      </c>
      <c r="P27">
        <v>65</v>
      </c>
      <c r="Q27">
        <v>5769</v>
      </c>
      <c r="R27" t="str">
        <v>Onbekend</v>
      </c>
      <c r="S27" t="str">
        <v>A++</v>
      </c>
      <c r="T27">
        <v>2</v>
      </c>
      <c r="U27">
        <v>1</v>
      </c>
      <c r="V27" t="str">
        <v>Appartement</v>
      </c>
      <c r="W27" t="str">
        <v>Appartement</v>
      </c>
      <c r="X27" t="str">
        <v>Appartement 50-75 m²</v>
      </c>
      <c r="Y27" t="str">
        <v>Ja</v>
      </c>
      <c r="Z27" t="str">
        <v>garage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44420642</v>
      </c>
      <c r="B28" t="str">
        <v>https://www.funda.nl/detail/koop/eindhoven/appartement-119-2-kmr-app-ii-the-weaver-bouwnr-119/44420642/</v>
      </c>
      <c r="C28" t="str">
        <v>Het Gildekwartier - The Weaver te Eindhoven</v>
      </c>
      <c r="D28" t="str">
        <v>119 | 2-kmr app II | The Weaver</v>
      </c>
      <c r="E28" t="str">
        <v>119</v>
      </c>
      <c r="F28" t="str">
        <v>5612 BS</v>
      </c>
      <c r="G28" t="str">
        <v>Eindhoven</v>
      </c>
      <c r="H28" t="str">
        <v>Eindhoven</v>
      </c>
      <c r="I28" t="str">
        <v>Noord-Brabant</v>
      </c>
      <c r="J28" t="str">
        <v>Zuid-Nederland</v>
      </c>
      <c r="K28" t="str">
        <v>Te koop</v>
      </c>
      <c r="L28" t="str">
        <v>Onbekend</v>
      </c>
      <c r="M28" t="str">
        <v>Onbekend</v>
      </c>
      <c r="N28">
        <v>375000</v>
      </c>
      <c r="O28" t="str">
        <v>v.o.n.</v>
      </c>
      <c r="P28">
        <v>65</v>
      </c>
      <c r="Q28">
        <v>5769</v>
      </c>
      <c r="R28" t="str">
        <v>Onbekend</v>
      </c>
      <c r="S28" t="str">
        <v>A++</v>
      </c>
      <c r="T28">
        <v>2</v>
      </c>
      <c r="U28">
        <v>1</v>
      </c>
      <c r="V28" t="str">
        <v>Appartement</v>
      </c>
      <c r="W28" t="str">
        <v>Appartement</v>
      </c>
      <c r="X28" t="str">
        <v>Appartement 50-75 m²</v>
      </c>
      <c r="Y28" t="str">
        <v>Ja</v>
      </c>
      <c r="Z28" t="str">
        <v>garage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44429164</v>
      </c>
      <c r="B29" t="str">
        <v>https://www.funda.nl/detail/koop/eindhoven/appartement-137-2-kmr-app-iii-the-weaver-bouwnr-137/44429164/</v>
      </c>
      <c r="C29" t="str">
        <v>Het Gildekwartier - The Weaver te Eindhoven</v>
      </c>
      <c r="D29" t="str">
        <v>137 | 2-kmr app III | The Weaver</v>
      </c>
      <c r="E29" t="str">
        <v>137</v>
      </c>
      <c r="F29" t="str">
        <v>5612 BS</v>
      </c>
      <c r="G29" t="str">
        <v>Eindhoven</v>
      </c>
      <c r="H29" t="str">
        <v>Eindhoven</v>
      </c>
      <c r="I29" t="str">
        <v>Noord-Brabant</v>
      </c>
      <c r="J29" t="str">
        <v>Zuid-Nederland</v>
      </c>
      <c r="K29" t="str">
        <v>Te koop</v>
      </c>
      <c r="L29" t="str">
        <v>Onbekend</v>
      </c>
      <c r="M29" t="str">
        <v>Onbekend</v>
      </c>
      <c r="N29">
        <v>445000</v>
      </c>
      <c r="O29" t="str">
        <v>v.o.n.</v>
      </c>
      <c r="P29">
        <v>74</v>
      </c>
      <c r="Q29">
        <v>6014</v>
      </c>
      <c r="R29" t="str">
        <v>Onbekend</v>
      </c>
      <c r="S29" t="str">
        <v>A++</v>
      </c>
      <c r="T29">
        <v>2</v>
      </c>
      <c r="U29">
        <v>1</v>
      </c>
      <c r="V29" t="str">
        <v>Appartement</v>
      </c>
      <c r="W29" t="str">
        <v>Appartement</v>
      </c>
      <c r="X29" t="str">
        <v>Appartement 50-75 m²</v>
      </c>
      <c r="Y29" t="str">
        <v>Ja</v>
      </c>
      <c r="Z29" t="str">
        <v>garage</v>
      </c>
      <c r="AA29" t="str">
        <v>2026</v>
      </c>
      <c r="AB29" t="str">
        <v>Nee</v>
      </c>
      <c r="AC29" t="str">
        <v>NEE</v>
      </c>
      <c r="AD29" t="str">
        <v>JA</v>
      </c>
    </row>
  </sheetData>
  <autoFilter ref="A23:AD29"/>
  <ignoredErrors>
    <ignoredError numberStoredAsText="1" sqref="A1:AD2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AD2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Emmen</v>
      </c>
    </row>
    <row r="3">
      <c r="A3" t="str">
        <v>Samenvatting</v>
      </c>
    </row>
    <row r="4">
      <c r="A4" t="str">
        <v>Aantal woningen</v>
      </c>
      <c r="B4">
        <v>2</v>
      </c>
    </row>
    <row r="5">
      <c r="A5" t="str">
        <v>Aantal te koop</v>
      </c>
      <c r="B5">
        <v>2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432000</v>
      </c>
    </row>
    <row r="9">
      <c r="A9" t="str">
        <v>Mediaan VON-prijs (€)</v>
      </c>
      <c r="B9">
        <v>432000</v>
      </c>
    </row>
    <row r="10">
      <c r="A10" t="str">
        <v>Gemiddelde VON-prijs per m² (€)</v>
      </c>
      <c r="B10">
        <v>5192</v>
      </c>
    </row>
    <row r="11">
      <c r="A11" t="str">
        <v>Mediaan VON-prijs per m² (€)</v>
      </c>
      <c r="B11">
        <v>5192</v>
      </c>
    </row>
    <row r="12">
      <c r="A12" t="str">
        <v>Gemiddelde GBO (m²)</v>
      </c>
      <c r="B12">
        <v>84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75-100 m²</v>
      </c>
      <c r="B19">
        <v>2</v>
      </c>
    </row>
    <row r="21">
      <c r="A21" t="str">
        <v>Alle woningen in Emmen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80886631</v>
      </c>
      <c r="B23" t="str">
        <v>https://www.funda.nl/detail/koop/schoonebeek/appartement-appartement-bouwnr-19/80886631/</v>
      </c>
      <c r="C23" t="str">
        <v>Wonen in de Wolfshoeve</v>
      </c>
      <c r="D23" t="str">
        <v>Appartement</v>
      </c>
      <c r="E23" t="str">
        <v>19</v>
      </c>
      <c r="F23" t="str">
        <v>7761 AL</v>
      </c>
      <c r="G23" t="str">
        <v>Schoonebeek</v>
      </c>
      <c r="H23" t="str">
        <v>Emmen</v>
      </c>
      <c r="I23" t="str">
        <v>Drenthe</v>
      </c>
      <c r="J23" t="str">
        <v>Noord-Nederland</v>
      </c>
      <c r="K23" t="str">
        <v>Te koop</v>
      </c>
      <c r="L23" t="str">
        <v>Onbekend</v>
      </c>
      <c r="M23" t="str">
        <v>Onbekend</v>
      </c>
      <c r="N23">
        <v>454000</v>
      </c>
      <c r="O23" t="str">
        <v>v.o.n.</v>
      </c>
      <c r="P23">
        <v>91</v>
      </c>
      <c r="Q23">
        <v>4989</v>
      </c>
      <c r="R23" t="str">
        <v>Onbekend</v>
      </c>
      <c r="S23" t="str">
        <v>A+++</v>
      </c>
      <c r="T23">
        <v>3</v>
      </c>
      <c r="U23">
        <v>2</v>
      </c>
      <c r="V23" t="str">
        <v>Appartement</v>
      </c>
      <c r="W23" t="str">
        <v>Appartement</v>
      </c>
      <c r="X23" t="str">
        <v>Appartement 75-100 m²</v>
      </c>
      <c r="Y23" t="str">
        <v>Ja</v>
      </c>
      <c r="Z23" t="str">
        <v>eigen parkeerplaats</v>
      </c>
      <c r="AA23" t="str">
        <v>2026</v>
      </c>
      <c r="AB23" t="str">
        <v>Nee</v>
      </c>
      <c r="AC23" t="str">
        <v>NEE</v>
      </c>
      <c r="AD23" t="str">
        <v>JA</v>
      </c>
    </row>
    <row r="24">
      <c r="A24" t="str">
        <v>80885121</v>
      </c>
      <c r="B24" t="str">
        <v>https://www.funda.nl/detail/koop/schoonebeek/appartement-appartement-bouwnr-15/80885121/</v>
      </c>
      <c r="C24" t="str">
        <v>Wonen in de Wolfshoeve</v>
      </c>
      <c r="D24" t="str">
        <v>Appartement</v>
      </c>
      <c r="E24" t="str">
        <v>15</v>
      </c>
      <c r="F24" t="str">
        <v>7761 AL</v>
      </c>
      <c r="G24" t="str">
        <v>Schoonebeek</v>
      </c>
      <c r="H24" t="str">
        <v>Emmen</v>
      </c>
      <c r="I24" t="str">
        <v>Drenthe</v>
      </c>
      <c r="J24" t="str">
        <v>Noord-Nederland</v>
      </c>
      <c r="K24" t="str">
        <v>Te koop</v>
      </c>
      <c r="L24" t="str">
        <v>Onbekend</v>
      </c>
      <c r="M24" t="str">
        <v>Onbekend</v>
      </c>
      <c r="N24">
        <v>410000</v>
      </c>
      <c r="O24" t="str">
        <v>v.o.n.</v>
      </c>
      <c r="P24">
        <v>76</v>
      </c>
      <c r="Q24">
        <v>5395</v>
      </c>
      <c r="R24" t="str">
        <v>Onbekend</v>
      </c>
      <c r="S24" t="str">
        <v>A+++</v>
      </c>
      <c r="T24">
        <v>3</v>
      </c>
      <c r="U24">
        <v>2</v>
      </c>
      <c r="V24" t="str">
        <v>Appartement</v>
      </c>
      <c r="W24" t="str">
        <v>Appartement</v>
      </c>
      <c r="X24" t="str">
        <v>Appartement 75-100 m²</v>
      </c>
      <c r="Y24" t="str">
        <v>Ja</v>
      </c>
      <c r="Z24" t="str">
        <v>eigen parkeerplaats</v>
      </c>
      <c r="AA24" t="str">
        <v>2026</v>
      </c>
      <c r="AB24" t="str">
        <v>Nee</v>
      </c>
      <c r="AC24" t="str">
        <v>NEE</v>
      </c>
      <c r="AD24" t="str">
        <v>JA</v>
      </c>
    </row>
  </sheetData>
  <autoFilter ref="A22:AD24"/>
  <ignoredErrors>
    <ignoredError numberStoredAsText="1" sqref="A1:AD24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Enschede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585000</v>
      </c>
    </row>
    <row r="9">
      <c r="A9" t="str">
        <v>Mediaan VON-prijs (€)</v>
      </c>
      <c r="B9">
        <v>585000</v>
      </c>
    </row>
    <row r="10">
      <c r="A10" t="str">
        <v>Gemiddelde VON-prijs per m² (€)</v>
      </c>
      <c r="B10">
        <v>3679</v>
      </c>
    </row>
    <row r="11">
      <c r="A11" t="str">
        <v>Mediaan VON-prijs per m² (€)</v>
      </c>
      <c r="B11">
        <v>3679</v>
      </c>
    </row>
    <row r="12">
      <c r="A12" t="str">
        <v>Gemiddelde GBO (m²)</v>
      </c>
      <c r="B12">
        <v>159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Tussenwoning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Enschede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44404711</v>
      </c>
      <c r="B23" t="str">
        <v>https://www.funda.nl/detail/koop/enschede/huis-harry-saathofstraat-32/44404711/</v>
      </c>
      <c r="C23" t="str">
        <v>Onbekend</v>
      </c>
      <c r="D23" t="str">
        <v>Harry Saathofstraat 32</v>
      </c>
      <c r="E23" t="str">
        <v>Onbekend</v>
      </c>
      <c r="F23" t="str">
        <v>7513 GS</v>
      </c>
      <c r="G23" t="str">
        <v>Enschede</v>
      </c>
      <c r="H23" t="str">
        <v>Enschede</v>
      </c>
      <c r="I23" t="str">
        <v>Overijssel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585000</v>
      </c>
      <c r="O23" t="str">
        <v>v.o.n.</v>
      </c>
      <c r="P23">
        <v>159</v>
      </c>
      <c r="Q23">
        <v>3679</v>
      </c>
      <c r="R23" t="str">
        <v>Onbekend</v>
      </c>
      <c r="S23" t="str">
        <v>A+++</v>
      </c>
      <c r="T23">
        <v>7</v>
      </c>
      <c r="U23">
        <v>5</v>
      </c>
      <c r="V23" t="str">
        <v>Grondgebonden</v>
      </c>
      <c r="W23" t="str">
        <v>Tussenwoning</v>
      </c>
      <c r="X23" t="str">
        <v>N.v.t.</v>
      </c>
      <c r="Y23" t="str">
        <v>Ja</v>
      </c>
      <c r="Z23" t="str">
        <v>eigen parkeerplaats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Gennep</v>
      </c>
    </row>
    <row r="3">
      <c r="A3" t="str">
        <v>Samenvatting</v>
      </c>
    </row>
    <row r="4">
      <c r="A4" t="str">
        <v>Aantal woningen</v>
      </c>
      <c r="B4">
        <v>3</v>
      </c>
    </row>
    <row r="5">
      <c r="A5" t="str">
        <v>Aantal te koop</v>
      </c>
      <c r="B5">
        <v>3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402667</v>
      </c>
    </row>
    <row r="9">
      <c r="A9" t="str">
        <v>Mediaan VON-prijs (€)</v>
      </c>
      <c r="B9">
        <v>413000</v>
      </c>
    </row>
    <row r="10">
      <c r="A10" t="str">
        <v>Gemiddelde VON-prijs per m² (€)</v>
      </c>
      <c r="B10">
        <v>4691</v>
      </c>
    </row>
    <row r="11">
      <c r="A11" t="str">
        <v>Mediaan VON-prijs per m² (€)</v>
      </c>
      <c r="B11">
        <v>4872</v>
      </c>
    </row>
    <row r="12">
      <c r="A12" t="str">
        <v>Gemiddelde GBO (m²)</v>
      </c>
      <c r="B12">
        <v>86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75-100 m²</v>
      </c>
      <c r="B19">
        <v>3</v>
      </c>
    </row>
    <row r="21">
      <c r="A21" t="str">
        <v>Alle woningen in Gennep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44421824</v>
      </c>
      <c r="B23" t="str">
        <v>https://www.funda.nl/detail/koop/gennep/appartement-wiertshof-22-bouwnr-b8/44421824/</v>
      </c>
      <c r="C23" t="str">
        <v>Wiertshof Appartementen Koop</v>
      </c>
      <c r="D23" t="str">
        <v>Wiertshof 22</v>
      </c>
      <c r="E23" t="str">
        <v>B8</v>
      </c>
      <c r="F23" t="str">
        <v>6591 DZ</v>
      </c>
      <c r="G23" t="str">
        <v>Gennep</v>
      </c>
      <c r="H23" t="str">
        <v>Gennep</v>
      </c>
      <c r="I23" t="str">
        <v>Limburg</v>
      </c>
      <c r="J23" t="str">
        <v>Zuid-Nederland</v>
      </c>
      <c r="K23" t="str">
        <v>Te koop</v>
      </c>
      <c r="L23" t="str">
        <v>Onbekend</v>
      </c>
      <c r="M23" t="str">
        <v>Onbekend</v>
      </c>
      <c r="N23">
        <v>413000</v>
      </c>
      <c r="O23" t="str">
        <v>v.o.n.</v>
      </c>
      <c r="P23">
        <v>83</v>
      </c>
      <c r="Q23">
        <v>4976</v>
      </c>
      <c r="R23" t="str">
        <v>Onbekend</v>
      </c>
      <c r="S23" t="str">
        <v>A+++</v>
      </c>
      <c r="T23">
        <v>3</v>
      </c>
      <c r="U23">
        <v>2</v>
      </c>
      <c r="V23" t="str">
        <v>Appartement</v>
      </c>
      <c r="W23" t="str">
        <v>Appartement</v>
      </c>
      <c r="X23" t="str">
        <v>Appartement 75-100 m²</v>
      </c>
      <c r="Y23" t="str">
        <v>Ja</v>
      </c>
      <c r="Z23" t="str">
        <v>openbare parkeerplaats</v>
      </c>
      <c r="AA23" t="str">
        <v>Na 2020</v>
      </c>
      <c r="AB23" t="str">
        <v>Nee</v>
      </c>
      <c r="AC23" t="str">
        <v>NEE</v>
      </c>
      <c r="AD23" t="str">
        <v>JA</v>
      </c>
    </row>
    <row r="24">
      <c r="A24" t="str">
        <v>44421823</v>
      </c>
      <c r="B24" t="str">
        <v>https://www.funda.nl/detail/koop/gennep/appartement-wiertshof-2-bouwnr-b5/44421823/</v>
      </c>
      <c r="C24" t="str">
        <v>Wiertshof Appartementen Koop</v>
      </c>
      <c r="D24" t="str">
        <v>Wiertshof 2</v>
      </c>
      <c r="E24" t="str">
        <v>B5</v>
      </c>
      <c r="F24" t="str">
        <v>6591 DZ</v>
      </c>
      <c r="G24" t="str">
        <v>Gennep</v>
      </c>
      <c r="H24" t="str">
        <v>Gennep</v>
      </c>
      <c r="I24" t="str">
        <v>Limburg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419000</v>
      </c>
      <c r="O24" t="str">
        <v>v.o.n.</v>
      </c>
      <c r="P24">
        <v>86</v>
      </c>
      <c r="Q24">
        <v>4872</v>
      </c>
      <c r="R24" t="str">
        <v>Onbekend</v>
      </c>
      <c r="S24" t="str">
        <v>A+++</v>
      </c>
      <c r="T24">
        <v>3</v>
      </c>
      <c r="U24">
        <v>2</v>
      </c>
      <c r="V24" t="str">
        <v>Appartement</v>
      </c>
      <c r="W24" t="str">
        <v>Appartement</v>
      </c>
      <c r="X24" t="str">
        <v>Appartement 75-100 m²</v>
      </c>
      <c r="Y24" t="str">
        <v>Ja</v>
      </c>
      <c r="Z24" t="str">
        <v>openbare parkeerplaats</v>
      </c>
      <c r="AA24" t="str">
        <v>Na 2020</v>
      </c>
      <c r="AB24" t="str">
        <v>Nee</v>
      </c>
      <c r="AC24" t="str">
        <v>NEE</v>
      </c>
      <c r="AD24" t="str">
        <v>JA</v>
      </c>
    </row>
    <row r="25">
      <c r="A25" t="str">
        <v>44421811</v>
      </c>
      <c r="B25" t="str">
        <v>https://www.funda.nl/detail/koop/gennep/appartement-wiertshof-28-bouwnr-a2/44421811/</v>
      </c>
      <c r="C25" t="str">
        <v>Wiertshof Appartementen Koop</v>
      </c>
      <c r="D25" t="str">
        <v>Wiertshof 28</v>
      </c>
      <c r="E25" t="str">
        <v>A2</v>
      </c>
      <c r="F25" t="str">
        <v>6591 DZ</v>
      </c>
      <c r="G25" t="str">
        <v>Gennep</v>
      </c>
      <c r="H25" t="str">
        <v>Gennep</v>
      </c>
      <c r="I25" t="str">
        <v>Limburg</v>
      </c>
      <c r="J25" t="str">
        <v>Zuid-Nederland</v>
      </c>
      <c r="K25" t="str">
        <v>Te koop</v>
      </c>
      <c r="L25" t="str">
        <v>Onbekend</v>
      </c>
      <c r="M25" t="str">
        <v>Onbekend</v>
      </c>
      <c r="N25">
        <v>376000</v>
      </c>
      <c r="O25" t="str">
        <v>v.o.n.</v>
      </c>
      <c r="P25">
        <v>89</v>
      </c>
      <c r="Q25">
        <v>4225</v>
      </c>
      <c r="R25" t="str">
        <v>Onbekend</v>
      </c>
      <c r="S25" t="str">
        <v>A+++</v>
      </c>
      <c r="T25">
        <v>3</v>
      </c>
      <c r="U25">
        <v>2</v>
      </c>
      <c r="V25" t="str">
        <v>Appartement</v>
      </c>
      <c r="W25" t="str">
        <v>Appartement</v>
      </c>
      <c r="X25" t="str">
        <v>Appartement 75-100 m²</v>
      </c>
      <c r="Y25" t="str">
        <v>Ja</v>
      </c>
      <c r="Z25" t="str">
        <v>openbare parkeerplaats</v>
      </c>
      <c r="AA25" t="str">
        <v>Na 2020</v>
      </c>
      <c r="AB25" t="str">
        <v>Nee</v>
      </c>
      <c r="AC25" t="str">
        <v>NEE</v>
      </c>
      <c r="AD25" t="str">
        <v>JA</v>
      </c>
    </row>
  </sheetData>
  <autoFilter ref="A22:AD25"/>
  <ignoredErrors>
    <ignoredError numberStoredAsText="1" sqref="A1:AD25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Gilze en Rijen</v>
      </c>
    </row>
    <row r="3">
      <c r="A3" t="str">
        <v>Samenvatting</v>
      </c>
    </row>
    <row r="4">
      <c r="A4" t="str">
        <v>Aantal woningen</v>
      </c>
      <c r="B4">
        <v>10</v>
      </c>
    </row>
    <row r="5">
      <c r="A5" t="str">
        <v>Aantal te koop</v>
      </c>
      <c r="B5">
        <v>10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612100</v>
      </c>
    </row>
    <row r="9">
      <c r="A9" t="str">
        <v>Mediaan VON-prijs (€)</v>
      </c>
      <c r="B9">
        <v>610500</v>
      </c>
    </row>
    <row r="10">
      <c r="A10" t="str">
        <v>Gemiddelde VON-prijs per m² (€)</v>
      </c>
      <c r="B10">
        <v>4897</v>
      </c>
    </row>
    <row r="11">
      <c r="A11" t="str">
        <v>Mediaan VON-prijs per m² (€)</v>
      </c>
      <c r="B11">
        <v>4884</v>
      </c>
    </row>
    <row r="12">
      <c r="A12" t="str">
        <v>Gemiddelde GBO (m²)</v>
      </c>
      <c r="B12">
        <v>125</v>
      </c>
    </row>
    <row r="13">
      <c r="A13" t="str">
        <v>Gemiddelde looptijd (dagen)</v>
      </c>
      <c r="B13">
        <v>8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Hoekwoning</v>
      </c>
      <c r="B17">
        <v>4</v>
      </c>
    </row>
    <row r="18">
      <c r="A18" t="str">
        <v>Tussenwoning</v>
      </c>
      <c r="B18">
        <v>6</v>
      </c>
    </row>
    <row r="20">
      <c r="A20" t="str">
        <v>Uitsplitsing appartementcategorieen</v>
      </c>
      <c r="B20" t="str">
        <v>Aantal</v>
      </c>
    </row>
    <row r="22">
      <c r="A22" t="str">
        <v>Alle woningen in Gilze en Rijen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44428177</v>
      </c>
      <c r="B24" t="str">
        <v>https://www.funda.nl/detail/koop/gilze/huis-meulenerf-bouwnr-2/44428177/</v>
      </c>
      <c r="C24" t="str">
        <v>Meulenerf (IN VERKOOP)</v>
      </c>
      <c r="D24" t="str">
        <v>Meulenerf</v>
      </c>
      <c r="E24" t="str">
        <v>2</v>
      </c>
      <c r="F24" t="str">
        <v>5126 DA</v>
      </c>
      <c r="G24" t="str">
        <v>Gilze</v>
      </c>
      <c r="H24" t="str">
        <v>Gilze en Rijen</v>
      </c>
      <c r="I24" t="str">
        <v>Noord-Brabant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612000</v>
      </c>
      <c r="O24" t="str">
        <v>v.o.n.</v>
      </c>
      <c r="P24">
        <v>125</v>
      </c>
      <c r="Q24">
        <v>4896</v>
      </c>
      <c r="R24">
        <v>197</v>
      </c>
      <c r="S24" t="str">
        <v>A+++</v>
      </c>
      <c r="T24">
        <v>4</v>
      </c>
      <c r="U24">
        <v>3</v>
      </c>
      <c r="V24" t="str">
        <v>Grondgebonden</v>
      </c>
      <c r="W24" t="str">
        <v>Tussenwoning</v>
      </c>
      <c r="X24" t="str">
        <v>N.v.t.</v>
      </c>
      <c r="Y24" t="str">
        <v>Ja</v>
      </c>
      <c r="Z24" t="str">
        <v>eigen parkeerplaats</v>
      </c>
      <c r="AA24" t="str">
        <v>2027</v>
      </c>
      <c r="AB24" t="str">
        <v>Nee</v>
      </c>
      <c r="AC24" t="str">
        <v>NEE</v>
      </c>
      <c r="AD24" t="str">
        <v>JA</v>
      </c>
    </row>
    <row r="25">
      <c r="A25" t="str">
        <v>44428196</v>
      </c>
      <c r="B25" t="str">
        <v>https://www.funda.nl/detail/koop/gilze/huis-meulenerf-bouwnr-1/44428196/</v>
      </c>
      <c r="C25" t="str">
        <v>Meulenerf (IN VERKOOP)</v>
      </c>
      <c r="D25" t="str">
        <v>Meulenerf</v>
      </c>
      <c r="E25" t="str">
        <v>1</v>
      </c>
      <c r="F25" t="str">
        <v>5126 DA</v>
      </c>
      <c r="G25" t="str">
        <v>Gilze</v>
      </c>
      <c r="H25" t="str">
        <v>Gilze en Rijen</v>
      </c>
      <c r="I25" t="str">
        <v>Noord-Brabant</v>
      </c>
      <c r="J25" t="str">
        <v>Zuid-Nederland</v>
      </c>
      <c r="K25" t="str">
        <v>Te koop</v>
      </c>
      <c r="L25" t="str">
        <v>Onbekend</v>
      </c>
      <c r="M25" t="str">
        <v>Onbekend</v>
      </c>
      <c r="N25">
        <v>659000</v>
      </c>
      <c r="O25" t="str">
        <v>v.o.n.</v>
      </c>
      <c r="P25">
        <v>125</v>
      </c>
      <c r="Q25">
        <v>5272</v>
      </c>
      <c r="R25">
        <v>224</v>
      </c>
      <c r="S25" t="str">
        <v>A+++</v>
      </c>
      <c r="T25">
        <v>4</v>
      </c>
      <c r="U25">
        <v>3</v>
      </c>
      <c r="V25" t="str">
        <v>Grondgebonden</v>
      </c>
      <c r="W25" t="str">
        <v>Hoekwoning</v>
      </c>
      <c r="X25" t="str">
        <v>N.v.t.</v>
      </c>
      <c r="Y25" t="str">
        <v>Ja</v>
      </c>
      <c r="Z25" t="str">
        <v>eigen parkeerplaats</v>
      </c>
      <c r="AA25" t="str">
        <v>2027</v>
      </c>
      <c r="AB25" t="str">
        <v>Nee</v>
      </c>
      <c r="AC25" t="str">
        <v>NEE</v>
      </c>
      <c r="AD25" t="str">
        <v>JA</v>
      </c>
    </row>
    <row r="26">
      <c r="A26" t="str">
        <v>44428187</v>
      </c>
      <c r="B26" t="str">
        <v>https://www.funda.nl/detail/koop/gilze/huis-meulenerf-bouwnr-5/44428187/</v>
      </c>
      <c r="C26" t="str">
        <v>Meulenerf (IN VERKOOP)</v>
      </c>
      <c r="D26" t="str">
        <v>Meulenerf</v>
      </c>
      <c r="E26" t="str">
        <v>5</v>
      </c>
      <c r="F26" t="str">
        <v>5126 DA</v>
      </c>
      <c r="G26" t="str">
        <v>Gilze</v>
      </c>
      <c r="H26" t="str">
        <v>Gilze en Rijen</v>
      </c>
      <c r="I26" t="str">
        <v>Noord-Brabant</v>
      </c>
      <c r="J26" t="str">
        <v>Zuid-Nederland</v>
      </c>
      <c r="K26" t="str">
        <v>Te koop</v>
      </c>
      <c r="L26" t="str">
        <v>Onbekend</v>
      </c>
      <c r="M26" t="str">
        <v>Onbekend</v>
      </c>
      <c r="N26">
        <v>629000</v>
      </c>
      <c r="O26" t="str">
        <v>v.o.n.</v>
      </c>
      <c r="P26">
        <v>125</v>
      </c>
      <c r="Q26">
        <v>5032</v>
      </c>
      <c r="R26">
        <v>193</v>
      </c>
      <c r="S26" t="str">
        <v>A+++</v>
      </c>
      <c r="T26">
        <v>4</v>
      </c>
      <c r="U26">
        <v>3</v>
      </c>
      <c r="V26" t="str">
        <v>Grondgebonden</v>
      </c>
      <c r="W26" t="str">
        <v>Hoekwoning</v>
      </c>
      <c r="X26" t="str">
        <v>N.v.t.</v>
      </c>
      <c r="Y26" t="str">
        <v>Ja</v>
      </c>
      <c r="Z26" t="str">
        <v>eigen parkeerplaats</v>
      </c>
      <c r="AA26" t="str">
        <v>2027</v>
      </c>
      <c r="AB26" t="str">
        <v>Nee</v>
      </c>
      <c r="AC26" t="str">
        <v>NEE</v>
      </c>
      <c r="AD26" t="str">
        <v>JA</v>
      </c>
    </row>
    <row r="27">
      <c r="A27" t="str">
        <v>44428172</v>
      </c>
      <c r="B27" t="str">
        <v>https://www.funda.nl/detail/koop/gilze/huis-meulenerf-bouwnr-9/44428172/</v>
      </c>
      <c r="C27" t="str">
        <v>Meulenerf (IN VERKOOP)</v>
      </c>
      <c r="D27" t="str">
        <v>Meulenerf</v>
      </c>
      <c r="E27" t="str">
        <v>9</v>
      </c>
      <c r="F27" t="str">
        <v>5126 DA</v>
      </c>
      <c r="G27" t="str">
        <v>Gilze</v>
      </c>
      <c r="H27" t="str">
        <v>Gilze en Rijen</v>
      </c>
      <c r="I27" t="str">
        <v>Noord-Brabant</v>
      </c>
      <c r="J27" t="str">
        <v>Zuid-Nederland</v>
      </c>
      <c r="K27" t="str">
        <v>Te koop</v>
      </c>
      <c r="L27" t="str">
        <v>2026-07-05</v>
      </c>
      <c r="M27">
        <v>8</v>
      </c>
      <c r="N27">
        <v>589000</v>
      </c>
      <c r="O27" t="str">
        <v>v.o.n.</v>
      </c>
      <c r="P27">
        <v>125</v>
      </c>
      <c r="Q27">
        <v>4712</v>
      </c>
      <c r="R27">
        <v>153</v>
      </c>
      <c r="S27" t="str">
        <v>A+++</v>
      </c>
      <c r="T27">
        <v>4</v>
      </c>
      <c r="U27">
        <v>3</v>
      </c>
      <c r="V27" t="str">
        <v>Grondgebonden</v>
      </c>
      <c r="W27" t="str">
        <v>Tussenwoning</v>
      </c>
      <c r="X27" t="str">
        <v>N.v.t.</v>
      </c>
      <c r="Y27" t="str">
        <v>Ja</v>
      </c>
      <c r="Z27" t="str">
        <v>eigen parkeerplaats</v>
      </c>
      <c r="AA27" t="str">
        <v>2027</v>
      </c>
      <c r="AB27" t="str">
        <v>Nee</v>
      </c>
      <c r="AC27" t="str">
        <v>NEE</v>
      </c>
      <c r="AD27" t="str">
        <v>JA</v>
      </c>
    </row>
    <row r="28">
      <c r="A28" t="str">
        <v>44428170</v>
      </c>
      <c r="B28" t="str">
        <v>https://www.funda.nl/detail/koop/gilze/huis-meulenerf-bouwnr-7/44428170/</v>
      </c>
      <c r="C28" t="str">
        <v>Meulenerf (IN VERKOOP)</v>
      </c>
      <c r="D28" t="str">
        <v>Meulenerf</v>
      </c>
      <c r="E28" t="str">
        <v>7</v>
      </c>
      <c r="F28" t="str">
        <v>5126 DA</v>
      </c>
      <c r="G28" t="str">
        <v>Gilze</v>
      </c>
      <c r="H28" t="str">
        <v>Gilze en Rijen</v>
      </c>
      <c r="I28" t="str">
        <v>Noord-Brabant</v>
      </c>
      <c r="J28" t="str">
        <v>Zuid-Nederland</v>
      </c>
      <c r="K28" t="str">
        <v>Te koop</v>
      </c>
      <c r="L28" t="str">
        <v>Onbekend</v>
      </c>
      <c r="M28" t="str">
        <v>Onbekend</v>
      </c>
      <c r="N28">
        <v>589000</v>
      </c>
      <c r="O28" t="str">
        <v>v.o.n.</v>
      </c>
      <c r="P28">
        <v>125</v>
      </c>
      <c r="Q28">
        <v>4712</v>
      </c>
      <c r="R28">
        <v>151</v>
      </c>
      <c r="S28" t="str">
        <v>A+++</v>
      </c>
      <c r="T28">
        <v>4</v>
      </c>
      <c r="U28">
        <v>3</v>
      </c>
      <c r="V28" t="str">
        <v>Grondgebonden</v>
      </c>
      <c r="W28" t="str">
        <v>Tussenwoning</v>
      </c>
      <c r="X28" t="str">
        <v>N.v.t.</v>
      </c>
      <c r="Y28" t="str">
        <v>Ja</v>
      </c>
      <c r="Z28" t="str">
        <v>eigen parkeerplaats</v>
      </c>
      <c r="AA28" t="str">
        <v>2027</v>
      </c>
      <c r="AB28" t="str">
        <v>Nee</v>
      </c>
      <c r="AC28" t="str">
        <v>NEE</v>
      </c>
      <c r="AD28" t="str">
        <v>JA</v>
      </c>
    </row>
    <row r="29">
      <c r="A29" t="str">
        <v>44428179</v>
      </c>
      <c r="B29" t="str">
        <v>https://www.funda.nl/detail/koop/gilze/huis-meulenerf-bouwnr-8/44428179/</v>
      </c>
      <c r="C29" t="str">
        <v>Meulenerf (IN VERKOOP)</v>
      </c>
      <c r="D29" t="str">
        <v>Meulenerf</v>
      </c>
      <c r="E29" t="str">
        <v>8</v>
      </c>
      <c r="F29" t="str">
        <v>5126 DA</v>
      </c>
      <c r="G29" t="str">
        <v>Gilze</v>
      </c>
      <c r="H29" t="str">
        <v>Gilze en Rijen</v>
      </c>
      <c r="I29" t="str">
        <v>Noord-Brabant</v>
      </c>
      <c r="J29" t="str">
        <v>Zuid-Nederland</v>
      </c>
      <c r="K29" t="str">
        <v>Te koop</v>
      </c>
      <c r="L29" t="str">
        <v>Onbekend</v>
      </c>
      <c r="M29" t="str">
        <v>Onbekend</v>
      </c>
      <c r="N29">
        <v>589000</v>
      </c>
      <c r="O29" t="str">
        <v>v.o.n.</v>
      </c>
      <c r="P29">
        <v>125</v>
      </c>
      <c r="Q29">
        <v>4712</v>
      </c>
      <c r="R29">
        <v>152</v>
      </c>
      <c r="S29" t="str">
        <v>A+++</v>
      </c>
      <c r="T29">
        <v>4</v>
      </c>
      <c r="U29">
        <v>3</v>
      </c>
      <c r="V29" t="str">
        <v>Grondgebonden</v>
      </c>
      <c r="W29" t="str">
        <v>Tussenwoning</v>
      </c>
      <c r="X29" t="str">
        <v>N.v.t.</v>
      </c>
      <c r="Y29" t="str">
        <v>Ja</v>
      </c>
      <c r="Z29" t="str">
        <v>eigen parkeerplaats</v>
      </c>
      <c r="AA29" t="str">
        <v>2027</v>
      </c>
      <c r="AB29" t="str">
        <v>Nee</v>
      </c>
      <c r="AC29" t="str">
        <v>NEE</v>
      </c>
      <c r="AD29" t="str">
        <v>JA</v>
      </c>
    </row>
    <row r="30">
      <c r="A30" t="str">
        <v>44428178</v>
      </c>
      <c r="B30" t="str">
        <v>https://www.funda.nl/detail/koop/gilze/huis-meulenerf-bouwnr-6/44428178/</v>
      </c>
      <c r="C30" t="str">
        <v>Meulenerf (IN VERKOOP)</v>
      </c>
      <c r="D30" t="str">
        <v>Meulenerf</v>
      </c>
      <c r="E30" t="str">
        <v>6</v>
      </c>
      <c r="F30" t="str">
        <v>5126 DA</v>
      </c>
      <c r="G30" t="str">
        <v>Gilze</v>
      </c>
      <c r="H30" t="str">
        <v>Gilze en Rijen</v>
      </c>
      <c r="I30" t="str">
        <v>Noord-Brabant</v>
      </c>
      <c r="J30" t="str">
        <v>Zuid-Nederland</v>
      </c>
      <c r="K30" t="str">
        <v>Te koop</v>
      </c>
      <c r="L30" t="str">
        <v>Onbekend</v>
      </c>
      <c r="M30" t="str">
        <v>Onbekend</v>
      </c>
      <c r="N30">
        <v>614000</v>
      </c>
      <c r="O30" t="str">
        <v>v.o.n.</v>
      </c>
      <c r="P30">
        <v>125</v>
      </c>
      <c r="Q30">
        <v>4912</v>
      </c>
      <c r="R30">
        <v>157</v>
      </c>
      <c r="S30" t="str">
        <v>A+++</v>
      </c>
      <c r="T30">
        <v>4</v>
      </c>
      <c r="U30">
        <v>3</v>
      </c>
      <c r="V30" t="str">
        <v>Grondgebonden</v>
      </c>
      <c r="W30" t="str">
        <v>Hoekwoning</v>
      </c>
      <c r="X30" t="str">
        <v>N.v.t.</v>
      </c>
      <c r="Y30" t="str">
        <v>Ja</v>
      </c>
      <c r="Z30" t="str">
        <v>eigen parkeerplaats</v>
      </c>
      <c r="AA30" t="str">
        <v>2027</v>
      </c>
      <c r="AB30" t="str">
        <v>Nee</v>
      </c>
      <c r="AC30" t="str">
        <v>NEE</v>
      </c>
      <c r="AD30" t="str">
        <v>JA</v>
      </c>
    </row>
    <row r="31">
      <c r="A31" t="str">
        <v>44428176</v>
      </c>
      <c r="B31" t="str">
        <v>https://www.funda.nl/detail/koop/gilze/huis-meulenerf-bouwnr-3/44428176/</v>
      </c>
      <c r="C31" t="str">
        <v>Meulenerf (IN VERKOOP)</v>
      </c>
      <c r="D31" t="str">
        <v>Meulenerf</v>
      </c>
      <c r="E31" t="str">
        <v>3</v>
      </c>
      <c r="F31" t="str">
        <v>5126 DA</v>
      </c>
      <c r="G31" t="str">
        <v>Gilze</v>
      </c>
      <c r="H31" t="str">
        <v>Gilze en Rijen</v>
      </c>
      <c r="I31" t="str">
        <v>Noord-Brabant</v>
      </c>
      <c r="J31" t="str">
        <v>Zuid-Nederland</v>
      </c>
      <c r="K31" t="str">
        <v>Te koop</v>
      </c>
      <c r="L31" t="str">
        <v>Onbekend</v>
      </c>
      <c r="M31" t="str">
        <v>Onbekend</v>
      </c>
      <c r="N31">
        <v>609000</v>
      </c>
      <c r="O31" t="str">
        <v>v.o.n.</v>
      </c>
      <c r="P31">
        <v>125</v>
      </c>
      <c r="Q31">
        <v>4872</v>
      </c>
      <c r="R31">
        <v>192</v>
      </c>
      <c r="S31" t="str">
        <v>A+++</v>
      </c>
      <c r="T31">
        <v>4</v>
      </c>
      <c r="U31">
        <v>3</v>
      </c>
      <c r="V31" t="str">
        <v>Grondgebonden</v>
      </c>
      <c r="W31" t="str">
        <v>Tussenwoning</v>
      </c>
      <c r="X31" t="str">
        <v>N.v.t.</v>
      </c>
      <c r="Y31" t="str">
        <v>Ja</v>
      </c>
      <c r="Z31" t="str">
        <v>eigen parkeerplaats</v>
      </c>
      <c r="AA31" t="str">
        <v>2027</v>
      </c>
      <c r="AB31" t="str">
        <v>Nee</v>
      </c>
      <c r="AC31" t="str">
        <v>NEE</v>
      </c>
      <c r="AD31" t="str">
        <v>JA</v>
      </c>
    </row>
    <row r="32">
      <c r="A32" t="str">
        <v>44428175</v>
      </c>
      <c r="B32" t="str">
        <v>https://www.funda.nl/detail/koop/gilze/huis-meulenerf-bouwnr-10/44428175/</v>
      </c>
      <c r="C32" t="str">
        <v>Meulenerf (IN VERKOOP)</v>
      </c>
      <c r="D32" t="str">
        <v>Meulenerf</v>
      </c>
      <c r="E32" t="str">
        <v>10</v>
      </c>
      <c r="F32" t="str">
        <v>5126 DA</v>
      </c>
      <c r="G32" t="str">
        <v>Gilze</v>
      </c>
      <c r="H32" t="str">
        <v>Gilze en Rijen</v>
      </c>
      <c r="I32" t="str">
        <v>Noord-Brabant</v>
      </c>
      <c r="J32" t="str">
        <v>Zuid-Nederland</v>
      </c>
      <c r="K32" t="str">
        <v>Te koop</v>
      </c>
      <c r="L32" t="str">
        <v>Onbekend</v>
      </c>
      <c r="M32" t="str">
        <v>Onbekend</v>
      </c>
      <c r="N32">
        <v>622000</v>
      </c>
      <c r="O32" t="str">
        <v>v.o.n.</v>
      </c>
      <c r="P32">
        <v>125</v>
      </c>
      <c r="Q32">
        <v>4976</v>
      </c>
      <c r="R32">
        <v>171</v>
      </c>
      <c r="S32" t="str">
        <v>A+++</v>
      </c>
      <c r="T32">
        <v>4</v>
      </c>
      <c r="U32">
        <v>3</v>
      </c>
      <c r="V32" t="str">
        <v>Grondgebonden</v>
      </c>
      <c r="W32" t="str">
        <v>Hoekwoning</v>
      </c>
      <c r="X32" t="str">
        <v>N.v.t.</v>
      </c>
      <c r="Y32" t="str">
        <v>Ja</v>
      </c>
      <c r="Z32" t="str">
        <v>eigen parkeerplaats</v>
      </c>
      <c r="AA32" t="str">
        <v>2027</v>
      </c>
      <c r="AB32" t="str">
        <v>Nee</v>
      </c>
      <c r="AC32" t="str">
        <v>NEE</v>
      </c>
      <c r="AD32" t="str">
        <v>JA</v>
      </c>
    </row>
    <row r="33">
      <c r="A33" t="str">
        <v>44428174</v>
      </c>
      <c r="B33" t="str">
        <v>https://www.funda.nl/detail/koop/gilze/huis-meulenerf-bouwnr-4/44428174/</v>
      </c>
      <c r="C33" t="str">
        <v>Meulenerf (IN VERKOOP)</v>
      </c>
      <c r="D33" t="str">
        <v>Meulenerf</v>
      </c>
      <c r="E33" t="str">
        <v>4</v>
      </c>
      <c r="F33" t="str">
        <v>5126 DA</v>
      </c>
      <c r="G33" t="str">
        <v>Gilze</v>
      </c>
      <c r="H33" t="str">
        <v>Gilze en Rijen</v>
      </c>
      <c r="I33" t="str">
        <v>Noord-Brabant</v>
      </c>
      <c r="J33" t="str">
        <v>Zuid-Nederland</v>
      </c>
      <c r="K33" t="str">
        <v>Te koop</v>
      </c>
      <c r="L33" t="str">
        <v>Onbekend</v>
      </c>
      <c r="M33" t="str">
        <v>Onbekend</v>
      </c>
      <c r="N33">
        <v>609000</v>
      </c>
      <c r="O33" t="str">
        <v>v.o.n.</v>
      </c>
      <c r="P33">
        <v>125</v>
      </c>
      <c r="Q33">
        <v>4872</v>
      </c>
      <c r="R33">
        <v>191</v>
      </c>
      <c r="S33" t="str">
        <v>A+++</v>
      </c>
      <c r="T33">
        <v>4</v>
      </c>
      <c r="U33">
        <v>3</v>
      </c>
      <c r="V33" t="str">
        <v>Grondgebonden</v>
      </c>
      <c r="W33" t="str">
        <v>Tussenwoning</v>
      </c>
      <c r="X33" t="str">
        <v>N.v.t.</v>
      </c>
      <c r="Y33" t="str">
        <v>Ja</v>
      </c>
      <c r="Z33" t="str">
        <v>eigen parkeerplaats</v>
      </c>
      <c r="AA33" t="str">
        <v>2027</v>
      </c>
      <c r="AB33" t="str">
        <v>Nee</v>
      </c>
      <c r="AC33" t="str">
        <v>NEE</v>
      </c>
      <c r="AD33" t="str">
        <v>JA</v>
      </c>
    </row>
  </sheetData>
  <autoFilter ref="A23:AD33"/>
  <ignoredErrors>
    <ignoredError numberStoredAsText="1" sqref="A1:AD3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AD26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Gooise Meren</v>
      </c>
    </row>
    <row r="3">
      <c r="A3" t="str">
        <v>Samenvatting</v>
      </c>
    </row>
    <row r="4">
      <c r="A4" t="str">
        <v>Aantal woningen</v>
      </c>
      <c r="B4">
        <v>3</v>
      </c>
    </row>
    <row r="5">
      <c r="A5" t="str">
        <v>Aantal te koop</v>
      </c>
      <c r="B5">
        <v>2</v>
      </c>
    </row>
    <row r="6">
      <c r="A6" t="str">
        <v>Aantal verkocht</v>
      </c>
      <c r="B6">
        <v>0</v>
      </c>
    </row>
    <row r="7">
      <c r="A7" t="str">
        <v>Aantal V.O.V.</v>
      </c>
      <c r="B7">
        <v>1</v>
      </c>
    </row>
    <row r="8">
      <c r="A8" t="str">
        <v>Gemiddelde VON-prijs (€)</v>
      </c>
      <c r="B8">
        <v>761667</v>
      </c>
    </row>
    <row r="9">
      <c r="A9" t="str">
        <v>Mediaan VON-prijs (€)</v>
      </c>
      <c r="B9">
        <v>750000</v>
      </c>
    </row>
    <row r="10">
      <c r="A10" t="str">
        <v>Gemiddelde VON-prijs per m² (€)</v>
      </c>
      <c r="B10">
        <v>6740</v>
      </c>
    </row>
    <row r="11">
      <c r="A11" t="str">
        <v>Mediaan VON-prijs per m² (€)</v>
      </c>
      <c r="B11">
        <v>6637</v>
      </c>
    </row>
    <row r="12">
      <c r="A12" t="str">
        <v>Gemiddelde GBO (m²)</v>
      </c>
      <c r="B12">
        <v>113</v>
      </c>
    </row>
    <row r="13">
      <c r="A13" t="str">
        <v>Gemiddelde looptijd (dagen)</v>
      </c>
      <c r="B13">
        <v>3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Hoekwoning</v>
      </c>
      <c r="B17">
        <v>1</v>
      </c>
    </row>
    <row r="18">
      <c r="A18" t="str">
        <v>Tussenwoning</v>
      </c>
      <c r="B18">
        <v>2</v>
      </c>
    </row>
    <row r="20">
      <c r="A20" t="str">
        <v>Uitsplitsing appartementcategorieen</v>
      </c>
      <c r="B20" t="str">
        <v>Aantal</v>
      </c>
    </row>
    <row r="22">
      <c r="A22" t="str">
        <v>Alle woningen in Gooise Meren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44435496</v>
      </c>
      <c r="B24" t="str">
        <v>https://www.funda.nl/detail/koop/muiden/huis-productielijn-bouwnr-939/44435496/</v>
      </c>
      <c r="C24" t="str">
        <v>De Krijgsman Fase 9 - Kruitpadwal &amp; Productielijn</v>
      </c>
      <c r="D24" t="str">
        <v>Productielijn</v>
      </c>
      <c r="E24" t="str">
        <v>939</v>
      </c>
      <c r="F24" t="str">
        <v>1398</v>
      </c>
      <c r="G24" t="str">
        <v>Muiden</v>
      </c>
      <c r="H24" t="str">
        <v>Gooise Meren</v>
      </c>
      <c r="I24" t="str">
        <v>Noord-Holland</v>
      </c>
      <c r="J24" t="str">
        <v>West-Nederland</v>
      </c>
      <c r="K24" t="str">
        <v>Te koop</v>
      </c>
      <c r="L24" t="str">
        <v>2026-07-10</v>
      </c>
      <c r="M24">
        <v>3</v>
      </c>
      <c r="N24">
        <v>750000</v>
      </c>
      <c r="O24" t="str">
        <v>v.o.n.</v>
      </c>
      <c r="P24">
        <v>113</v>
      </c>
      <c r="Q24">
        <v>6637</v>
      </c>
      <c r="R24" t="str">
        <v>Onbekend</v>
      </c>
      <c r="S24" t="str">
        <v>A+++</v>
      </c>
      <c r="T24">
        <v>4</v>
      </c>
      <c r="U24">
        <v>3</v>
      </c>
      <c r="V24" t="str">
        <v>Grondgebonden</v>
      </c>
      <c r="W24" t="str">
        <v>Tussenwoning</v>
      </c>
      <c r="X24" t="str">
        <v>N.v.t.</v>
      </c>
      <c r="Y24" t="str">
        <v>Ja</v>
      </c>
      <c r="Z24" t="str">
        <v>eigen parkeerplaats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44435495</v>
      </c>
      <c r="B25" t="str">
        <v>https://www.funda.nl/detail/koop/muiden/huis-productielijn-bouwnr-937/44435495/</v>
      </c>
      <c r="C25" t="str">
        <v>De Krijgsman Fase 9 - Kruitpadwal &amp; Productielijn</v>
      </c>
      <c r="D25" t="str">
        <v>Productielijn</v>
      </c>
      <c r="E25" t="str">
        <v>937</v>
      </c>
      <c r="F25" t="str">
        <v>1398</v>
      </c>
      <c r="G25" t="str">
        <v>Muiden</v>
      </c>
      <c r="H25" t="str">
        <v>Gooise Meren</v>
      </c>
      <c r="I25" t="str">
        <v>Noord-Holland</v>
      </c>
      <c r="J25" t="str">
        <v>West-Nederland</v>
      </c>
      <c r="K25" t="str">
        <v>Te koop</v>
      </c>
      <c r="L25" t="str">
        <v>Onbekend</v>
      </c>
      <c r="M25" t="str">
        <v>Onbekend</v>
      </c>
      <c r="N25">
        <v>785000</v>
      </c>
      <c r="O25" t="str">
        <v>v.o.n.</v>
      </c>
      <c r="P25">
        <v>113</v>
      </c>
      <c r="Q25">
        <v>6947</v>
      </c>
      <c r="R25" t="str">
        <v>Onbekend</v>
      </c>
      <c r="S25" t="str">
        <v>A+++</v>
      </c>
      <c r="T25">
        <v>4</v>
      </c>
      <c r="U25">
        <v>3</v>
      </c>
      <c r="V25" t="str">
        <v>Grondgebonden</v>
      </c>
      <c r="W25" t="str">
        <v>Hoekwoning</v>
      </c>
      <c r="X25" t="str">
        <v>N.v.t.</v>
      </c>
      <c r="Y25" t="str">
        <v>Ja</v>
      </c>
      <c r="Z25" t="str">
        <v>eigen parkeerplaats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44435494</v>
      </c>
      <c r="B26" t="str">
        <v>https://www.funda.nl/detail/koop/muiden/huis-productielijn-bouwnr-938/44435494/</v>
      </c>
      <c r="C26" t="str">
        <v>De Krijgsman Fase 9 - Kruitpadwal &amp; Productielijn</v>
      </c>
      <c r="D26" t="str">
        <v>Productielijn</v>
      </c>
      <c r="E26" t="str">
        <v>938</v>
      </c>
      <c r="F26" t="str">
        <v>1398</v>
      </c>
      <c r="G26" t="str">
        <v>Muiden</v>
      </c>
      <c r="H26" t="str">
        <v>Gooise Meren</v>
      </c>
      <c r="I26" t="str">
        <v>Noord-Holland</v>
      </c>
      <c r="J26" t="str">
        <v>West-Nederland</v>
      </c>
      <c r="K26" t="str">
        <v>V.O.V.</v>
      </c>
      <c r="L26" t="str">
        <v>Onbekend</v>
      </c>
      <c r="M26" t="str">
        <v>Onbekend</v>
      </c>
      <c r="N26">
        <v>750000</v>
      </c>
      <c r="O26" t="str">
        <v>v.o.n.</v>
      </c>
      <c r="P26">
        <v>113</v>
      </c>
      <c r="Q26">
        <v>6637</v>
      </c>
      <c r="R26" t="str">
        <v>Onbekend</v>
      </c>
      <c r="S26" t="str">
        <v>A+++</v>
      </c>
      <c r="T26">
        <v>4</v>
      </c>
      <c r="U26">
        <v>3</v>
      </c>
      <c r="V26" t="str">
        <v>Grondgebonden</v>
      </c>
      <c r="W26" t="str">
        <v>Tussenwoning</v>
      </c>
      <c r="X26" t="str">
        <v>N.v.t.</v>
      </c>
      <c r="Y26" t="str">
        <v>Ja</v>
      </c>
      <c r="Z26" t="str">
        <v>eigen parkeerplaats</v>
      </c>
      <c r="AA26" t="str">
        <v>2026</v>
      </c>
      <c r="AB26" t="str">
        <v>Nee</v>
      </c>
      <c r="AC26" t="str">
        <v>NEE</v>
      </c>
      <c r="AD26" t="str">
        <v>JA</v>
      </c>
    </row>
  </sheetData>
  <autoFilter ref="A23:AD26"/>
  <ignoredErrors>
    <ignoredError numberStoredAsText="1" sqref="A1:AD26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AD26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Haarlem</v>
      </c>
    </row>
    <row r="3">
      <c r="A3" t="str">
        <v>Samenvatting</v>
      </c>
    </row>
    <row r="4">
      <c r="A4" t="str">
        <v>Aantal woningen</v>
      </c>
      <c r="B4">
        <v>3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2</v>
      </c>
    </row>
    <row r="8">
      <c r="A8" t="str">
        <v>Gemiddelde VON-prijs (€)</v>
      </c>
      <c r="B8">
        <v>390333</v>
      </c>
    </row>
    <row r="9">
      <c r="A9" t="str">
        <v>Mediaan VON-prijs (€)</v>
      </c>
      <c r="B9">
        <v>398000</v>
      </c>
    </row>
    <row r="10">
      <c r="A10" t="str">
        <v>Gemiddelde VON-prijs per m² (€)</v>
      </c>
      <c r="B10">
        <v>8049</v>
      </c>
    </row>
    <row r="11">
      <c r="A11" t="str">
        <v>Mediaan VON-prijs per m² (€)</v>
      </c>
      <c r="B11">
        <v>8468</v>
      </c>
    </row>
    <row r="12">
      <c r="A12" t="str">
        <v>Gemiddelde GBO (m²)</v>
      </c>
      <c r="B12">
        <v>49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&lt;50 m²</v>
      </c>
      <c r="B19">
        <v>2</v>
      </c>
    </row>
    <row r="20">
      <c r="A20" t="str">
        <v>Appartement 50-75 m²</v>
      </c>
      <c r="B20">
        <v>1</v>
      </c>
    </row>
    <row r="22">
      <c r="A22" t="str">
        <v>Alle woningen in Haarlem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44424540</v>
      </c>
      <c r="B24" t="str">
        <v>https://www.funda.nl/detail/koop/haarlem/appartement-amerikaweg-6-j6/44424540/</v>
      </c>
      <c r="C24" t="str">
        <v>Rootz</v>
      </c>
      <c r="D24" t="str">
        <v>Amerikaweg 6-J6</v>
      </c>
      <c r="E24" t="str">
        <v>Onbekend</v>
      </c>
      <c r="F24" t="str">
        <v>2035 RA</v>
      </c>
      <c r="G24" t="str">
        <v>Haarlem</v>
      </c>
      <c r="H24" t="str">
        <v>Haarlem</v>
      </c>
      <c r="I24" t="str">
        <v>Noord-Holland</v>
      </c>
      <c r="J24" t="str">
        <v>West-Nederland</v>
      </c>
      <c r="K24" t="str">
        <v>Te koop</v>
      </c>
      <c r="L24" t="str">
        <v>Onbekend</v>
      </c>
      <c r="M24" t="str">
        <v>Onbekend</v>
      </c>
      <c r="N24">
        <v>398000</v>
      </c>
      <c r="O24" t="str">
        <v>v.o.n.</v>
      </c>
      <c r="P24">
        <v>47</v>
      </c>
      <c r="Q24">
        <v>8468</v>
      </c>
      <c r="R24" t="str">
        <v>Onbekend</v>
      </c>
      <c r="S24" t="str">
        <v>Niet beschikbaar</v>
      </c>
      <c r="T24">
        <v>2</v>
      </c>
      <c r="U24">
        <v>1</v>
      </c>
      <c r="V24" t="str">
        <v>Appartement</v>
      </c>
      <c r="W24" t="str">
        <v>Appartement</v>
      </c>
      <c r="X24" t="str">
        <v>Appartement &lt;50 m²</v>
      </c>
      <c r="Y24" t="str">
        <v>Onbekend</v>
      </c>
      <c r="Z24" t="str">
        <v>onbekend</v>
      </c>
      <c r="AA24" t="str">
        <v>2027</v>
      </c>
      <c r="AB24" t="str">
        <v>Nee</v>
      </c>
      <c r="AC24" t="str">
        <v>NEE</v>
      </c>
      <c r="AD24" t="str">
        <v>JA</v>
      </c>
    </row>
    <row r="25">
      <c r="A25" t="str">
        <v>44424549</v>
      </c>
      <c r="B25" t="str">
        <v>https://www.funda.nl/detail/koop/haarlem/appartement-amerikaweg-6-c7/44424549/</v>
      </c>
      <c r="C25" t="str">
        <v>Rootz</v>
      </c>
      <c r="D25" t="str">
        <v>Amerikaweg 6-C7</v>
      </c>
      <c r="E25" t="str">
        <v>Onbekend</v>
      </c>
      <c r="F25" t="str">
        <v>2035 RA</v>
      </c>
      <c r="G25" t="str">
        <v>Haarlem</v>
      </c>
      <c r="H25" t="str">
        <v>Haarlem</v>
      </c>
      <c r="I25" t="str">
        <v>Noord-Holland</v>
      </c>
      <c r="J25" t="str">
        <v>West-Nederland</v>
      </c>
      <c r="K25" t="str">
        <v>V.O.V.</v>
      </c>
      <c r="L25" t="str">
        <v>Onbekend</v>
      </c>
      <c r="M25" t="str">
        <v>Onbekend</v>
      </c>
      <c r="N25">
        <v>398000</v>
      </c>
      <c r="O25" t="str">
        <v>v.o.n.</v>
      </c>
      <c r="P25">
        <v>47</v>
      </c>
      <c r="Q25">
        <v>8468</v>
      </c>
      <c r="R25" t="str">
        <v>Onbekend</v>
      </c>
      <c r="S25" t="str">
        <v>Niet beschikbaar</v>
      </c>
      <c r="T25">
        <v>2</v>
      </c>
      <c r="U25">
        <v>1</v>
      </c>
      <c r="V25" t="str">
        <v>Appartement</v>
      </c>
      <c r="W25" t="str">
        <v>Appartement</v>
      </c>
      <c r="X25" t="str">
        <v>Appartement &lt;50 m²</v>
      </c>
      <c r="Y25" t="str">
        <v>Onbekend</v>
      </c>
      <c r="Z25" t="str">
        <v>onbekend</v>
      </c>
      <c r="AA25" t="str">
        <v>2027</v>
      </c>
      <c r="AB25" t="str">
        <v>Nee</v>
      </c>
      <c r="AC25" t="str">
        <v>NEE</v>
      </c>
      <c r="AD25" t="str">
        <v>JA</v>
      </c>
    </row>
    <row r="26">
      <c r="A26" t="str">
        <v>44424544</v>
      </c>
      <c r="B26" t="str">
        <v>https://www.funda.nl/detail/koop/haarlem/appartement-amerikaweg-6-m7/44424544/</v>
      </c>
      <c r="C26" t="str">
        <v>Rootz</v>
      </c>
      <c r="D26" t="str">
        <v>Amerikaweg 6-M7</v>
      </c>
      <c r="E26" t="str">
        <v>Onbekend</v>
      </c>
      <c r="F26" t="str">
        <v>2035 RA</v>
      </c>
      <c r="G26" t="str">
        <v>Haarlem</v>
      </c>
      <c r="H26" t="str">
        <v>Haarlem</v>
      </c>
      <c r="I26" t="str">
        <v>Noord-Holland</v>
      </c>
      <c r="J26" t="str">
        <v>West-Nederland</v>
      </c>
      <c r="K26" t="str">
        <v>V.O.V.</v>
      </c>
      <c r="L26" t="str">
        <v>Onbekend</v>
      </c>
      <c r="M26" t="str">
        <v>Onbekend</v>
      </c>
      <c r="N26">
        <v>375000</v>
      </c>
      <c r="O26" t="str">
        <v>v.o.n.</v>
      </c>
      <c r="P26">
        <v>52</v>
      </c>
      <c r="Q26">
        <v>7212</v>
      </c>
      <c r="R26" t="str">
        <v>Onbekend</v>
      </c>
      <c r="S26" t="str">
        <v>Niet beschikbaar</v>
      </c>
      <c r="T26">
        <v>2</v>
      </c>
      <c r="U26">
        <v>1</v>
      </c>
      <c r="V26" t="str">
        <v>Appartement</v>
      </c>
      <c r="W26" t="str">
        <v>Appartement</v>
      </c>
      <c r="X26" t="str">
        <v>Appartement 50-75 m²</v>
      </c>
      <c r="Y26" t="str">
        <v>Onbekend</v>
      </c>
      <c r="Z26" t="str">
        <v>onbekend</v>
      </c>
      <c r="AA26" t="str">
        <v>2027</v>
      </c>
      <c r="AB26" t="str">
        <v>Nee</v>
      </c>
      <c r="AC26" t="str">
        <v>NEE</v>
      </c>
      <c r="AD26" t="str">
        <v>JA</v>
      </c>
    </row>
  </sheetData>
  <autoFilter ref="A23:AD26"/>
  <ignoredErrors>
    <ignoredError numberStoredAsText="1" sqref="A1:AD26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Haarlemmermeer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399000</v>
      </c>
    </row>
    <row r="9">
      <c r="A9" t="str">
        <v>Mediaan VON-prijs (€)</v>
      </c>
      <c r="B9">
        <v>399000</v>
      </c>
    </row>
    <row r="10">
      <c r="A10" t="str">
        <v>Gemiddelde VON-prijs per m² (€)</v>
      </c>
      <c r="B10">
        <v>8143</v>
      </c>
    </row>
    <row r="11">
      <c r="A11" t="str">
        <v>Mediaan VON-prijs per m² (€)</v>
      </c>
      <c r="B11">
        <v>8143</v>
      </c>
    </row>
    <row r="12">
      <c r="A12" t="str">
        <v>Gemiddelde GBO (m²)</v>
      </c>
      <c r="B12">
        <v>49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&lt;50 m²</v>
      </c>
      <c r="B19">
        <v>1</v>
      </c>
    </row>
    <row r="21">
      <c r="A21" t="str">
        <v>Alle woningen in Haarlemmermeer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80882629</v>
      </c>
      <c r="B23" t="str">
        <v>https://www.funda.nl/detail/koop/hoofddorp/appartement-hadidkade-60/80882629/</v>
      </c>
      <c r="C23" t="str">
        <v>Onbekend</v>
      </c>
      <c r="D23" t="str">
        <v>Hadidkade 60</v>
      </c>
      <c r="E23" t="str">
        <v>Onbekend</v>
      </c>
      <c r="F23" t="str">
        <v>2132 GX</v>
      </c>
      <c r="G23" t="str">
        <v>Hoofddorp</v>
      </c>
      <c r="H23" t="str">
        <v>Haarlemmermeer</v>
      </c>
      <c r="I23" t="str">
        <v>Noord-Holland</v>
      </c>
      <c r="J23" t="str">
        <v>West-Nederland</v>
      </c>
      <c r="K23" t="str">
        <v>Te koop</v>
      </c>
      <c r="L23" t="str">
        <v>Onbekend</v>
      </c>
      <c r="M23" t="str">
        <v>Onbekend</v>
      </c>
      <c r="N23">
        <v>399000</v>
      </c>
      <c r="O23" t="str">
        <v>k.k.</v>
      </c>
      <c r="P23">
        <v>49</v>
      </c>
      <c r="Q23">
        <v>8143</v>
      </c>
      <c r="R23" t="str">
        <v>Onbekend</v>
      </c>
      <c r="S23" t="str">
        <v>A++</v>
      </c>
      <c r="T23">
        <v>2</v>
      </c>
      <c r="U23">
        <v>1</v>
      </c>
      <c r="V23" t="str">
        <v>Appartement</v>
      </c>
      <c r="W23" t="str">
        <v>Appartement</v>
      </c>
      <c r="X23" t="str">
        <v>Appartement &lt;50 m²</v>
      </c>
      <c r="Y23" t="str">
        <v>Onbekend</v>
      </c>
      <c r="Z23" t="str">
        <v>onbekend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Halderberge</v>
      </c>
    </row>
    <row r="3">
      <c r="A3" t="str">
        <v>Samenvatting</v>
      </c>
    </row>
    <row r="4">
      <c r="A4" t="str">
        <v>Aantal woningen</v>
      </c>
      <c r="B4">
        <v>74</v>
      </c>
    </row>
    <row r="5">
      <c r="A5" t="str">
        <v>Aantal te koop</v>
      </c>
      <c r="B5">
        <v>74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516054</v>
      </c>
    </row>
    <row r="9">
      <c r="A9" t="str">
        <v>Mediaan VON-prijs (€)</v>
      </c>
      <c r="B9">
        <v>500250</v>
      </c>
    </row>
    <row r="10">
      <c r="A10" t="str">
        <v>Gemiddelde VON-prijs per m² (€)</v>
      </c>
      <c r="B10">
        <v>4348</v>
      </c>
    </row>
    <row r="11">
      <c r="A11" t="str">
        <v>Mediaan VON-prijs per m² (€)</v>
      </c>
      <c r="B11">
        <v>4032</v>
      </c>
    </row>
    <row r="12">
      <c r="A12" t="str">
        <v>Gemiddelde GBO (m²)</v>
      </c>
      <c r="B12">
        <v>119</v>
      </c>
    </row>
    <row r="13">
      <c r="A13" t="str">
        <v>Gemiddelde looptijd (dagen)</v>
      </c>
      <c r="B13">
        <v>4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2-onder-1-kapwoning</v>
      </c>
      <c r="B17">
        <v>10</v>
      </c>
    </row>
    <row r="18">
      <c r="A18" t="str">
        <v>Hoekwoning</v>
      </c>
      <c r="B18">
        <v>14</v>
      </c>
    </row>
    <row r="19">
      <c r="A19" t="str">
        <v>Tussenwoning</v>
      </c>
      <c r="B19">
        <v>27</v>
      </c>
    </row>
    <row r="21">
      <c r="A21" t="str">
        <v>Uitsplitsing appartementcategorieen</v>
      </c>
      <c r="B21" t="str">
        <v>Aantal</v>
      </c>
    </row>
    <row r="22">
      <c r="A22" t="str">
        <v>Appartement 75-100 m²</v>
      </c>
      <c r="B22">
        <v>9</v>
      </c>
    </row>
    <row r="23">
      <c r="A23" t="str">
        <v>Appartement &gt;100 m²</v>
      </c>
      <c r="B23">
        <v>14</v>
      </c>
    </row>
    <row r="25">
      <c r="A25" t="str">
        <v>Alle woningen in Halderberge</v>
      </c>
    </row>
    <row r="26">
      <c r="A26" t="str">
        <v>Funda ID</v>
      </c>
      <c r="B26" t="str">
        <v>Funda URL</v>
      </c>
      <c r="C26" t="str">
        <v>Projectnaam</v>
      </c>
      <c r="D26" t="str">
        <v>Adres</v>
      </c>
      <c r="E26" t="str">
        <v>Bouwnummer</v>
      </c>
      <c r="F26" t="str">
        <v>Postcode</v>
      </c>
      <c r="G26" t="str">
        <v>Plaats</v>
      </c>
      <c r="H26" t="str">
        <v>Gemeente</v>
      </c>
      <c r="I26" t="str">
        <v>Provincie</v>
      </c>
      <c r="J26" t="str">
        <v>Regio</v>
      </c>
      <c r="K26" t="str">
        <v>Status</v>
      </c>
      <c r="L26" t="str">
        <v>Datum plaatsing</v>
      </c>
      <c r="M26" t="str">
        <v>Looptijd (dagen)</v>
      </c>
      <c r="N26" t="str">
        <v>Vraagprijs (€)</v>
      </c>
      <c r="O26" t="str">
        <v>Kostenlabel</v>
      </c>
      <c r="P26" t="str">
        <v>GBO (m²)</v>
      </c>
      <c r="Q26" t="str">
        <v>VON-prijs per m² (€)</v>
      </c>
      <c r="R26" t="str">
        <v>Perceeloppervlakte (m²)</v>
      </c>
      <c r="S26" t="str">
        <v>Energielabel</v>
      </c>
      <c r="T26" t="str">
        <v>Aantal kamers</v>
      </c>
      <c r="U26" t="str">
        <v>Aantal slaapkamers</v>
      </c>
      <c r="V26" t="str">
        <v>Woningcategorie</v>
      </c>
      <c r="W26" t="str">
        <v>Woningtype</v>
      </c>
      <c r="X26" t="str">
        <v>Appartement categorie</v>
      </c>
      <c r="Y26" t="str">
        <v>Parkeerplaats</v>
      </c>
      <c r="Z26" t="str">
        <v>Type parkeerplaats</v>
      </c>
      <c r="AA26" t="str">
        <v>Bouwjaar</v>
      </c>
      <c r="AB26" t="str">
        <v>Prijs op aanvraag</v>
      </c>
      <c r="AC26" t="str">
        <v>Outlier flag</v>
      </c>
      <c r="AD26" t="str">
        <v>GemeenteOK</v>
      </c>
    </row>
    <row r="27">
      <c r="A27" t="str">
        <v>44423615</v>
      </c>
      <c r="B27" t="str">
        <v>https://www.funda.nl/detail/koop/hoeven/huis-veranda-eengezinswoning-bouwnr-7/44423615/</v>
      </c>
      <c r="C27" t="str">
        <v>Bosvenne Hoeven | Fase 1 | de verkoop is gestart!</v>
      </c>
      <c r="D27" t="str">
        <v>Veranda eengezinswoning</v>
      </c>
      <c r="E27" t="str">
        <v>- 7</v>
      </c>
      <c r="F27" t="str">
        <v>4741 SK</v>
      </c>
      <c r="G27" t="str">
        <v>Hoeven</v>
      </c>
      <c r="H27" t="str">
        <v>Halderberge</v>
      </c>
      <c r="I27" t="str">
        <v>Noord-Brabant</v>
      </c>
      <c r="J27" t="str">
        <v>Zuid-Nederland</v>
      </c>
      <c r="K27" t="str">
        <v>Te koop</v>
      </c>
      <c r="L27" t="str">
        <v>Onbekend</v>
      </c>
      <c r="M27" t="str">
        <v>Onbekend</v>
      </c>
      <c r="N27">
        <v>435000</v>
      </c>
      <c r="O27" t="str">
        <v>v.o.n.</v>
      </c>
      <c r="P27">
        <v>116</v>
      </c>
      <c r="Q27">
        <v>3750</v>
      </c>
      <c r="R27">
        <v>93</v>
      </c>
      <c r="S27" t="str">
        <v>A+++</v>
      </c>
      <c r="T27">
        <v>4</v>
      </c>
      <c r="U27">
        <v>4</v>
      </c>
      <c r="V27" t="str">
        <v>Grondgebonden</v>
      </c>
      <c r="W27" t="str">
        <v>Tussenwoning</v>
      </c>
      <c r="X27" t="str">
        <v>N.v.t.</v>
      </c>
      <c r="Y27" t="str">
        <v>Ja</v>
      </c>
      <c r="Z27" t="str">
        <v>openbare parkeerplaats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44423697</v>
      </c>
      <c r="B28" t="str">
        <v>https://www.funda.nl/detail/koop/hoeven/huis-veranda-eengezinswoning-bouwnr-9/44423697/</v>
      </c>
      <c r="C28" t="str">
        <v>Bosvenne Hoeven | Fase 1 | de verkoop is gestart!</v>
      </c>
      <c r="D28" t="str">
        <v>Veranda eengezinswoning</v>
      </c>
      <c r="E28" t="str">
        <v>- 9</v>
      </c>
      <c r="F28" t="str">
        <v>4741 SK</v>
      </c>
      <c r="G28" t="str">
        <v>Hoeven</v>
      </c>
      <c r="H28" t="str">
        <v>Halderberge</v>
      </c>
      <c r="I28" t="str">
        <v>Noord-Brabant</v>
      </c>
      <c r="J28" t="str">
        <v>Zuid-Nederland</v>
      </c>
      <c r="K28" t="str">
        <v>Te koop</v>
      </c>
      <c r="L28" t="str">
        <v>Onbekend</v>
      </c>
      <c r="M28" t="str">
        <v>Onbekend</v>
      </c>
      <c r="N28">
        <v>435000</v>
      </c>
      <c r="O28" t="str">
        <v>v.o.n.</v>
      </c>
      <c r="P28">
        <v>116</v>
      </c>
      <c r="Q28">
        <v>3750</v>
      </c>
      <c r="R28">
        <v>93</v>
      </c>
      <c r="S28" t="str">
        <v>A+++</v>
      </c>
      <c r="T28">
        <v>4</v>
      </c>
      <c r="U28">
        <v>4</v>
      </c>
      <c r="V28" t="str">
        <v>Grondgebonden</v>
      </c>
      <c r="W28" t="str">
        <v>Tussenwoning</v>
      </c>
      <c r="X28" t="str">
        <v>N.v.t.</v>
      </c>
      <c r="Y28" t="str">
        <v>Ja</v>
      </c>
      <c r="Z28" t="str">
        <v>openbare parkeerplaats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44423696</v>
      </c>
      <c r="B29" t="str">
        <v>https://www.funda.nl/detail/koop/hoeven/huis-veranda-eengezinswoning-bouwnr-8/44423696/</v>
      </c>
      <c r="C29" t="str">
        <v>Bosvenne Hoeven | Fase 1 | de verkoop is gestart!</v>
      </c>
      <c r="D29" t="str">
        <v>Veranda eengezinswoning</v>
      </c>
      <c r="E29" t="str">
        <v>- 8</v>
      </c>
      <c r="F29" t="str">
        <v>4741 SK</v>
      </c>
      <c r="G29" t="str">
        <v>Hoeven</v>
      </c>
      <c r="H29" t="str">
        <v>Halderberge</v>
      </c>
      <c r="I29" t="str">
        <v>Noord-Brabant</v>
      </c>
      <c r="J29" t="str">
        <v>Zuid-Nederland</v>
      </c>
      <c r="K29" t="str">
        <v>Te koop</v>
      </c>
      <c r="L29" t="str">
        <v>Onbekend</v>
      </c>
      <c r="M29" t="str">
        <v>Onbekend</v>
      </c>
      <c r="N29">
        <v>435000</v>
      </c>
      <c r="O29" t="str">
        <v>v.o.n.</v>
      </c>
      <c r="P29">
        <v>116</v>
      </c>
      <c r="Q29">
        <v>3750</v>
      </c>
      <c r="R29">
        <v>93</v>
      </c>
      <c r="S29" t="str">
        <v>A+++</v>
      </c>
      <c r="T29">
        <v>4</v>
      </c>
      <c r="U29">
        <v>4</v>
      </c>
      <c r="V29" t="str">
        <v>Grondgebonden</v>
      </c>
      <c r="W29" t="str">
        <v>Tussenwoning</v>
      </c>
      <c r="X29" t="str">
        <v>N.v.t.</v>
      </c>
      <c r="Y29" t="str">
        <v>Ja</v>
      </c>
      <c r="Z29" t="str">
        <v>openbare parkeerplaats</v>
      </c>
      <c r="AA29" t="str">
        <v>2026</v>
      </c>
      <c r="AB29" t="str">
        <v>Nee</v>
      </c>
      <c r="AC29" t="str">
        <v>NEE</v>
      </c>
      <c r="AD29" t="str">
        <v>JA</v>
      </c>
    </row>
    <row r="30">
      <c r="A30" t="str">
        <v>44423672</v>
      </c>
      <c r="B30" t="str">
        <v>https://www.funda.nl/detail/koop/hoeven/huis-tweekapper-xl-bouwnr-34/44423672/</v>
      </c>
      <c r="C30" t="str">
        <v>Bosvenne Hoeven | Fase 1 | de verkoop is gestart!</v>
      </c>
      <c r="D30" t="str">
        <v>Tweekapper XL</v>
      </c>
      <c r="E30" t="str">
        <v>- 34</v>
      </c>
      <c r="F30" t="str">
        <v>4741 SK</v>
      </c>
      <c r="G30" t="str">
        <v>Hoeven</v>
      </c>
      <c r="H30" t="str">
        <v>Halderberge</v>
      </c>
      <c r="I30" t="str">
        <v>Noord-Brabant</v>
      </c>
      <c r="J30" t="str">
        <v>Zuid-Nederland</v>
      </c>
      <c r="K30" t="str">
        <v>Te koop</v>
      </c>
      <c r="L30" t="str">
        <v>Onbekend</v>
      </c>
      <c r="M30" t="str">
        <v>Onbekend</v>
      </c>
      <c r="N30">
        <v>680000</v>
      </c>
      <c r="O30" t="str">
        <v>v.o.n.</v>
      </c>
      <c r="P30">
        <v>162</v>
      </c>
      <c r="Q30">
        <v>4198</v>
      </c>
      <c r="R30">
        <v>432</v>
      </c>
      <c r="S30" t="str">
        <v>A+++</v>
      </c>
      <c r="T30">
        <v>4</v>
      </c>
      <c r="U30">
        <v>3</v>
      </c>
      <c r="V30" t="str">
        <v>Grondgebonden</v>
      </c>
      <c r="W30" t="str">
        <v>2-onder-1-kapwoning</v>
      </c>
      <c r="X30" t="str">
        <v>N.v.t.</v>
      </c>
      <c r="Y30" t="str">
        <v>Ja</v>
      </c>
      <c r="Z30" t="str">
        <v>eigen parkeerplaats</v>
      </c>
      <c r="AA30" t="str">
        <v>2026</v>
      </c>
      <c r="AB30" t="str">
        <v>Nee</v>
      </c>
      <c r="AC30" t="str">
        <v>NEE</v>
      </c>
      <c r="AD30" t="str">
        <v>JA</v>
      </c>
    </row>
    <row r="31">
      <c r="A31" t="str">
        <v>44423640</v>
      </c>
      <c r="B31" t="str">
        <v>https://www.funda.nl/detail/koop/hoeven/appartement-appartement-type-a-bouwnr-a9/44423640/</v>
      </c>
      <c r="C31" t="str">
        <v>Bosvenne Hoeven | Fase 1 | de verkoop is gestart!</v>
      </c>
      <c r="D31" t="str">
        <v>Appartement type A</v>
      </c>
      <c r="E31" t="str">
        <v>- A9</v>
      </c>
      <c r="F31" t="str">
        <v>4741 SK</v>
      </c>
      <c r="G31" t="str">
        <v>Hoeven</v>
      </c>
      <c r="H31" t="str">
        <v>Halderberge</v>
      </c>
      <c r="I31" t="str">
        <v>Noord-Brabant</v>
      </c>
      <c r="J31" t="str">
        <v>Zuid-Nederland</v>
      </c>
      <c r="K31" t="str">
        <v>Te koop</v>
      </c>
      <c r="L31" t="str">
        <v>Onbekend</v>
      </c>
      <c r="M31" t="str">
        <v>Onbekend</v>
      </c>
      <c r="N31">
        <v>570000</v>
      </c>
      <c r="O31" t="str">
        <v>v.o.n.</v>
      </c>
      <c r="P31">
        <v>111</v>
      </c>
      <c r="Q31">
        <v>5135</v>
      </c>
      <c r="R31" t="str">
        <v>Onbekend</v>
      </c>
      <c r="S31" t="str">
        <v>A+++</v>
      </c>
      <c r="T31">
        <v>4</v>
      </c>
      <c r="U31">
        <v>3</v>
      </c>
      <c r="V31" t="str">
        <v>Appartement</v>
      </c>
      <c r="W31" t="str">
        <v>Appartement</v>
      </c>
      <c r="X31" t="str">
        <v>Appartement &gt;100 m²</v>
      </c>
      <c r="Y31" t="str">
        <v>Ja</v>
      </c>
      <c r="Z31" t="str">
        <v>garage</v>
      </c>
      <c r="AA31" t="str">
        <v>2026</v>
      </c>
      <c r="AB31" t="str">
        <v>Nee</v>
      </c>
      <c r="AC31" t="str">
        <v>NEE</v>
      </c>
      <c r="AD31" t="str">
        <v>JA</v>
      </c>
    </row>
    <row r="32">
      <c r="A32" t="str">
        <v>44423649</v>
      </c>
      <c r="B32" t="str">
        <v>https://www.funda.nl/detail/koop/hoeven/appartement-appartement-type-a-bouwnr-a10/44423649/</v>
      </c>
      <c r="C32" t="str">
        <v>Bosvenne Hoeven | Fase 1 | de verkoop is gestart!</v>
      </c>
      <c r="D32" t="str">
        <v>Appartement type A</v>
      </c>
      <c r="E32" t="str">
        <v>- A10</v>
      </c>
      <c r="F32" t="str">
        <v>4741 SK</v>
      </c>
      <c r="G32" t="str">
        <v>Hoeven</v>
      </c>
      <c r="H32" t="str">
        <v>Halderberge</v>
      </c>
      <c r="I32" t="str">
        <v>Noord-Brabant</v>
      </c>
      <c r="J32" t="str">
        <v>Zuid-Nederland</v>
      </c>
      <c r="K32" t="str">
        <v>Te koop</v>
      </c>
      <c r="L32" t="str">
        <v>Onbekend</v>
      </c>
      <c r="M32" t="str">
        <v>Onbekend</v>
      </c>
      <c r="N32">
        <v>575000</v>
      </c>
      <c r="O32" t="str">
        <v>v.o.n.</v>
      </c>
      <c r="P32">
        <v>111</v>
      </c>
      <c r="Q32">
        <v>5180</v>
      </c>
      <c r="R32" t="str">
        <v>Onbekend</v>
      </c>
      <c r="S32" t="str">
        <v>A+++</v>
      </c>
      <c r="T32">
        <v>4</v>
      </c>
      <c r="U32">
        <v>3</v>
      </c>
      <c r="V32" t="str">
        <v>Appartement</v>
      </c>
      <c r="W32" t="str">
        <v>Appartement</v>
      </c>
      <c r="X32" t="str">
        <v>Appartement &gt;100 m²</v>
      </c>
      <c r="Y32" t="str">
        <v>Ja</v>
      </c>
      <c r="Z32" t="str">
        <v>garage</v>
      </c>
      <c r="AA32" t="str">
        <v>2026</v>
      </c>
      <c r="AB32" t="str">
        <v>Nee</v>
      </c>
      <c r="AC32" t="str">
        <v>NEE</v>
      </c>
      <c r="AD32" t="str">
        <v>JA</v>
      </c>
    </row>
    <row r="33">
      <c r="A33" t="str">
        <v>44423631</v>
      </c>
      <c r="B33" t="str">
        <v>https://www.funda.nl/detail/koop/hoeven/appartement-appartement-type-a-bouwnr-a17/44423631/</v>
      </c>
      <c r="C33" t="str">
        <v>Bosvenne Hoeven | Fase 1 | de verkoop is gestart!</v>
      </c>
      <c r="D33" t="str">
        <v>Appartement type A</v>
      </c>
      <c r="E33" t="str">
        <v>- A17</v>
      </c>
      <c r="F33" t="str">
        <v>4741 SK</v>
      </c>
      <c r="G33" t="str">
        <v>Hoeven</v>
      </c>
      <c r="H33" t="str">
        <v>Halderberge</v>
      </c>
      <c r="I33" t="str">
        <v>Noord-Brabant</v>
      </c>
      <c r="J33" t="str">
        <v>Zuid-Nederland</v>
      </c>
      <c r="K33" t="str">
        <v>Te koop</v>
      </c>
      <c r="L33" t="str">
        <v>Onbekend</v>
      </c>
      <c r="M33" t="str">
        <v>Onbekend</v>
      </c>
      <c r="N33">
        <v>575000</v>
      </c>
      <c r="O33" t="str">
        <v>v.o.n.</v>
      </c>
      <c r="P33">
        <v>111</v>
      </c>
      <c r="Q33">
        <v>5180</v>
      </c>
      <c r="R33" t="str">
        <v>Onbekend</v>
      </c>
      <c r="S33" t="str">
        <v>A+++</v>
      </c>
      <c r="T33">
        <v>4</v>
      </c>
      <c r="U33">
        <v>3</v>
      </c>
      <c r="V33" t="str">
        <v>Appartement</v>
      </c>
      <c r="W33" t="str">
        <v>Appartement</v>
      </c>
      <c r="X33" t="str">
        <v>Appartement &gt;100 m²</v>
      </c>
      <c r="Y33" t="str">
        <v>Ja</v>
      </c>
      <c r="Z33" t="str">
        <v>garage</v>
      </c>
      <c r="AA33" t="str">
        <v>2026</v>
      </c>
      <c r="AB33" t="str">
        <v>Nee</v>
      </c>
      <c r="AC33" t="str">
        <v>NEE</v>
      </c>
      <c r="AD33" t="str">
        <v>JA</v>
      </c>
    </row>
    <row r="34">
      <c r="A34" t="str">
        <v>44423637</v>
      </c>
      <c r="B34" t="str">
        <v>https://www.funda.nl/detail/koop/hoeven/appartement-appartement-type-a-bouwnr-a16/44423637/</v>
      </c>
      <c r="C34" t="str">
        <v>Bosvenne Hoeven | Fase 1 | de verkoop is gestart!</v>
      </c>
      <c r="D34" t="str">
        <v>Appartement type A</v>
      </c>
      <c r="E34" t="str">
        <v>- A16</v>
      </c>
      <c r="F34" t="str">
        <v>4741 SK</v>
      </c>
      <c r="G34" t="str">
        <v>Hoeven</v>
      </c>
      <c r="H34" t="str">
        <v>Halderberge</v>
      </c>
      <c r="I34" t="str">
        <v>Noord-Brabant</v>
      </c>
      <c r="J34" t="str">
        <v>Zuid-Nederland</v>
      </c>
      <c r="K34" t="str">
        <v>Te koop</v>
      </c>
      <c r="L34" t="str">
        <v>Onbekend</v>
      </c>
      <c r="M34" t="str">
        <v>Onbekend</v>
      </c>
      <c r="N34">
        <v>565000</v>
      </c>
      <c r="O34" t="str">
        <v>v.o.n.</v>
      </c>
      <c r="P34">
        <v>111</v>
      </c>
      <c r="Q34">
        <v>5090</v>
      </c>
      <c r="R34" t="str">
        <v>Onbekend</v>
      </c>
      <c r="S34" t="str">
        <v>A+++</v>
      </c>
      <c r="T34">
        <v>4</v>
      </c>
      <c r="U34">
        <v>3</v>
      </c>
      <c r="V34" t="str">
        <v>Appartement</v>
      </c>
      <c r="W34" t="str">
        <v>Appartement</v>
      </c>
      <c r="X34" t="str">
        <v>Appartement &gt;100 m²</v>
      </c>
      <c r="Y34" t="str">
        <v>Ja</v>
      </c>
      <c r="Z34" t="str">
        <v>garage</v>
      </c>
      <c r="AA34" t="str">
        <v>2026</v>
      </c>
      <c r="AB34" t="str">
        <v>Nee</v>
      </c>
      <c r="AC34" t="str">
        <v>NEE</v>
      </c>
      <c r="AD34" t="str">
        <v>JA</v>
      </c>
    </row>
    <row r="35">
      <c r="A35" t="str">
        <v>44423670</v>
      </c>
      <c r="B35" t="str">
        <v>https://www.funda.nl/detail/koop/hoeven/appartement-appartement-type-a-bouwnr-a2/44423670/</v>
      </c>
      <c r="C35" t="str">
        <v>Bosvenne Hoeven | Fase 1 | de verkoop is gestart!</v>
      </c>
      <c r="D35" t="str">
        <v>Appartement type A</v>
      </c>
      <c r="E35" t="str">
        <v>- A2</v>
      </c>
      <c r="F35" t="str">
        <v>4741 SK</v>
      </c>
      <c r="G35" t="str">
        <v>Hoeven</v>
      </c>
      <c r="H35" t="str">
        <v>Halderberge</v>
      </c>
      <c r="I35" t="str">
        <v>Noord-Brabant</v>
      </c>
      <c r="J35" t="str">
        <v>Zuid-Nederland</v>
      </c>
      <c r="K35" t="str">
        <v>Te koop</v>
      </c>
      <c r="L35" t="str">
        <v>Onbekend</v>
      </c>
      <c r="M35" t="str">
        <v>Onbekend</v>
      </c>
      <c r="N35">
        <v>560000</v>
      </c>
      <c r="O35" t="str">
        <v>v.o.n.</v>
      </c>
      <c r="P35">
        <v>111</v>
      </c>
      <c r="Q35">
        <v>5045</v>
      </c>
      <c r="R35" t="str">
        <v>Onbekend</v>
      </c>
      <c r="S35" t="str">
        <v>A+++</v>
      </c>
      <c r="T35">
        <v>4</v>
      </c>
      <c r="U35">
        <v>3</v>
      </c>
      <c r="V35" t="str">
        <v>Appartement</v>
      </c>
      <c r="W35" t="str">
        <v>Appartement</v>
      </c>
      <c r="X35" t="str">
        <v>Appartement &gt;100 m²</v>
      </c>
      <c r="Y35" t="str">
        <v>Ja</v>
      </c>
      <c r="Z35" t="str">
        <v>garage</v>
      </c>
      <c r="AA35" t="str">
        <v>2026</v>
      </c>
      <c r="AB35" t="str">
        <v>Nee</v>
      </c>
      <c r="AC35" t="str">
        <v>NEE</v>
      </c>
      <c r="AD35" t="str">
        <v>JA</v>
      </c>
    </row>
    <row r="36">
      <c r="A36" t="str">
        <v>44423626</v>
      </c>
      <c r="B36" t="str">
        <v>https://www.funda.nl/detail/koop/hoeven/huis-veranda-hoekwoning-bouwnr-10/44423626/</v>
      </c>
      <c r="C36" t="str">
        <v>Bosvenne Hoeven | Fase 1 | de verkoop is gestart!</v>
      </c>
      <c r="D36" t="str">
        <v>Veranda hoekwoning</v>
      </c>
      <c r="E36" t="str">
        <v>- 10</v>
      </c>
      <c r="F36" t="str">
        <v>4741 SK</v>
      </c>
      <c r="G36" t="str">
        <v>Hoeven</v>
      </c>
      <c r="H36" t="str">
        <v>Halderberge</v>
      </c>
      <c r="I36" t="str">
        <v>Noord-Brabant</v>
      </c>
      <c r="J36" t="str">
        <v>Zuid-Nederland</v>
      </c>
      <c r="K36" t="str">
        <v>Te koop</v>
      </c>
      <c r="L36" t="str">
        <v>Onbekend</v>
      </c>
      <c r="M36" t="str">
        <v>Onbekend</v>
      </c>
      <c r="N36">
        <v>522500</v>
      </c>
      <c r="O36" t="str">
        <v>v.o.n.</v>
      </c>
      <c r="P36">
        <v>129</v>
      </c>
      <c r="Q36">
        <v>4050</v>
      </c>
      <c r="R36">
        <v>151</v>
      </c>
      <c r="S36" t="str">
        <v>A+++</v>
      </c>
      <c r="T36">
        <v>4</v>
      </c>
      <c r="U36">
        <v>3</v>
      </c>
      <c r="V36" t="str">
        <v>Grondgebonden</v>
      </c>
      <c r="W36" t="str">
        <v>Hoekwoning</v>
      </c>
      <c r="X36" t="str">
        <v>N.v.t.</v>
      </c>
      <c r="Y36" t="str">
        <v>Ja</v>
      </c>
      <c r="Z36" t="str">
        <v>openbare parkeerplaats</v>
      </c>
      <c r="AA36" t="str">
        <v>2026</v>
      </c>
      <c r="AB36" t="str">
        <v>Nee</v>
      </c>
      <c r="AC36" t="str">
        <v>NEE</v>
      </c>
      <c r="AD36" t="str">
        <v>JA</v>
      </c>
    </row>
    <row r="37">
      <c r="A37" t="str">
        <v>44423613</v>
      </c>
      <c r="B37" t="str">
        <v>https://www.funda.nl/detail/koop/hoeven/huis-veranda-eengezinswoning-bouwnr-2/44423613/</v>
      </c>
      <c r="C37" t="str">
        <v>Bosvenne Hoeven | Fase 1 | de verkoop is gestart!</v>
      </c>
      <c r="D37" t="str">
        <v>Veranda eengezinswoning</v>
      </c>
      <c r="E37" t="str">
        <v>- 2</v>
      </c>
      <c r="F37" t="str">
        <v>4741 SK</v>
      </c>
      <c r="G37" t="str">
        <v>Hoeven</v>
      </c>
      <c r="H37" t="str">
        <v>Halderberge</v>
      </c>
      <c r="I37" t="str">
        <v>Noord-Brabant</v>
      </c>
      <c r="J37" t="str">
        <v>Zuid-Nederland</v>
      </c>
      <c r="K37" t="str">
        <v>Te koop</v>
      </c>
      <c r="L37" t="str">
        <v>Onbekend</v>
      </c>
      <c r="M37" t="str">
        <v>Onbekend</v>
      </c>
      <c r="N37">
        <v>435000</v>
      </c>
      <c r="O37" t="str">
        <v>v.o.n.</v>
      </c>
      <c r="P37">
        <v>116</v>
      </c>
      <c r="Q37">
        <v>3750</v>
      </c>
      <c r="R37">
        <v>111</v>
      </c>
      <c r="S37" t="str">
        <v>A+++</v>
      </c>
      <c r="T37">
        <v>4</v>
      </c>
      <c r="U37">
        <v>4</v>
      </c>
      <c r="V37" t="str">
        <v>Grondgebonden</v>
      </c>
      <c r="W37" t="str">
        <v>Tussenwoning</v>
      </c>
      <c r="X37" t="str">
        <v>N.v.t.</v>
      </c>
      <c r="Y37" t="str">
        <v>Ja</v>
      </c>
      <c r="Z37" t="str">
        <v>openbare parkeerplaats</v>
      </c>
      <c r="AA37" t="str">
        <v>2026</v>
      </c>
      <c r="AB37" t="str">
        <v>Nee</v>
      </c>
      <c r="AC37" t="str">
        <v>NEE</v>
      </c>
      <c r="AD37" t="str">
        <v>JA</v>
      </c>
    </row>
    <row r="38">
      <c r="A38" t="str">
        <v>44423607</v>
      </c>
      <c r="B38" t="str">
        <v>https://www.funda.nl/detail/koop/hoeven/huis-eengezinswoning-xl-bouwnr-21/44423607/</v>
      </c>
      <c r="C38" t="str">
        <v>Bosvenne Hoeven | Fase 1 | de verkoop is gestart!</v>
      </c>
      <c r="D38" t="str">
        <v>Eengezinswoning XL</v>
      </c>
      <c r="E38" t="str">
        <v>- 21</v>
      </c>
      <c r="F38" t="str">
        <v>4741 SK</v>
      </c>
      <c r="G38" t="str">
        <v>Hoeven</v>
      </c>
      <c r="H38" t="str">
        <v>Halderberge</v>
      </c>
      <c r="I38" t="str">
        <v>Noord-Brabant</v>
      </c>
      <c r="J38" t="str">
        <v>Zuid-Nederland</v>
      </c>
      <c r="K38" t="str">
        <v>Te koop</v>
      </c>
      <c r="L38" t="str">
        <v>2026-07-09</v>
      </c>
      <c r="M38">
        <v>4</v>
      </c>
      <c r="N38">
        <v>497500</v>
      </c>
      <c r="O38" t="str">
        <v>v.o.n.</v>
      </c>
      <c r="P38">
        <v>129</v>
      </c>
      <c r="Q38">
        <v>3857</v>
      </c>
      <c r="R38">
        <v>162</v>
      </c>
      <c r="S38" t="str">
        <v>A+++</v>
      </c>
      <c r="T38">
        <v>4</v>
      </c>
      <c r="U38">
        <v>3</v>
      </c>
      <c r="V38" t="str">
        <v>Grondgebonden</v>
      </c>
      <c r="W38" t="str">
        <v>Tussenwoning</v>
      </c>
      <c r="X38" t="str">
        <v>N.v.t.</v>
      </c>
      <c r="Y38" t="str">
        <v>Ja</v>
      </c>
      <c r="Z38" t="str">
        <v>openbare parkeerplaats</v>
      </c>
      <c r="AA38" t="str">
        <v>2026</v>
      </c>
      <c r="AB38" t="str">
        <v>Nee</v>
      </c>
      <c r="AC38" t="str">
        <v>NEE</v>
      </c>
      <c r="AD38" t="str">
        <v>JA</v>
      </c>
    </row>
    <row r="39">
      <c r="A39" t="str">
        <v>44423606</v>
      </c>
      <c r="B39" t="str">
        <v>https://www.funda.nl/detail/koop/hoeven/huis-veranda-hoekwoning-xl-type-1-bouwnr-6/44423606/</v>
      </c>
      <c r="C39" t="str">
        <v>Bosvenne Hoeven | Fase 1 | de verkoop is gestart!</v>
      </c>
      <c r="D39" t="str">
        <v>Veranda hoekwoning XL Type 1</v>
      </c>
      <c r="E39" t="str">
        <v>- 6</v>
      </c>
      <c r="F39" t="str">
        <v>4741 SK</v>
      </c>
      <c r="G39" t="str">
        <v>Hoeven</v>
      </c>
      <c r="H39" t="str">
        <v>Halderberge</v>
      </c>
      <c r="I39" t="str">
        <v>Noord-Brabant</v>
      </c>
      <c r="J39" t="str">
        <v>Zuid-Nederland</v>
      </c>
      <c r="K39" t="str">
        <v>Te koop</v>
      </c>
      <c r="L39" t="str">
        <v>Onbekend</v>
      </c>
      <c r="M39" t="str">
        <v>Onbekend</v>
      </c>
      <c r="N39">
        <v>540000</v>
      </c>
      <c r="O39" t="str">
        <v>v.o.n.</v>
      </c>
      <c r="P39">
        <v>143</v>
      </c>
      <c r="Q39">
        <v>3776</v>
      </c>
      <c r="R39">
        <v>151</v>
      </c>
      <c r="S39" t="str">
        <v>A+++</v>
      </c>
      <c r="T39">
        <v>4</v>
      </c>
      <c r="U39">
        <v>3</v>
      </c>
      <c r="V39" t="str">
        <v>Grondgebonden</v>
      </c>
      <c r="W39" t="str">
        <v>Hoekwoning</v>
      </c>
      <c r="X39" t="str">
        <v>N.v.t.</v>
      </c>
      <c r="Y39" t="str">
        <v>Ja</v>
      </c>
      <c r="Z39" t="str">
        <v>openbare parkeerplaats</v>
      </c>
      <c r="AA39" t="str">
        <v>2026</v>
      </c>
      <c r="AB39" t="str">
        <v>Nee</v>
      </c>
      <c r="AC39" t="str">
        <v>NEE</v>
      </c>
      <c r="AD39" t="str">
        <v>JA</v>
      </c>
    </row>
    <row r="40">
      <c r="A40" t="str">
        <v>44423605</v>
      </c>
      <c r="B40" t="str">
        <v>https://www.funda.nl/detail/koop/hoeven/huis-eengezinswoning-xl-bouwnr-20/44423605/</v>
      </c>
      <c r="C40" t="str">
        <v>Bosvenne Hoeven | Fase 1 | de verkoop is gestart!</v>
      </c>
      <c r="D40" t="str">
        <v>Eengezinswoning XL</v>
      </c>
      <c r="E40" t="str">
        <v>- 20</v>
      </c>
      <c r="F40" t="str">
        <v>4741 SK</v>
      </c>
      <c r="G40" t="str">
        <v>Hoeven</v>
      </c>
      <c r="H40" t="str">
        <v>Halderberge</v>
      </c>
      <c r="I40" t="str">
        <v>Noord-Brabant</v>
      </c>
      <c r="J40" t="str">
        <v>Zuid-Nederland</v>
      </c>
      <c r="K40" t="str">
        <v>Te koop</v>
      </c>
      <c r="L40" t="str">
        <v>Onbekend</v>
      </c>
      <c r="M40" t="str">
        <v>Onbekend</v>
      </c>
      <c r="N40">
        <v>492500</v>
      </c>
      <c r="O40" t="str">
        <v>v.o.n.</v>
      </c>
      <c r="P40">
        <v>129</v>
      </c>
      <c r="Q40">
        <v>3818</v>
      </c>
      <c r="R40">
        <v>151</v>
      </c>
      <c r="S40" t="str">
        <v>A+++</v>
      </c>
      <c r="T40">
        <v>4</v>
      </c>
      <c r="U40">
        <v>3</v>
      </c>
      <c r="V40" t="str">
        <v>Grondgebonden</v>
      </c>
      <c r="W40" t="str">
        <v>Tussenwoning</v>
      </c>
      <c r="X40" t="str">
        <v>N.v.t.</v>
      </c>
      <c r="Y40" t="str">
        <v>Ja</v>
      </c>
      <c r="Z40" t="str">
        <v>openbare parkeerplaats</v>
      </c>
      <c r="AA40" t="str">
        <v>2026</v>
      </c>
      <c r="AB40" t="str">
        <v>Nee</v>
      </c>
      <c r="AC40" t="str">
        <v>NEE</v>
      </c>
      <c r="AD40" t="str">
        <v>JA</v>
      </c>
    </row>
    <row r="41">
      <c r="A41" t="str">
        <v>44423689</v>
      </c>
      <c r="B41" t="str">
        <v>https://www.funda.nl/detail/koop/hoeven/huis-loof-woning-type-1-bouwnr-27/44423689/</v>
      </c>
      <c r="C41" t="str">
        <v>Bosvenne Hoeven | Fase 1 | de verkoop is gestart!</v>
      </c>
      <c r="D41" t="str">
        <v>LOOF-woning Type 1</v>
      </c>
      <c r="E41" t="str">
        <v>- 27</v>
      </c>
      <c r="F41" t="str">
        <v>4741 SK</v>
      </c>
      <c r="G41" t="str">
        <v>Hoeven</v>
      </c>
      <c r="H41" t="str">
        <v>Halderberge</v>
      </c>
      <c r="I41" t="str">
        <v>Noord-Brabant</v>
      </c>
      <c r="J41" t="str">
        <v>Zuid-Nederland</v>
      </c>
      <c r="K41" t="str">
        <v>Te koop</v>
      </c>
      <c r="L41" t="str">
        <v>Onbekend</v>
      </c>
      <c r="M41" t="str">
        <v>Onbekend</v>
      </c>
      <c r="N41">
        <v>622500</v>
      </c>
      <c r="O41" t="str">
        <v>v.o.n.</v>
      </c>
      <c r="P41">
        <v>121</v>
      </c>
      <c r="Q41">
        <v>5145</v>
      </c>
      <c r="R41">
        <v>298</v>
      </c>
      <c r="S41" t="str">
        <v>A+++</v>
      </c>
      <c r="T41">
        <v>2</v>
      </c>
      <c r="U41">
        <v>1</v>
      </c>
      <c r="V41" t="str">
        <v>Grondgebonden</v>
      </c>
      <c r="W41" t="str">
        <v>2-onder-1-kapwoning</v>
      </c>
      <c r="X41" t="str">
        <v>N.v.t.</v>
      </c>
      <c r="Y41" t="str">
        <v>Ja</v>
      </c>
      <c r="Z41" t="str">
        <v>eigen parkeerplaats</v>
      </c>
      <c r="AA41" t="str">
        <v>2026</v>
      </c>
      <c r="AB41" t="str">
        <v>Nee</v>
      </c>
      <c r="AC41" t="str">
        <v>NEE</v>
      </c>
      <c r="AD41" t="str">
        <v>JA</v>
      </c>
    </row>
    <row r="42">
      <c r="A42" t="str">
        <v>44423688</v>
      </c>
      <c r="B42" t="str">
        <v>https://www.funda.nl/detail/koop/hoeven/huis-tweekapper-met-garage-bouwnr-35/44423688/</v>
      </c>
      <c r="C42" t="str">
        <v>Bosvenne Hoeven | Fase 1 | de verkoop is gestart!</v>
      </c>
      <c r="D42" t="str">
        <v>Tweekapper met garage</v>
      </c>
      <c r="E42" t="str">
        <v>- 35</v>
      </c>
      <c r="F42" t="str">
        <v>4741 SK</v>
      </c>
      <c r="G42" t="str">
        <v>Hoeven</v>
      </c>
      <c r="H42" t="str">
        <v>Halderberge</v>
      </c>
      <c r="I42" t="str">
        <v>Noord-Brabant</v>
      </c>
      <c r="J42" t="str">
        <v>Zuid-Nederland</v>
      </c>
      <c r="K42" t="str">
        <v>Te koop</v>
      </c>
      <c r="L42" t="str">
        <v>Onbekend</v>
      </c>
      <c r="M42" t="str">
        <v>Onbekend</v>
      </c>
      <c r="N42">
        <v>615000</v>
      </c>
      <c r="O42" t="str">
        <v>v.o.n.</v>
      </c>
      <c r="P42">
        <v>144</v>
      </c>
      <c r="Q42">
        <v>4271</v>
      </c>
      <c r="R42">
        <v>389</v>
      </c>
      <c r="S42" t="str">
        <v>A+++</v>
      </c>
      <c r="T42">
        <v>4</v>
      </c>
      <c r="U42">
        <v>3</v>
      </c>
      <c r="V42" t="str">
        <v>Grondgebonden</v>
      </c>
      <c r="W42" t="str">
        <v>2-onder-1-kapwoning</v>
      </c>
      <c r="X42" t="str">
        <v>N.v.t.</v>
      </c>
      <c r="Y42" t="str">
        <v>Ja</v>
      </c>
      <c r="Z42" t="str">
        <v>eigen parkeerplaats</v>
      </c>
      <c r="AA42" t="str">
        <v>2026</v>
      </c>
      <c r="AB42" t="str">
        <v>Nee</v>
      </c>
      <c r="AC42" t="str">
        <v>NEE</v>
      </c>
      <c r="AD42" t="str">
        <v>JA</v>
      </c>
    </row>
    <row r="43">
      <c r="A43" t="str">
        <v>44423684</v>
      </c>
      <c r="B43" t="str">
        <v>https://www.funda.nl/detail/koop/hoeven/huis-loof-woning-type-1-bouwnr-26/44423684/</v>
      </c>
      <c r="C43" t="str">
        <v>Bosvenne Hoeven | Fase 1 | de verkoop is gestart!</v>
      </c>
      <c r="D43" t="str">
        <v>LOOF-woning Type 1</v>
      </c>
      <c r="E43" t="str">
        <v>- 26</v>
      </c>
      <c r="F43" t="str">
        <v>4741 SK</v>
      </c>
      <c r="G43" t="str">
        <v>Hoeven</v>
      </c>
      <c r="H43" t="str">
        <v>Halderberge</v>
      </c>
      <c r="I43" t="str">
        <v>Noord-Brabant</v>
      </c>
      <c r="J43" t="str">
        <v>Zuid-Nederland</v>
      </c>
      <c r="K43" t="str">
        <v>Te koop</v>
      </c>
      <c r="L43" t="str">
        <v>Onbekend</v>
      </c>
      <c r="M43" t="str">
        <v>Onbekend</v>
      </c>
      <c r="N43">
        <v>622500</v>
      </c>
      <c r="O43" t="str">
        <v>v.o.n.</v>
      </c>
      <c r="P43">
        <v>121</v>
      </c>
      <c r="Q43">
        <v>5145</v>
      </c>
      <c r="R43">
        <v>298</v>
      </c>
      <c r="S43" t="str">
        <v>A+++</v>
      </c>
      <c r="T43">
        <v>2</v>
      </c>
      <c r="U43">
        <v>1</v>
      </c>
      <c r="V43" t="str">
        <v>Grondgebonden</v>
      </c>
      <c r="W43" t="str">
        <v>2-onder-1-kapwoning</v>
      </c>
      <c r="X43" t="str">
        <v>N.v.t.</v>
      </c>
      <c r="Y43" t="str">
        <v>Ja</v>
      </c>
      <c r="Z43" t="str">
        <v>eigen parkeerplaats</v>
      </c>
      <c r="AA43" t="str">
        <v>2026</v>
      </c>
      <c r="AB43" t="str">
        <v>Nee</v>
      </c>
      <c r="AC43" t="str">
        <v>NEE</v>
      </c>
      <c r="AD43" t="str">
        <v>JA</v>
      </c>
    </row>
    <row r="44">
      <c r="A44" t="str">
        <v>44423642</v>
      </c>
      <c r="B44" t="str">
        <v>https://www.funda.nl/detail/koop/hoeven/appartement-appartement-type-c-bouwnr-a5/44423642/</v>
      </c>
      <c r="C44" t="str">
        <v>Bosvenne Hoeven | Fase 1 | de verkoop is gestart!</v>
      </c>
      <c r="D44" t="str">
        <v>Appartement type C</v>
      </c>
      <c r="E44" t="str">
        <v>- A5</v>
      </c>
      <c r="F44" t="str">
        <v>4741 SK</v>
      </c>
      <c r="G44" t="str">
        <v>Hoeven</v>
      </c>
      <c r="H44" t="str">
        <v>Halderberge</v>
      </c>
      <c r="I44" t="str">
        <v>Noord-Brabant</v>
      </c>
      <c r="J44" t="str">
        <v>Zuid-Nederland</v>
      </c>
      <c r="K44" t="str">
        <v>Te koop</v>
      </c>
      <c r="L44" t="str">
        <v>Onbekend</v>
      </c>
      <c r="M44" t="str">
        <v>Onbekend</v>
      </c>
      <c r="N44">
        <v>499000</v>
      </c>
      <c r="O44" t="str">
        <v>v.o.n.</v>
      </c>
      <c r="P44">
        <v>97</v>
      </c>
      <c r="Q44">
        <v>5144</v>
      </c>
      <c r="R44" t="str">
        <v>Onbekend</v>
      </c>
      <c r="S44" t="str">
        <v>A+++</v>
      </c>
      <c r="T44">
        <v>4</v>
      </c>
      <c r="U44">
        <v>3</v>
      </c>
      <c r="V44" t="str">
        <v>Appartement</v>
      </c>
      <c r="W44" t="str">
        <v>Appartement</v>
      </c>
      <c r="X44" t="str">
        <v>Appartement 75-100 m²</v>
      </c>
      <c r="Y44" t="str">
        <v>Ja</v>
      </c>
      <c r="Z44" t="str">
        <v>garage</v>
      </c>
      <c r="AA44" t="str">
        <v>2026</v>
      </c>
      <c r="AB44" t="str">
        <v>Nee</v>
      </c>
      <c r="AC44" t="str">
        <v>NEE</v>
      </c>
      <c r="AD44" t="str">
        <v>JA</v>
      </c>
    </row>
    <row r="45">
      <c r="A45" t="str">
        <v>44423641</v>
      </c>
      <c r="B45" t="str">
        <v>https://www.funda.nl/detail/koop/hoeven/appartement-appartement-type-b-bouwnr-a21/44423641/</v>
      </c>
      <c r="C45" t="str">
        <v>Bosvenne Hoeven | Fase 1 | de verkoop is gestart!</v>
      </c>
      <c r="D45" t="str">
        <v>Appartement type B</v>
      </c>
      <c r="E45" t="str">
        <v>- A21</v>
      </c>
      <c r="F45" t="str">
        <v>4741 SK</v>
      </c>
      <c r="G45" t="str">
        <v>Hoeven</v>
      </c>
      <c r="H45" t="str">
        <v>Halderberge</v>
      </c>
      <c r="I45" t="str">
        <v>Noord-Brabant</v>
      </c>
      <c r="J45" t="str">
        <v>Zuid-Nederland</v>
      </c>
      <c r="K45" t="str">
        <v>Te koop</v>
      </c>
      <c r="L45" t="str">
        <v>Onbekend</v>
      </c>
      <c r="M45" t="str">
        <v>Onbekend</v>
      </c>
      <c r="N45">
        <v>565000</v>
      </c>
      <c r="O45" t="str">
        <v>v.o.n.</v>
      </c>
      <c r="P45">
        <v>110</v>
      </c>
      <c r="Q45">
        <v>5136</v>
      </c>
      <c r="R45" t="str">
        <v>Onbekend</v>
      </c>
      <c r="S45" t="str">
        <v>A+++</v>
      </c>
      <c r="T45">
        <v>4</v>
      </c>
      <c r="U45">
        <v>3</v>
      </c>
      <c r="V45" t="str">
        <v>Appartement</v>
      </c>
      <c r="W45" t="str">
        <v>Appartement</v>
      </c>
      <c r="X45" t="str">
        <v>Appartement &gt;100 m²</v>
      </c>
      <c r="Y45" t="str">
        <v>Ja</v>
      </c>
      <c r="Z45" t="str">
        <v>garage</v>
      </c>
      <c r="AA45" t="str">
        <v>2026</v>
      </c>
      <c r="AB45" t="str">
        <v>Nee</v>
      </c>
      <c r="AC45" t="str">
        <v>NEE</v>
      </c>
      <c r="AD45" t="str">
        <v>JA</v>
      </c>
    </row>
    <row r="46">
      <c r="A46" t="str">
        <v>44423648</v>
      </c>
      <c r="B46" t="str">
        <v>https://www.funda.nl/detail/koop/hoeven/appartement-penthouse-type-g-bouwnr-a24/44423648/</v>
      </c>
      <c r="C46" t="str">
        <v>Bosvenne Hoeven | Fase 1 | de verkoop is gestart!</v>
      </c>
      <c r="D46" t="str">
        <v>Penthouse type G</v>
      </c>
      <c r="E46" t="str">
        <v>- A24</v>
      </c>
      <c r="F46" t="str">
        <v>4741 SK</v>
      </c>
      <c r="G46" t="str">
        <v>Hoeven</v>
      </c>
      <c r="H46" t="str">
        <v>Halderberge</v>
      </c>
      <c r="I46" t="str">
        <v>Noord-Brabant</v>
      </c>
      <c r="J46" t="str">
        <v>Zuid-Nederland</v>
      </c>
      <c r="K46" t="str">
        <v>Te koop</v>
      </c>
      <c r="L46" t="str">
        <v>Onbekend</v>
      </c>
      <c r="M46" t="str">
        <v>Onbekend</v>
      </c>
      <c r="N46">
        <v>840000</v>
      </c>
      <c r="O46" t="str">
        <v>v.o.n.</v>
      </c>
      <c r="P46">
        <v>147</v>
      </c>
      <c r="Q46">
        <v>5714</v>
      </c>
      <c r="R46" t="str">
        <v>Onbekend</v>
      </c>
      <c r="S46" t="str">
        <v>A+++</v>
      </c>
      <c r="T46">
        <v>4</v>
      </c>
      <c r="U46">
        <v>3</v>
      </c>
      <c r="V46" t="str">
        <v>Appartement</v>
      </c>
      <c r="W46" t="str">
        <v>Appartement</v>
      </c>
      <c r="X46" t="str">
        <v>Appartement &gt;100 m²</v>
      </c>
      <c r="Y46" t="str">
        <v>Ja</v>
      </c>
      <c r="Z46" t="str">
        <v>garage</v>
      </c>
      <c r="AA46" t="str">
        <v>2026</v>
      </c>
      <c r="AB46" t="str">
        <v>Nee</v>
      </c>
      <c r="AC46" t="str">
        <v>NEE</v>
      </c>
      <c r="AD46" t="str">
        <v>JA</v>
      </c>
    </row>
    <row r="47">
      <c r="A47" t="str">
        <v>44423647</v>
      </c>
      <c r="B47" t="str">
        <v>https://www.funda.nl/detail/koop/hoeven/appartement-penthouse-type-f-bouwnr-a23/44423647/</v>
      </c>
      <c r="C47" t="str">
        <v>Bosvenne Hoeven | Fase 1 | de verkoop is gestart!</v>
      </c>
      <c r="D47" t="str">
        <v>Penthouse type F</v>
      </c>
      <c r="E47" t="str">
        <v>- A23</v>
      </c>
      <c r="F47" t="str">
        <v>4741 SK</v>
      </c>
      <c r="G47" t="str">
        <v>Hoeven</v>
      </c>
      <c r="H47" t="str">
        <v>Halderberge</v>
      </c>
      <c r="I47" t="str">
        <v>Noord-Brabant</v>
      </c>
      <c r="J47" t="str">
        <v>Zuid-Nederland</v>
      </c>
      <c r="K47" t="str">
        <v>Te koop</v>
      </c>
      <c r="L47" t="str">
        <v>Onbekend</v>
      </c>
      <c r="M47" t="str">
        <v>Onbekend</v>
      </c>
      <c r="N47">
        <v>760000</v>
      </c>
      <c r="O47" t="str">
        <v>v.o.n.</v>
      </c>
      <c r="P47">
        <v>144</v>
      </c>
      <c r="Q47">
        <v>5278</v>
      </c>
      <c r="R47" t="str">
        <v>Onbekend</v>
      </c>
      <c r="S47" t="str">
        <v>A+++</v>
      </c>
      <c r="T47">
        <v>4</v>
      </c>
      <c r="U47">
        <v>3</v>
      </c>
      <c r="V47" t="str">
        <v>Appartement</v>
      </c>
      <c r="W47" t="str">
        <v>Appartement</v>
      </c>
      <c r="X47" t="str">
        <v>Appartement &gt;100 m²</v>
      </c>
      <c r="Y47" t="str">
        <v>Ja</v>
      </c>
      <c r="Z47" t="str">
        <v>garage</v>
      </c>
      <c r="AA47" t="str">
        <v>2026</v>
      </c>
      <c r="AB47" t="str">
        <v>Nee</v>
      </c>
      <c r="AC47" t="str">
        <v>NEE</v>
      </c>
      <c r="AD47" t="str">
        <v>JA</v>
      </c>
    </row>
    <row r="48">
      <c r="A48" t="str">
        <v>44423645</v>
      </c>
      <c r="B48" t="str">
        <v>https://www.funda.nl/detail/koop/hoeven/appartement-appartement-type-c-bouwnr-a15/44423645/</v>
      </c>
      <c r="C48" t="str">
        <v>Bosvenne Hoeven | Fase 1 | de verkoop is gestart!</v>
      </c>
      <c r="D48" t="str">
        <v>Appartement type C</v>
      </c>
      <c r="E48" t="str">
        <v>- A15</v>
      </c>
      <c r="F48" t="str">
        <v>4741 SK</v>
      </c>
      <c r="G48" t="str">
        <v>Hoeven</v>
      </c>
      <c r="H48" t="str">
        <v>Halderberge</v>
      </c>
      <c r="I48" t="str">
        <v>Noord-Brabant</v>
      </c>
      <c r="J48" t="str">
        <v>Zuid-Nederland</v>
      </c>
      <c r="K48" t="str">
        <v>Te koop</v>
      </c>
      <c r="L48" t="str">
        <v>Onbekend</v>
      </c>
      <c r="M48" t="str">
        <v>Onbekend</v>
      </c>
      <c r="N48">
        <v>495000</v>
      </c>
      <c r="O48" t="str">
        <v>v.o.n.</v>
      </c>
      <c r="P48">
        <v>99</v>
      </c>
      <c r="Q48">
        <v>5000</v>
      </c>
      <c r="R48" t="str">
        <v>Onbekend</v>
      </c>
      <c r="S48" t="str">
        <v>A+++</v>
      </c>
      <c r="T48">
        <v>4</v>
      </c>
      <c r="U48">
        <v>3</v>
      </c>
      <c r="V48" t="str">
        <v>Appartement</v>
      </c>
      <c r="W48" t="str">
        <v>Appartement</v>
      </c>
      <c r="X48" t="str">
        <v>Appartement 75-100 m²</v>
      </c>
      <c r="Y48" t="str">
        <v>Ja</v>
      </c>
      <c r="Z48" t="str">
        <v>garage</v>
      </c>
      <c r="AA48" t="str">
        <v>2026</v>
      </c>
      <c r="AB48" t="str">
        <v>Nee</v>
      </c>
      <c r="AC48" t="str">
        <v>NEE</v>
      </c>
      <c r="AD48" t="str">
        <v>JA</v>
      </c>
    </row>
    <row r="49">
      <c r="A49" t="str">
        <v>44423644</v>
      </c>
      <c r="B49" t="str">
        <v>https://www.funda.nl/detail/koop/hoeven/appartement-appartement-type-c-bouwnr-a19/44423644/</v>
      </c>
      <c r="C49" t="str">
        <v>Bosvenne Hoeven | Fase 1 | de verkoop is gestart!</v>
      </c>
      <c r="D49" t="str">
        <v>Appartement type C</v>
      </c>
      <c r="E49" t="str">
        <v>- A19</v>
      </c>
      <c r="F49" t="str">
        <v>4741 SK</v>
      </c>
      <c r="G49" t="str">
        <v>Hoeven</v>
      </c>
      <c r="H49" t="str">
        <v>Halderberge</v>
      </c>
      <c r="I49" t="str">
        <v>Noord-Brabant</v>
      </c>
      <c r="J49" t="str">
        <v>Zuid-Nederland</v>
      </c>
      <c r="K49" t="str">
        <v>Te koop</v>
      </c>
      <c r="L49" t="str">
        <v>Onbekend</v>
      </c>
      <c r="M49" t="str">
        <v>Onbekend</v>
      </c>
      <c r="N49">
        <v>505000</v>
      </c>
      <c r="O49" t="str">
        <v>v.o.n.</v>
      </c>
      <c r="P49">
        <v>97</v>
      </c>
      <c r="Q49">
        <v>5206</v>
      </c>
      <c r="R49" t="str">
        <v>Onbekend</v>
      </c>
      <c r="S49" t="str">
        <v>A+++</v>
      </c>
      <c r="T49">
        <v>4</v>
      </c>
      <c r="U49">
        <v>3</v>
      </c>
      <c r="V49" t="str">
        <v>Appartement</v>
      </c>
      <c r="W49" t="str">
        <v>Appartement</v>
      </c>
      <c r="X49" t="str">
        <v>Appartement 75-100 m²</v>
      </c>
      <c r="Y49" t="str">
        <v>Ja</v>
      </c>
      <c r="Z49" t="str">
        <v>garage</v>
      </c>
      <c r="AA49" t="str">
        <v>2026</v>
      </c>
      <c r="AB49" t="str">
        <v>Nee</v>
      </c>
      <c r="AC49" t="str">
        <v>NEE</v>
      </c>
      <c r="AD49" t="str">
        <v>JA</v>
      </c>
    </row>
    <row r="50">
      <c r="A50" t="str">
        <v>44423632</v>
      </c>
      <c r="B50" t="str">
        <v>https://www.funda.nl/detail/koop/hoeven/appartement-appartement-type-b-bouwnr-a14/44423632/</v>
      </c>
      <c r="C50" t="str">
        <v>Bosvenne Hoeven | Fase 1 | de verkoop is gestart!</v>
      </c>
      <c r="D50" t="str">
        <v>Appartement type B</v>
      </c>
      <c r="E50" t="str">
        <v>- A14</v>
      </c>
      <c r="F50" t="str">
        <v>4741 SK</v>
      </c>
      <c r="G50" t="str">
        <v>Hoeven</v>
      </c>
      <c r="H50" t="str">
        <v>Halderberge</v>
      </c>
      <c r="I50" t="str">
        <v>Noord-Brabant</v>
      </c>
      <c r="J50" t="str">
        <v>Zuid-Nederland</v>
      </c>
      <c r="K50" t="str">
        <v>Te koop</v>
      </c>
      <c r="L50" t="str">
        <v>Onbekend</v>
      </c>
      <c r="M50" t="str">
        <v>Onbekend</v>
      </c>
      <c r="N50">
        <v>555000</v>
      </c>
      <c r="O50" t="str">
        <v>v.o.n.</v>
      </c>
      <c r="P50">
        <v>110</v>
      </c>
      <c r="Q50">
        <v>5045</v>
      </c>
      <c r="R50" t="str">
        <v>Onbekend</v>
      </c>
      <c r="S50" t="str">
        <v>A+++</v>
      </c>
      <c r="T50">
        <v>4</v>
      </c>
      <c r="U50">
        <v>3</v>
      </c>
      <c r="V50" t="str">
        <v>Appartement</v>
      </c>
      <c r="W50" t="str">
        <v>Appartement</v>
      </c>
      <c r="X50" t="str">
        <v>Appartement &gt;100 m²</v>
      </c>
      <c r="Y50" t="str">
        <v>Ja</v>
      </c>
      <c r="Z50" t="str">
        <v>garage</v>
      </c>
      <c r="AA50" t="str">
        <v>2026</v>
      </c>
      <c r="AB50" t="str">
        <v>Nee</v>
      </c>
      <c r="AC50" t="str">
        <v>NEE</v>
      </c>
      <c r="AD50" t="str">
        <v>JA</v>
      </c>
    </row>
    <row r="51">
      <c r="A51" t="str">
        <v>44423630</v>
      </c>
      <c r="B51" t="str">
        <v>https://www.funda.nl/detail/koop/hoeven/appartement-appartement-type-d-bouwnr-a18/44423630/</v>
      </c>
      <c r="C51" t="str">
        <v>Bosvenne Hoeven | Fase 1 | de verkoop is gestart!</v>
      </c>
      <c r="D51" t="str">
        <v>Appartement type D</v>
      </c>
      <c r="E51" t="str">
        <v>- A18</v>
      </c>
      <c r="F51" t="str">
        <v>4741 SK</v>
      </c>
      <c r="G51" t="str">
        <v>Hoeven</v>
      </c>
      <c r="H51" t="str">
        <v>Halderberge</v>
      </c>
      <c r="I51" t="str">
        <v>Noord-Brabant</v>
      </c>
      <c r="J51" t="str">
        <v>Zuid-Nederland</v>
      </c>
      <c r="K51" t="str">
        <v>Te koop</v>
      </c>
      <c r="L51" t="str">
        <v>Onbekend</v>
      </c>
      <c r="M51" t="str">
        <v>Onbekend</v>
      </c>
      <c r="N51">
        <v>495000</v>
      </c>
      <c r="O51" t="str">
        <v>v.o.n.</v>
      </c>
      <c r="P51">
        <v>99</v>
      </c>
      <c r="Q51">
        <v>5000</v>
      </c>
      <c r="R51" t="str">
        <v>Onbekend</v>
      </c>
      <c r="S51" t="str">
        <v>A+++</v>
      </c>
      <c r="T51">
        <v>4</v>
      </c>
      <c r="U51">
        <v>3</v>
      </c>
      <c r="V51" t="str">
        <v>Appartement</v>
      </c>
      <c r="W51" t="str">
        <v>Appartement</v>
      </c>
      <c r="X51" t="str">
        <v>Appartement 75-100 m²</v>
      </c>
      <c r="Y51" t="str">
        <v>Ja</v>
      </c>
      <c r="Z51" t="str">
        <v>garage</v>
      </c>
      <c r="AA51" t="str">
        <v>2026</v>
      </c>
      <c r="AB51" t="str">
        <v>Nee</v>
      </c>
      <c r="AC51" t="str">
        <v>NEE</v>
      </c>
      <c r="AD51" t="str">
        <v>JA</v>
      </c>
    </row>
    <row r="52">
      <c r="A52" t="str">
        <v>44423639</v>
      </c>
      <c r="B52" t="str">
        <v>https://www.funda.nl/detail/koop/hoeven/appartement-appartement-type-d-bouwnr-a11/44423639/</v>
      </c>
      <c r="C52" t="str">
        <v>Bosvenne Hoeven | Fase 1 | de verkoop is gestart!</v>
      </c>
      <c r="D52" t="str">
        <v>Appartement type D</v>
      </c>
      <c r="E52" t="str">
        <v>- A11</v>
      </c>
      <c r="F52" t="str">
        <v>4741 SK</v>
      </c>
      <c r="G52" t="str">
        <v>Hoeven</v>
      </c>
      <c r="H52" t="str">
        <v>Halderberge</v>
      </c>
      <c r="I52" t="str">
        <v>Noord-Brabant</v>
      </c>
      <c r="J52" t="str">
        <v>Zuid-Nederland</v>
      </c>
      <c r="K52" t="str">
        <v>Te koop</v>
      </c>
      <c r="L52" t="str">
        <v>Onbekend</v>
      </c>
      <c r="M52" t="str">
        <v>Onbekend</v>
      </c>
      <c r="N52">
        <v>490000</v>
      </c>
      <c r="O52" t="str">
        <v>v.o.n.</v>
      </c>
      <c r="P52">
        <v>99</v>
      </c>
      <c r="Q52">
        <v>4949</v>
      </c>
      <c r="R52" t="str">
        <v>Onbekend</v>
      </c>
      <c r="S52" t="str">
        <v>A+++</v>
      </c>
      <c r="T52">
        <v>4</v>
      </c>
      <c r="U52">
        <v>3</v>
      </c>
      <c r="V52" t="str">
        <v>Appartement</v>
      </c>
      <c r="W52" t="str">
        <v>Appartement</v>
      </c>
      <c r="X52" t="str">
        <v>Appartement 75-100 m²</v>
      </c>
      <c r="Y52" t="str">
        <v>Ja</v>
      </c>
      <c r="Z52" t="str">
        <v>garage</v>
      </c>
      <c r="AA52" t="str">
        <v>2026</v>
      </c>
      <c r="AB52" t="str">
        <v>Nee</v>
      </c>
      <c r="AC52" t="str">
        <v>NEE</v>
      </c>
      <c r="AD52" t="str">
        <v>JA</v>
      </c>
    </row>
    <row r="53">
      <c r="A53" t="str">
        <v>44423638</v>
      </c>
      <c r="B53" t="str">
        <v>https://www.funda.nl/detail/koop/hoeven/appartement-appartement-type-b-bouwnr-a7/44423638/</v>
      </c>
      <c r="C53" t="str">
        <v>Bosvenne Hoeven | Fase 1 | de verkoop is gestart!</v>
      </c>
      <c r="D53" t="str">
        <v>Appartement type B</v>
      </c>
      <c r="E53" t="str">
        <v>- A7</v>
      </c>
      <c r="F53" t="str">
        <v>4741 SK</v>
      </c>
      <c r="G53" t="str">
        <v>Hoeven</v>
      </c>
      <c r="H53" t="str">
        <v>Halderberge</v>
      </c>
      <c r="I53" t="str">
        <v>Noord-Brabant</v>
      </c>
      <c r="J53" t="str">
        <v>Zuid-Nederland</v>
      </c>
      <c r="K53" t="str">
        <v>Te koop</v>
      </c>
      <c r="L53" t="str">
        <v>2026-07-09</v>
      </c>
      <c r="M53">
        <v>4</v>
      </c>
      <c r="N53">
        <v>555000</v>
      </c>
      <c r="O53" t="str">
        <v>v.o.n.</v>
      </c>
      <c r="P53">
        <v>110</v>
      </c>
      <c r="Q53">
        <v>5045</v>
      </c>
      <c r="R53" t="str">
        <v>Onbekend</v>
      </c>
      <c r="S53" t="str">
        <v>A+++</v>
      </c>
      <c r="T53">
        <v>4</v>
      </c>
      <c r="U53">
        <v>3</v>
      </c>
      <c r="V53" t="str">
        <v>Appartement</v>
      </c>
      <c r="W53" t="str">
        <v>Appartement</v>
      </c>
      <c r="X53" t="str">
        <v>Appartement &gt;100 m²</v>
      </c>
      <c r="Y53" t="str">
        <v>Ja</v>
      </c>
      <c r="Z53" t="str">
        <v>garage</v>
      </c>
      <c r="AA53" t="str">
        <v>2026</v>
      </c>
      <c r="AB53" t="str">
        <v>Nee</v>
      </c>
      <c r="AC53" t="str">
        <v>NEE</v>
      </c>
      <c r="AD53" t="str">
        <v>JA</v>
      </c>
    </row>
    <row r="54">
      <c r="A54" t="str">
        <v>44423636</v>
      </c>
      <c r="B54" t="str">
        <v>https://www.funda.nl/detail/koop/hoeven/appartement-appartement-type-c-bouwnr-a12/44423636/</v>
      </c>
      <c r="C54" t="str">
        <v>Bosvenne Hoeven | Fase 1 | de verkoop is gestart!</v>
      </c>
      <c r="D54" t="str">
        <v>Appartement type C</v>
      </c>
      <c r="E54" t="str">
        <v>- A12</v>
      </c>
      <c r="F54" t="str">
        <v>4741 SK</v>
      </c>
      <c r="G54" t="str">
        <v>Hoeven</v>
      </c>
      <c r="H54" t="str">
        <v>Halderberge</v>
      </c>
      <c r="I54" t="str">
        <v>Noord-Brabant</v>
      </c>
      <c r="J54" t="str">
        <v>Zuid-Nederland</v>
      </c>
      <c r="K54" t="str">
        <v>Te koop</v>
      </c>
      <c r="L54" t="str">
        <v>Onbekend</v>
      </c>
      <c r="M54" t="str">
        <v>Onbekend</v>
      </c>
      <c r="N54">
        <v>505000</v>
      </c>
      <c r="O54" t="str">
        <v>v.o.n.</v>
      </c>
      <c r="P54">
        <v>97</v>
      </c>
      <c r="Q54">
        <v>5206</v>
      </c>
      <c r="R54" t="str">
        <v>Onbekend</v>
      </c>
      <c r="S54" t="str">
        <v>A+++</v>
      </c>
      <c r="T54">
        <v>4</v>
      </c>
      <c r="U54">
        <v>3</v>
      </c>
      <c r="V54" t="str">
        <v>Appartement</v>
      </c>
      <c r="W54" t="str">
        <v>Appartement</v>
      </c>
      <c r="X54" t="str">
        <v>Appartement 75-100 m²</v>
      </c>
      <c r="Y54" t="str">
        <v>Ja</v>
      </c>
      <c r="Z54" t="str">
        <v>garage</v>
      </c>
      <c r="AA54" t="str">
        <v>2026</v>
      </c>
      <c r="AB54" t="str">
        <v>Nee</v>
      </c>
      <c r="AC54" t="str">
        <v>NEE</v>
      </c>
      <c r="AD54" t="str">
        <v>JA</v>
      </c>
    </row>
    <row r="55">
      <c r="A55" t="str">
        <v>44423635</v>
      </c>
      <c r="B55" t="str">
        <v>https://www.funda.nl/detail/koop/hoeven/appartement-appartement-type-b-bouwnr-a20/44423635/</v>
      </c>
      <c r="C55" t="str">
        <v>Bosvenne Hoeven | Fase 1 | de verkoop is gestart!</v>
      </c>
      <c r="D55" t="str">
        <v>Appartement type B</v>
      </c>
      <c r="E55" t="str">
        <v>- A20</v>
      </c>
      <c r="F55" t="str">
        <v>4741 SK</v>
      </c>
      <c r="G55" t="str">
        <v>Hoeven</v>
      </c>
      <c r="H55" t="str">
        <v>Halderberge</v>
      </c>
      <c r="I55" t="str">
        <v>Noord-Brabant</v>
      </c>
      <c r="J55" t="str">
        <v>Zuid-Nederland</v>
      </c>
      <c r="K55" t="str">
        <v>Te koop</v>
      </c>
      <c r="L55" t="str">
        <v>Onbekend</v>
      </c>
      <c r="M55" t="str">
        <v>Onbekend</v>
      </c>
      <c r="N55">
        <v>575000</v>
      </c>
      <c r="O55" t="str">
        <v>v.o.n.</v>
      </c>
      <c r="P55">
        <v>110</v>
      </c>
      <c r="Q55">
        <v>5227</v>
      </c>
      <c r="R55" t="str">
        <v>Onbekend</v>
      </c>
      <c r="S55" t="str">
        <v>A+++</v>
      </c>
      <c r="T55">
        <v>4</v>
      </c>
      <c r="U55">
        <v>3</v>
      </c>
      <c r="V55" t="str">
        <v>Appartement</v>
      </c>
      <c r="W55" t="str">
        <v>Appartement</v>
      </c>
      <c r="X55" t="str">
        <v>Appartement &gt;100 m²</v>
      </c>
      <c r="Y55" t="str">
        <v>Ja</v>
      </c>
      <c r="Z55" t="str">
        <v>garage</v>
      </c>
      <c r="AA55" t="str">
        <v>2026</v>
      </c>
      <c r="AB55" t="str">
        <v>Nee</v>
      </c>
      <c r="AC55" t="str">
        <v>NEE</v>
      </c>
      <c r="AD55" t="str">
        <v>JA</v>
      </c>
    </row>
    <row r="56">
      <c r="A56" t="str">
        <v>44423634</v>
      </c>
      <c r="B56" t="str">
        <v>https://www.funda.nl/detail/koop/hoeven/appartement-appartement-type-c-bouwnr-a1/44423634/</v>
      </c>
      <c r="C56" t="str">
        <v>Bosvenne Hoeven | Fase 1 | de verkoop is gestart!</v>
      </c>
      <c r="D56" t="str">
        <v>Appartement type C</v>
      </c>
      <c r="E56" t="str">
        <v>- A1</v>
      </c>
      <c r="F56" t="str">
        <v>4741 SK</v>
      </c>
      <c r="G56" t="str">
        <v>Hoeven</v>
      </c>
      <c r="H56" t="str">
        <v>Halderberge</v>
      </c>
      <c r="I56" t="str">
        <v>Noord-Brabant</v>
      </c>
      <c r="J56" t="str">
        <v>Zuid-Nederland</v>
      </c>
      <c r="K56" t="str">
        <v>Te koop</v>
      </c>
      <c r="L56" t="str">
        <v>Onbekend</v>
      </c>
      <c r="M56" t="str">
        <v>Onbekend</v>
      </c>
      <c r="N56">
        <v>485000</v>
      </c>
      <c r="O56" t="str">
        <v>v.o.n.</v>
      </c>
      <c r="P56">
        <v>99</v>
      </c>
      <c r="Q56">
        <v>4899</v>
      </c>
      <c r="R56" t="str">
        <v>Onbekend</v>
      </c>
      <c r="S56" t="str">
        <v>A+++</v>
      </c>
      <c r="T56">
        <v>4</v>
      </c>
      <c r="U56">
        <v>3</v>
      </c>
      <c r="V56" t="str">
        <v>Appartement</v>
      </c>
      <c r="W56" t="str">
        <v>Appartement</v>
      </c>
      <c r="X56" t="str">
        <v>Appartement 75-100 m²</v>
      </c>
      <c r="Y56" t="str">
        <v>Ja</v>
      </c>
      <c r="Z56" t="str">
        <v>garage</v>
      </c>
      <c r="AA56" t="str">
        <v>2026</v>
      </c>
      <c r="AB56" t="str">
        <v>Nee</v>
      </c>
      <c r="AC56" t="str">
        <v>NEE</v>
      </c>
      <c r="AD56" t="str">
        <v>JA</v>
      </c>
    </row>
    <row r="57">
      <c r="A57" t="str">
        <v>44423633</v>
      </c>
      <c r="B57" t="str">
        <v>https://www.funda.nl/detail/koop/hoeven/appartement-appartement-type-b-bouwnr-a13/44423633/</v>
      </c>
      <c r="C57" t="str">
        <v>Bosvenne Hoeven | Fase 1 | de verkoop is gestart!</v>
      </c>
      <c r="D57" t="str">
        <v>Appartement type B</v>
      </c>
      <c r="E57" t="str">
        <v>- A13</v>
      </c>
      <c r="F57" t="str">
        <v>4741 SK</v>
      </c>
      <c r="G57" t="str">
        <v>Hoeven</v>
      </c>
      <c r="H57" t="str">
        <v>Halderberge</v>
      </c>
      <c r="I57" t="str">
        <v>Noord-Brabant</v>
      </c>
      <c r="J57" t="str">
        <v>Zuid-Nederland</v>
      </c>
      <c r="K57" t="str">
        <v>Te koop</v>
      </c>
      <c r="L57" t="str">
        <v>Onbekend</v>
      </c>
      <c r="M57" t="str">
        <v>Onbekend</v>
      </c>
      <c r="N57">
        <v>560000</v>
      </c>
      <c r="O57" t="str">
        <v>v.o.n.</v>
      </c>
      <c r="P57">
        <v>110</v>
      </c>
      <c r="Q57">
        <v>5091</v>
      </c>
      <c r="R57" t="str">
        <v>Onbekend</v>
      </c>
      <c r="S57" t="str">
        <v>A+++</v>
      </c>
      <c r="T57">
        <v>4</v>
      </c>
      <c r="U57">
        <v>3</v>
      </c>
      <c r="V57" t="str">
        <v>Appartement</v>
      </c>
      <c r="W57" t="str">
        <v>Appartement</v>
      </c>
      <c r="X57" t="str">
        <v>Appartement &gt;100 m²</v>
      </c>
      <c r="Y57" t="str">
        <v>Ja</v>
      </c>
      <c r="Z57" t="str">
        <v>garage</v>
      </c>
      <c r="AA57" t="str">
        <v>2026</v>
      </c>
      <c r="AB57" t="str">
        <v>Nee</v>
      </c>
      <c r="AC57" t="str">
        <v>NEE</v>
      </c>
      <c r="AD57" t="str">
        <v>JA</v>
      </c>
    </row>
    <row r="58">
      <c r="A58" t="str">
        <v>44423622</v>
      </c>
      <c r="B58" t="str">
        <v>https://www.funda.nl/detail/koop/hoeven/appartement-appartement-type-b-bouwnr-a6/44423622/</v>
      </c>
      <c r="C58" t="str">
        <v>Bosvenne Hoeven | Fase 1 | de verkoop is gestart!</v>
      </c>
      <c r="D58" t="str">
        <v>Appartement type B</v>
      </c>
      <c r="E58" t="str">
        <v>- A6</v>
      </c>
      <c r="F58" t="str">
        <v>4741 SK</v>
      </c>
      <c r="G58" t="str">
        <v>Hoeven</v>
      </c>
      <c r="H58" t="str">
        <v>Halderberge</v>
      </c>
      <c r="I58" t="str">
        <v>Noord-Brabant</v>
      </c>
      <c r="J58" t="str">
        <v>Zuid-Nederland</v>
      </c>
      <c r="K58" t="str">
        <v>Te koop</v>
      </c>
      <c r="L58" t="str">
        <v>Onbekend</v>
      </c>
      <c r="M58" t="str">
        <v>Onbekend</v>
      </c>
      <c r="N58">
        <v>565000</v>
      </c>
      <c r="O58" t="str">
        <v>v.o.n.</v>
      </c>
      <c r="P58">
        <v>110</v>
      </c>
      <c r="Q58">
        <v>5136</v>
      </c>
      <c r="R58" t="str">
        <v>Onbekend</v>
      </c>
      <c r="S58" t="str">
        <v>A+++</v>
      </c>
      <c r="T58">
        <v>4</v>
      </c>
      <c r="U58">
        <v>3</v>
      </c>
      <c r="V58" t="str">
        <v>Appartement</v>
      </c>
      <c r="W58" t="str">
        <v>Appartement</v>
      </c>
      <c r="X58" t="str">
        <v>Appartement &gt;100 m²</v>
      </c>
      <c r="Y58" t="str">
        <v>Ja</v>
      </c>
      <c r="Z58" t="str">
        <v>garage</v>
      </c>
      <c r="AA58" t="str">
        <v>2026</v>
      </c>
      <c r="AB58" t="str">
        <v>Nee</v>
      </c>
      <c r="AC58" t="str">
        <v>NEE</v>
      </c>
      <c r="AD58" t="str">
        <v>JA</v>
      </c>
    </row>
    <row r="59">
      <c r="A59" t="str">
        <v>44423621</v>
      </c>
      <c r="B59" t="str">
        <v>https://www.funda.nl/detail/koop/hoeven/appartement-appartement-type-c-bouwnr-a8/44423621/</v>
      </c>
      <c r="C59" t="str">
        <v>Bosvenne Hoeven | Fase 1 | de verkoop is gestart!</v>
      </c>
      <c r="D59" t="str">
        <v>Appartement type C</v>
      </c>
      <c r="E59" t="str">
        <v>- A8</v>
      </c>
      <c r="F59" t="str">
        <v>4741 SK</v>
      </c>
      <c r="G59" t="str">
        <v>Hoeven</v>
      </c>
      <c r="H59" t="str">
        <v>Halderberge</v>
      </c>
      <c r="I59" t="str">
        <v>Noord-Brabant</v>
      </c>
      <c r="J59" t="str">
        <v>Zuid-Nederland</v>
      </c>
      <c r="K59" t="str">
        <v>Te koop</v>
      </c>
      <c r="L59" t="str">
        <v>Onbekend</v>
      </c>
      <c r="M59" t="str">
        <v>Onbekend</v>
      </c>
      <c r="N59">
        <v>490000</v>
      </c>
      <c r="O59" t="str">
        <v>v.o.n.</v>
      </c>
      <c r="P59">
        <v>99</v>
      </c>
      <c r="Q59">
        <v>4949</v>
      </c>
      <c r="R59" t="str">
        <v>Onbekend</v>
      </c>
      <c r="S59" t="str">
        <v>A+++</v>
      </c>
      <c r="T59">
        <v>4</v>
      </c>
      <c r="U59">
        <v>3</v>
      </c>
      <c r="V59" t="str">
        <v>Appartement</v>
      </c>
      <c r="W59" t="str">
        <v>Appartement</v>
      </c>
      <c r="X59" t="str">
        <v>Appartement 75-100 m²</v>
      </c>
      <c r="Y59" t="str">
        <v>Ja</v>
      </c>
      <c r="Z59" t="str">
        <v>garage</v>
      </c>
      <c r="AA59" t="str">
        <v>2026</v>
      </c>
      <c r="AB59" t="str">
        <v>Nee</v>
      </c>
      <c r="AC59" t="str">
        <v>NEE</v>
      </c>
      <c r="AD59" t="str">
        <v>JA</v>
      </c>
    </row>
    <row r="60">
      <c r="A60" t="str">
        <v>44423620</v>
      </c>
      <c r="B60" t="str">
        <v>https://www.funda.nl/detail/koop/hoeven/huis-eengezinswoning-type-2-bouwnr-51/44423620/</v>
      </c>
      <c r="C60" t="str">
        <v>Bosvenne Hoeven | Fase 1 | de verkoop is gestart!</v>
      </c>
      <c r="D60" t="str">
        <v>Eengezinswoning Type 2</v>
      </c>
      <c r="E60" t="str">
        <v>- 51</v>
      </c>
      <c r="F60" t="str">
        <v>4741 SK</v>
      </c>
      <c r="G60" t="str">
        <v>Hoeven</v>
      </c>
      <c r="H60" t="str">
        <v>Halderberge</v>
      </c>
      <c r="I60" t="str">
        <v>Noord-Brabant</v>
      </c>
      <c r="J60" t="str">
        <v>Zuid-Nederland</v>
      </c>
      <c r="K60" t="str">
        <v>Te koop</v>
      </c>
      <c r="L60" t="str">
        <v>Onbekend</v>
      </c>
      <c r="M60" t="str">
        <v>Onbekend</v>
      </c>
      <c r="N60">
        <v>429000</v>
      </c>
      <c r="O60" t="str">
        <v>v.o.n.</v>
      </c>
      <c r="P60">
        <v>112</v>
      </c>
      <c r="Q60">
        <v>3830</v>
      </c>
      <c r="R60">
        <v>112</v>
      </c>
      <c r="S60" t="str">
        <v>A+++</v>
      </c>
      <c r="T60">
        <v>4</v>
      </c>
      <c r="U60">
        <v>3</v>
      </c>
      <c r="V60" t="str">
        <v>Grondgebonden</v>
      </c>
      <c r="W60" t="str">
        <v>Tussenwoning</v>
      </c>
      <c r="X60" t="str">
        <v>N.v.t.</v>
      </c>
      <c r="Y60" t="str">
        <v>Ja</v>
      </c>
      <c r="Z60" t="str">
        <v>openbare parkeerplaats</v>
      </c>
      <c r="AA60" t="str">
        <v>2026</v>
      </c>
      <c r="AB60" t="str">
        <v>Nee</v>
      </c>
      <c r="AC60" t="str">
        <v>NEE</v>
      </c>
      <c r="AD60" t="str">
        <v>JA</v>
      </c>
    </row>
    <row r="61">
      <c r="A61" t="str">
        <v>44423628</v>
      </c>
      <c r="B61" t="str">
        <v>https://www.funda.nl/detail/koop/hoeven/huis-eengezinswoning-type-2-bouwnr-55/44423628/</v>
      </c>
      <c r="C61" t="str">
        <v>Bosvenne Hoeven | Fase 1 | de verkoop is gestart!</v>
      </c>
      <c r="D61" t="str">
        <v>Eengezinswoning Type 2</v>
      </c>
      <c r="E61" t="str">
        <v>- 55</v>
      </c>
      <c r="F61" t="str">
        <v>4741 SK</v>
      </c>
      <c r="G61" t="str">
        <v>Hoeven</v>
      </c>
      <c r="H61" t="str">
        <v>Halderberge</v>
      </c>
      <c r="I61" t="str">
        <v>Noord-Brabant</v>
      </c>
      <c r="J61" t="str">
        <v>Zuid-Nederland</v>
      </c>
      <c r="K61" t="str">
        <v>Te koop</v>
      </c>
      <c r="L61" t="str">
        <v>Onbekend</v>
      </c>
      <c r="M61" t="str">
        <v>Onbekend</v>
      </c>
      <c r="N61">
        <v>420000</v>
      </c>
      <c r="O61" t="str">
        <v>v.o.n.</v>
      </c>
      <c r="P61">
        <v>112</v>
      </c>
      <c r="Q61">
        <v>3750</v>
      </c>
      <c r="R61">
        <v>125</v>
      </c>
      <c r="S61" t="str">
        <v>A+++</v>
      </c>
      <c r="T61">
        <v>4</v>
      </c>
      <c r="U61">
        <v>3</v>
      </c>
      <c r="V61" t="str">
        <v>Grondgebonden</v>
      </c>
      <c r="W61" t="str">
        <v>Tussenwoning</v>
      </c>
      <c r="X61" t="str">
        <v>N.v.t.</v>
      </c>
      <c r="Y61" t="str">
        <v>Ja</v>
      </c>
      <c r="Z61" t="str">
        <v>openbare parkeerplaats</v>
      </c>
      <c r="AA61" t="str">
        <v>2026</v>
      </c>
      <c r="AB61" t="str">
        <v>Nee</v>
      </c>
      <c r="AC61" t="str">
        <v>NEE</v>
      </c>
      <c r="AD61" t="str">
        <v>JA</v>
      </c>
    </row>
    <row r="62">
      <c r="A62" t="str">
        <v>44423627</v>
      </c>
      <c r="B62" t="str">
        <v>https://www.funda.nl/detail/koop/hoeven/huis-hoekwoning-type-1-bouwnr-66/44423627/</v>
      </c>
      <c r="C62" t="str">
        <v>Bosvenne Hoeven | Fase 1 | de verkoop is gestart!</v>
      </c>
      <c r="D62" t="str">
        <v>Hoekwoning Type 1</v>
      </c>
      <c r="E62" t="str">
        <v>- 66</v>
      </c>
      <c r="F62" t="str">
        <v>4741 SK</v>
      </c>
      <c r="G62" t="str">
        <v>Hoeven</v>
      </c>
      <c r="H62" t="str">
        <v>Halderberge</v>
      </c>
      <c r="I62" t="str">
        <v>Noord-Brabant</v>
      </c>
      <c r="J62" t="str">
        <v>Zuid-Nederland</v>
      </c>
      <c r="K62" t="str">
        <v>Te koop</v>
      </c>
      <c r="L62" t="str">
        <v>Onbekend</v>
      </c>
      <c r="M62" t="str">
        <v>Onbekend</v>
      </c>
      <c r="N62">
        <v>497500</v>
      </c>
      <c r="O62" t="str">
        <v>v.o.n.</v>
      </c>
      <c r="P62">
        <v>129</v>
      </c>
      <c r="Q62">
        <v>3857</v>
      </c>
      <c r="R62">
        <v>170</v>
      </c>
      <c r="S62" t="str">
        <v>A+++</v>
      </c>
      <c r="T62">
        <v>4</v>
      </c>
      <c r="U62">
        <v>3</v>
      </c>
      <c r="V62" t="str">
        <v>Grondgebonden</v>
      </c>
      <c r="W62" t="str">
        <v>Hoekwoning</v>
      </c>
      <c r="X62" t="str">
        <v>N.v.t.</v>
      </c>
      <c r="Y62" t="str">
        <v>Ja</v>
      </c>
      <c r="Z62" t="str">
        <v>openbare parkeerplaats</v>
      </c>
      <c r="AA62" t="str">
        <v>2026</v>
      </c>
      <c r="AB62" t="str">
        <v>Nee</v>
      </c>
      <c r="AC62" t="str">
        <v>NEE</v>
      </c>
      <c r="AD62" t="str">
        <v>JA</v>
      </c>
    </row>
    <row r="63">
      <c r="A63" t="str">
        <v>44423625</v>
      </c>
      <c r="B63" t="str">
        <v>https://www.funda.nl/detail/koop/hoeven/huis-veranda-eengezinswoning-bouwnr-4/44423625/</v>
      </c>
      <c r="C63" t="str">
        <v>Bosvenne Hoeven | Fase 1 | de verkoop is gestart!</v>
      </c>
      <c r="D63" t="str">
        <v>Veranda eengezinswoning</v>
      </c>
      <c r="E63" t="str">
        <v>- 4</v>
      </c>
      <c r="F63" t="str">
        <v>4741 SK</v>
      </c>
      <c r="G63" t="str">
        <v>Hoeven</v>
      </c>
      <c r="H63" t="str">
        <v>Halderberge</v>
      </c>
      <c r="I63" t="str">
        <v>Noord-Brabant</v>
      </c>
      <c r="J63" t="str">
        <v>Zuid-Nederland</v>
      </c>
      <c r="K63" t="str">
        <v>Te koop</v>
      </c>
      <c r="L63" t="str">
        <v>Onbekend</v>
      </c>
      <c r="M63" t="str">
        <v>Onbekend</v>
      </c>
      <c r="N63">
        <v>435000</v>
      </c>
      <c r="O63" t="str">
        <v>v.o.n.</v>
      </c>
      <c r="P63">
        <v>116</v>
      </c>
      <c r="Q63">
        <v>3750</v>
      </c>
      <c r="R63">
        <v>102</v>
      </c>
      <c r="S63" t="str">
        <v>A+++</v>
      </c>
      <c r="T63">
        <v>4</v>
      </c>
      <c r="U63">
        <v>4</v>
      </c>
      <c r="V63" t="str">
        <v>Grondgebonden</v>
      </c>
      <c r="W63" t="str">
        <v>Tussenwoning</v>
      </c>
      <c r="X63" t="str">
        <v>N.v.t.</v>
      </c>
      <c r="Y63" t="str">
        <v>Ja</v>
      </c>
      <c r="Z63" t="str">
        <v>openbare parkeerplaats</v>
      </c>
      <c r="AA63" t="str">
        <v>2026</v>
      </c>
      <c r="AB63" t="str">
        <v>Nee</v>
      </c>
      <c r="AC63" t="str">
        <v>NEE</v>
      </c>
      <c r="AD63" t="str">
        <v>JA</v>
      </c>
    </row>
    <row r="64">
      <c r="A64" t="str">
        <v>44423624</v>
      </c>
      <c r="B64" t="str">
        <v>https://www.funda.nl/detail/koop/hoeven/huis-hoekwoning-type-2-bouwnr-52/44423624/</v>
      </c>
      <c r="C64" t="str">
        <v>Bosvenne Hoeven | Fase 1 | de verkoop is gestart!</v>
      </c>
      <c r="D64" t="str">
        <v>Hoekwoning Type 2</v>
      </c>
      <c r="E64" t="str">
        <v>- 52</v>
      </c>
      <c r="F64" t="str">
        <v>4741 SK</v>
      </c>
      <c r="G64" t="str">
        <v>Hoeven</v>
      </c>
      <c r="H64" t="str">
        <v>Halderberge</v>
      </c>
      <c r="I64" t="str">
        <v>Noord-Brabant</v>
      </c>
      <c r="J64" t="str">
        <v>Zuid-Nederland</v>
      </c>
      <c r="K64" t="str">
        <v>Te koop</v>
      </c>
      <c r="L64" t="str">
        <v>Onbekend</v>
      </c>
      <c r="M64" t="str">
        <v>Onbekend</v>
      </c>
      <c r="N64">
        <v>475000</v>
      </c>
      <c r="O64" t="str">
        <v>v.o.n.</v>
      </c>
      <c r="P64">
        <v>116</v>
      </c>
      <c r="Q64">
        <v>4095</v>
      </c>
      <c r="R64">
        <v>188</v>
      </c>
      <c r="S64" t="str">
        <v>A+++</v>
      </c>
      <c r="T64">
        <v>4</v>
      </c>
      <c r="U64">
        <v>3</v>
      </c>
      <c r="V64" t="str">
        <v>Grondgebonden</v>
      </c>
      <c r="W64" t="str">
        <v>Hoekwoning</v>
      </c>
      <c r="X64" t="str">
        <v>N.v.t.</v>
      </c>
      <c r="Y64" t="str">
        <v>Ja</v>
      </c>
      <c r="Z64" t="str">
        <v>openbare parkeerplaats</v>
      </c>
      <c r="AA64" t="str">
        <v>2026</v>
      </c>
      <c r="AB64" t="str">
        <v>Nee</v>
      </c>
      <c r="AC64" t="str">
        <v>NEE</v>
      </c>
      <c r="AD64" t="str">
        <v>JA</v>
      </c>
    </row>
    <row r="65">
      <c r="A65" t="str">
        <v>44423623</v>
      </c>
      <c r="B65" t="str">
        <v>https://www.funda.nl/detail/koop/hoeven/huis-hoekwoning-type-1-bouwnr-40/44423623/</v>
      </c>
      <c r="C65" t="str">
        <v>Bosvenne Hoeven | Fase 1 | de verkoop is gestart!</v>
      </c>
      <c r="D65" t="str">
        <v>Hoekwoning Type 1</v>
      </c>
      <c r="E65" t="str">
        <v>- 40</v>
      </c>
      <c r="F65" t="str">
        <v>4741 SK</v>
      </c>
      <c r="G65" t="str">
        <v>Hoeven</v>
      </c>
      <c r="H65" t="str">
        <v>Halderberge</v>
      </c>
      <c r="I65" t="str">
        <v>Noord-Brabant</v>
      </c>
      <c r="J65" t="str">
        <v>Zuid-Nederland</v>
      </c>
      <c r="K65" t="str">
        <v>Te koop</v>
      </c>
      <c r="L65" t="str">
        <v>Onbekend</v>
      </c>
      <c r="M65" t="str">
        <v>Onbekend</v>
      </c>
      <c r="N65">
        <v>535000</v>
      </c>
      <c r="O65" t="str">
        <v>v.o.n.</v>
      </c>
      <c r="P65">
        <v>129</v>
      </c>
      <c r="Q65">
        <v>4147</v>
      </c>
      <c r="R65">
        <v>216</v>
      </c>
      <c r="S65" t="str">
        <v>A+++</v>
      </c>
      <c r="T65">
        <v>4</v>
      </c>
      <c r="U65">
        <v>3</v>
      </c>
      <c r="V65" t="str">
        <v>Grondgebonden</v>
      </c>
      <c r="W65" t="str">
        <v>Hoekwoning</v>
      </c>
      <c r="X65" t="str">
        <v>N.v.t.</v>
      </c>
      <c r="Y65" t="str">
        <v>Ja</v>
      </c>
      <c r="Z65" t="str">
        <v>openbare parkeerplaats</v>
      </c>
      <c r="AA65" t="str">
        <v>2026</v>
      </c>
      <c r="AB65" t="str">
        <v>Nee</v>
      </c>
      <c r="AC65" t="str">
        <v>NEE</v>
      </c>
      <c r="AD65" t="str">
        <v>JA</v>
      </c>
    </row>
    <row r="66">
      <c r="A66" t="str">
        <v>44423611</v>
      </c>
      <c r="B66" t="str">
        <v>https://www.funda.nl/detail/koop/hoeven/huis-eengezinswoning-type-1-bouwnr-67/44423611/</v>
      </c>
      <c r="C66" t="str">
        <v>Bosvenne Hoeven | Fase 1 | de verkoop is gestart!</v>
      </c>
      <c r="D66" t="str">
        <v>Eengezinswoning Type 1</v>
      </c>
      <c r="E66" t="str">
        <v>- 67</v>
      </c>
      <c r="F66" t="str">
        <v>4741 SK</v>
      </c>
      <c r="G66" t="str">
        <v>Hoeven</v>
      </c>
      <c r="H66" t="str">
        <v>Halderberge</v>
      </c>
      <c r="I66" t="str">
        <v>Noord-Brabant</v>
      </c>
      <c r="J66" t="str">
        <v>Zuid-Nederland</v>
      </c>
      <c r="K66" t="str">
        <v>Te koop</v>
      </c>
      <c r="L66" t="str">
        <v>Onbekend</v>
      </c>
      <c r="M66" t="str">
        <v>Onbekend</v>
      </c>
      <c r="N66">
        <v>435000</v>
      </c>
      <c r="O66" t="str">
        <v>v.o.n.</v>
      </c>
      <c r="P66">
        <v>116</v>
      </c>
      <c r="Q66">
        <v>3750</v>
      </c>
      <c r="R66">
        <v>132</v>
      </c>
      <c r="S66" t="str">
        <v>A+++</v>
      </c>
      <c r="T66">
        <v>4</v>
      </c>
      <c r="U66">
        <v>3</v>
      </c>
      <c r="V66" t="str">
        <v>Grondgebonden</v>
      </c>
      <c r="W66" t="str">
        <v>Tussenwoning</v>
      </c>
      <c r="X66" t="str">
        <v>N.v.t.</v>
      </c>
      <c r="Y66" t="str">
        <v>Ja</v>
      </c>
      <c r="Z66" t="str">
        <v>openbare parkeerplaats</v>
      </c>
      <c r="AA66" t="str">
        <v>2026</v>
      </c>
      <c r="AB66" t="str">
        <v>Nee</v>
      </c>
      <c r="AC66" t="str">
        <v>NEE</v>
      </c>
      <c r="AD66" t="str">
        <v>JA</v>
      </c>
    </row>
    <row r="67">
      <c r="A67" t="str">
        <v>44423610</v>
      </c>
      <c r="B67" t="str">
        <v>https://www.funda.nl/detail/koop/hoeven/huis-veranda-hoekwoning-xl-type-1-bouwnr-1/44423610/</v>
      </c>
      <c r="C67" t="str">
        <v>Bosvenne Hoeven | Fase 1 | de verkoop is gestart!</v>
      </c>
      <c r="D67" t="str">
        <v>Veranda hoekwoning XL Type 1</v>
      </c>
      <c r="E67" t="str">
        <v>- 1</v>
      </c>
      <c r="F67" t="str">
        <v>4741 SK</v>
      </c>
      <c r="G67" t="str">
        <v>Hoeven</v>
      </c>
      <c r="H67" t="str">
        <v>Halderberge</v>
      </c>
      <c r="I67" t="str">
        <v>Noord-Brabant</v>
      </c>
      <c r="J67" t="str">
        <v>Zuid-Nederland</v>
      </c>
      <c r="K67" t="str">
        <v>Te koop</v>
      </c>
      <c r="L67" t="str">
        <v>Onbekend</v>
      </c>
      <c r="M67" t="str">
        <v>Onbekend</v>
      </c>
      <c r="N67">
        <v>529000</v>
      </c>
      <c r="O67" t="str">
        <v>v.o.n.</v>
      </c>
      <c r="P67">
        <v>143</v>
      </c>
      <c r="Q67">
        <v>3699</v>
      </c>
      <c r="R67">
        <v>191</v>
      </c>
      <c r="S67" t="str">
        <v>A+++</v>
      </c>
      <c r="T67">
        <v>4</v>
      </c>
      <c r="U67">
        <v>3</v>
      </c>
      <c r="V67" t="str">
        <v>Grondgebonden</v>
      </c>
      <c r="W67" t="str">
        <v>Hoekwoning</v>
      </c>
      <c r="X67" t="str">
        <v>N.v.t.</v>
      </c>
      <c r="Y67" t="str">
        <v>Ja</v>
      </c>
      <c r="Z67" t="str">
        <v>openbare parkeerplaats</v>
      </c>
      <c r="AA67" t="str">
        <v>2026</v>
      </c>
      <c r="AB67" t="str">
        <v>Nee</v>
      </c>
      <c r="AC67" t="str">
        <v>NEE</v>
      </c>
      <c r="AD67" t="str">
        <v>JA</v>
      </c>
    </row>
    <row r="68">
      <c r="A68" t="str">
        <v>44423619</v>
      </c>
      <c r="B68" t="str">
        <v>https://www.funda.nl/detail/koop/hoeven/huis-hoekwoning-type-3-bouwnr-59/44423619/</v>
      </c>
      <c r="C68" t="str">
        <v>Bosvenne Hoeven | Fase 1 | de verkoop is gestart!</v>
      </c>
      <c r="D68" t="str">
        <v>Hoekwoning Type 3</v>
      </c>
      <c r="E68" t="str">
        <v>- 59</v>
      </c>
      <c r="F68" t="str">
        <v>4741 SK</v>
      </c>
      <c r="G68" t="str">
        <v>Hoeven</v>
      </c>
      <c r="H68" t="str">
        <v>Halderberge</v>
      </c>
      <c r="I68" t="str">
        <v>Noord-Brabant</v>
      </c>
      <c r="J68" t="str">
        <v>Zuid-Nederland</v>
      </c>
      <c r="K68" t="str">
        <v>Te koop</v>
      </c>
      <c r="L68" t="str">
        <v>2026-07-09</v>
      </c>
      <c r="M68">
        <v>4</v>
      </c>
      <c r="N68">
        <v>442500</v>
      </c>
      <c r="O68" t="str">
        <v>v.o.n.</v>
      </c>
      <c r="P68">
        <v>112</v>
      </c>
      <c r="Q68">
        <v>3951</v>
      </c>
      <c r="R68">
        <v>160</v>
      </c>
      <c r="S68" t="str">
        <v>A+++</v>
      </c>
      <c r="T68">
        <v>4</v>
      </c>
      <c r="U68">
        <v>3</v>
      </c>
      <c r="V68" t="str">
        <v>Grondgebonden</v>
      </c>
      <c r="W68" t="str">
        <v>Hoekwoning</v>
      </c>
      <c r="X68" t="str">
        <v>N.v.t.</v>
      </c>
      <c r="Y68" t="str">
        <v>Ja</v>
      </c>
      <c r="Z68" t="str">
        <v>openbare parkeerplaats</v>
      </c>
      <c r="AA68" t="str">
        <v>2026</v>
      </c>
      <c r="AB68" t="str">
        <v>Nee</v>
      </c>
      <c r="AC68" t="str">
        <v>NEE</v>
      </c>
      <c r="AD68" t="str">
        <v>JA</v>
      </c>
    </row>
    <row r="69">
      <c r="A69" t="str">
        <v>44423617</v>
      </c>
      <c r="B69" t="str">
        <v>https://www.funda.nl/detail/koop/hoeven/huis-veranda-hoekwoning-bouwnr-5/44423617/</v>
      </c>
      <c r="C69" t="str">
        <v>Bosvenne Hoeven | Fase 1 | de verkoop is gestart!</v>
      </c>
      <c r="D69" t="str">
        <v>Veranda hoekwoning</v>
      </c>
      <c r="E69" t="str">
        <v>- 5</v>
      </c>
      <c r="F69" t="str">
        <v>4741 SK</v>
      </c>
      <c r="G69" t="str">
        <v>Hoeven</v>
      </c>
      <c r="H69" t="str">
        <v>Halderberge</v>
      </c>
      <c r="I69" t="str">
        <v>Noord-Brabant</v>
      </c>
      <c r="J69" t="str">
        <v>Zuid-Nederland</v>
      </c>
      <c r="K69" t="str">
        <v>Te koop</v>
      </c>
      <c r="L69" t="str">
        <v>Onbekend</v>
      </c>
      <c r="M69" t="str">
        <v>Onbekend</v>
      </c>
      <c r="N69">
        <v>510000</v>
      </c>
      <c r="O69" t="str">
        <v>v.o.n.</v>
      </c>
      <c r="P69">
        <v>129</v>
      </c>
      <c r="Q69">
        <v>3953</v>
      </c>
      <c r="R69">
        <v>157</v>
      </c>
      <c r="S69" t="str">
        <v>A+++</v>
      </c>
      <c r="T69">
        <v>4</v>
      </c>
      <c r="U69">
        <v>3</v>
      </c>
      <c r="V69" t="str">
        <v>Grondgebonden</v>
      </c>
      <c r="W69" t="str">
        <v>Hoekwoning</v>
      </c>
      <c r="X69" t="str">
        <v>N.v.t.</v>
      </c>
      <c r="Y69" t="str">
        <v>Ja</v>
      </c>
      <c r="Z69" t="str">
        <v>openbare parkeerplaats</v>
      </c>
      <c r="AA69" t="str">
        <v>2026</v>
      </c>
      <c r="AB69" t="str">
        <v>Nee</v>
      </c>
      <c r="AC69" t="str">
        <v>NEE</v>
      </c>
      <c r="AD69" t="str">
        <v>JA</v>
      </c>
    </row>
    <row r="70">
      <c r="A70" t="str">
        <v>44423616</v>
      </c>
      <c r="B70" t="str">
        <v>https://www.funda.nl/detail/koop/hoeven/huis-hoekwoning-type-3-bouwnr-47/44423616/</v>
      </c>
      <c r="C70" t="str">
        <v>Bosvenne Hoeven | Fase 1 | de verkoop is gestart!</v>
      </c>
      <c r="D70" t="str">
        <v>Hoekwoning Type 3</v>
      </c>
      <c r="E70" t="str">
        <v>- 47</v>
      </c>
      <c r="F70" t="str">
        <v>4741 SK</v>
      </c>
      <c r="G70" t="str">
        <v>Hoeven</v>
      </c>
      <c r="H70" t="str">
        <v>Halderberge</v>
      </c>
      <c r="I70" t="str">
        <v>Noord-Brabant</v>
      </c>
      <c r="J70" t="str">
        <v>Zuid-Nederland</v>
      </c>
      <c r="K70" t="str">
        <v>Te koop</v>
      </c>
      <c r="L70" t="str">
        <v>Onbekend</v>
      </c>
      <c r="M70" t="str">
        <v>Onbekend</v>
      </c>
      <c r="N70">
        <v>445000</v>
      </c>
      <c r="O70" t="str">
        <v>v.o.n.</v>
      </c>
      <c r="P70">
        <v>112</v>
      </c>
      <c r="Q70">
        <v>3973</v>
      </c>
      <c r="R70">
        <v>130</v>
      </c>
      <c r="S70" t="str">
        <v>A+++</v>
      </c>
      <c r="T70">
        <v>4</v>
      </c>
      <c r="U70">
        <v>3</v>
      </c>
      <c r="V70" t="str">
        <v>Grondgebonden</v>
      </c>
      <c r="W70" t="str">
        <v>Hoekwoning</v>
      </c>
      <c r="X70" t="str">
        <v>N.v.t.</v>
      </c>
      <c r="Y70" t="str">
        <v>Ja</v>
      </c>
      <c r="Z70" t="str">
        <v>openbare parkeerplaats</v>
      </c>
      <c r="AA70" t="str">
        <v>2026</v>
      </c>
      <c r="AB70" t="str">
        <v>Nee</v>
      </c>
      <c r="AC70" t="str">
        <v>NEE</v>
      </c>
      <c r="AD70" t="str">
        <v>JA</v>
      </c>
    </row>
    <row r="71">
      <c r="A71" t="str">
        <v>44423614</v>
      </c>
      <c r="B71" t="str">
        <v>https://www.funda.nl/detail/koop/hoeven/huis-hoekwoning-xl-type-2-bouwnr-25/44423614/</v>
      </c>
      <c r="C71" t="str">
        <v>Bosvenne Hoeven | Fase 1 | de verkoop is gestart!</v>
      </c>
      <c r="D71" t="str">
        <v>Hoekwoning XL Type 2</v>
      </c>
      <c r="E71" t="str">
        <v>- 25</v>
      </c>
      <c r="F71" t="str">
        <v>4741 SK</v>
      </c>
      <c r="G71" t="str">
        <v>Hoeven</v>
      </c>
      <c r="H71" t="str">
        <v>Halderberge</v>
      </c>
      <c r="I71" t="str">
        <v>Noord-Brabant</v>
      </c>
      <c r="J71" t="str">
        <v>Zuid-Nederland</v>
      </c>
      <c r="K71" t="str">
        <v>Te koop</v>
      </c>
      <c r="L71" t="str">
        <v>Onbekend</v>
      </c>
      <c r="M71" t="str">
        <v>Onbekend</v>
      </c>
      <c r="N71">
        <v>568000</v>
      </c>
      <c r="O71" t="str">
        <v>v.o.n.</v>
      </c>
      <c r="P71">
        <v>142</v>
      </c>
      <c r="Q71">
        <v>4000</v>
      </c>
      <c r="R71">
        <v>208</v>
      </c>
      <c r="S71" t="str">
        <v>A+++</v>
      </c>
      <c r="T71">
        <v>6</v>
      </c>
      <c r="U71">
        <v>4</v>
      </c>
      <c r="V71" t="str">
        <v>Grondgebonden</v>
      </c>
      <c r="W71" t="str">
        <v>Hoekwoning</v>
      </c>
      <c r="X71" t="str">
        <v>N.v.t.</v>
      </c>
      <c r="Y71" t="str">
        <v>Ja</v>
      </c>
      <c r="Z71" t="str">
        <v>openbare parkeerplaats</v>
      </c>
      <c r="AA71" t="str">
        <v>2026</v>
      </c>
      <c r="AB71" t="str">
        <v>Nee</v>
      </c>
      <c r="AC71" t="str">
        <v>NEE</v>
      </c>
      <c r="AD71" t="str">
        <v>JA</v>
      </c>
    </row>
    <row r="72">
      <c r="A72" t="str">
        <v>44423602</v>
      </c>
      <c r="B72" t="str">
        <v>https://www.funda.nl/detail/koop/hoeven/huis-loof-woning-type-2-bouwnr-29/44423602/</v>
      </c>
      <c r="C72" t="str">
        <v>Bosvenne Hoeven | Fase 1 | de verkoop is gestart!</v>
      </c>
      <c r="D72" t="str">
        <v>LOOF-woning Type 2</v>
      </c>
      <c r="E72" t="str">
        <v>- 29</v>
      </c>
      <c r="F72" t="str">
        <v>4741 SK</v>
      </c>
      <c r="G72" t="str">
        <v>Hoeven</v>
      </c>
      <c r="H72" t="str">
        <v>Halderberge</v>
      </c>
      <c r="I72" t="str">
        <v>Noord-Brabant</v>
      </c>
      <c r="J72" t="str">
        <v>Zuid-Nederland</v>
      </c>
      <c r="K72" t="str">
        <v>Te koop</v>
      </c>
      <c r="L72" t="str">
        <v>Onbekend</v>
      </c>
      <c r="M72" t="str">
        <v>Onbekend</v>
      </c>
      <c r="N72">
        <v>560000</v>
      </c>
      <c r="O72" t="str">
        <v>v.o.n.</v>
      </c>
      <c r="P72">
        <v>121</v>
      </c>
      <c r="Q72">
        <v>4628</v>
      </c>
      <c r="R72">
        <v>221</v>
      </c>
      <c r="S72" t="str">
        <v>A+++</v>
      </c>
      <c r="T72">
        <v>2</v>
      </c>
      <c r="U72">
        <v>1</v>
      </c>
      <c r="V72" t="str">
        <v>Grondgebonden</v>
      </c>
      <c r="W72" t="str">
        <v>2-onder-1-kapwoning</v>
      </c>
      <c r="X72" t="str">
        <v>N.v.t.</v>
      </c>
      <c r="Y72" t="str">
        <v>Ja</v>
      </c>
      <c r="Z72" t="str">
        <v>eigen parkeerplaats</v>
      </c>
      <c r="AA72" t="str">
        <v>2026</v>
      </c>
      <c r="AB72" t="str">
        <v>Nee</v>
      </c>
      <c r="AC72" t="str">
        <v>NEE</v>
      </c>
      <c r="AD72" t="str">
        <v>JA</v>
      </c>
    </row>
    <row r="73">
      <c r="A73" t="str">
        <v>44423601</v>
      </c>
      <c r="B73" t="str">
        <v>https://www.funda.nl/detail/koop/hoeven/huis-eengezinswoning-type-1-bouwnr-68/44423601/</v>
      </c>
      <c r="C73" t="str">
        <v>Bosvenne Hoeven | Fase 1 | de verkoop is gestart!</v>
      </c>
      <c r="D73" t="str">
        <v>Eengezinswoning Type 1</v>
      </c>
      <c r="E73" t="str">
        <v>- 68</v>
      </c>
      <c r="F73" t="str">
        <v>4741 SK</v>
      </c>
      <c r="G73" t="str">
        <v>Hoeven</v>
      </c>
      <c r="H73" t="str">
        <v>Halderberge</v>
      </c>
      <c r="I73" t="str">
        <v>Noord-Brabant</v>
      </c>
      <c r="J73" t="str">
        <v>Zuid-Nederland</v>
      </c>
      <c r="K73" t="str">
        <v>Te koop</v>
      </c>
      <c r="L73" t="str">
        <v>Onbekend</v>
      </c>
      <c r="M73" t="str">
        <v>Onbekend</v>
      </c>
      <c r="N73">
        <v>435000</v>
      </c>
      <c r="O73" t="str">
        <v>v.o.n.</v>
      </c>
      <c r="P73">
        <v>116</v>
      </c>
      <c r="Q73">
        <v>3750</v>
      </c>
      <c r="R73">
        <v>132</v>
      </c>
      <c r="S73" t="str">
        <v>A+++</v>
      </c>
      <c r="T73">
        <v>4</v>
      </c>
      <c r="U73">
        <v>3</v>
      </c>
      <c r="V73" t="str">
        <v>Grondgebonden</v>
      </c>
      <c r="W73" t="str">
        <v>Tussenwoning</v>
      </c>
      <c r="X73" t="str">
        <v>N.v.t.</v>
      </c>
      <c r="Y73" t="str">
        <v>Ja</v>
      </c>
      <c r="Z73" t="str">
        <v>openbare parkeerplaats</v>
      </c>
      <c r="AA73" t="str">
        <v>2026</v>
      </c>
      <c r="AB73" t="str">
        <v>Nee</v>
      </c>
      <c r="AC73" t="str">
        <v>NEE</v>
      </c>
      <c r="AD73" t="str">
        <v>JA</v>
      </c>
    </row>
    <row r="74">
      <c r="A74" t="str">
        <v>44423600</v>
      </c>
      <c r="B74" t="str">
        <v>https://www.funda.nl/detail/koop/hoeven/huis-hoekwoning-type-2-bouwnr-53/44423600/</v>
      </c>
      <c r="C74" t="str">
        <v>Bosvenne Hoeven | Fase 1 | de verkoop is gestart!</v>
      </c>
      <c r="D74" t="str">
        <v>Hoekwoning Type 2</v>
      </c>
      <c r="E74" t="str">
        <v>- 53</v>
      </c>
      <c r="F74" t="str">
        <v>4741 SK</v>
      </c>
      <c r="G74" t="str">
        <v>Hoeven</v>
      </c>
      <c r="H74" t="str">
        <v>Halderberge</v>
      </c>
      <c r="I74" t="str">
        <v>Noord-Brabant</v>
      </c>
      <c r="J74" t="str">
        <v>Zuid-Nederland</v>
      </c>
      <c r="K74" t="str">
        <v>Te koop</v>
      </c>
      <c r="L74" t="str">
        <v>Onbekend</v>
      </c>
      <c r="M74" t="str">
        <v>Onbekend</v>
      </c>
      <c r="N74">
        <v>460000</v>
      </c>
      <c r="O74" t="str">
        <v>v.o.n.</v>
      </c>
      <c r="P74">
        <v>116</v>
      </c>
      <c r="Q74">
        <v>3966</v>
      </c>
      <c r="R74">
        <v>181</v>
      </c>
      <c r="S74" t="str">
        <v>A+++</v>
      </c>
      <c r="T74">
        <v>4</v>
      </c>
      <c r="U74">
        <v>3</v>
      </c>
      <c r="V74" t="str">
        <v>Grondgebonden</v>
      </c>
      <c r="W74" t="str">
        <v>Hoekwoning</v>
      </c>
      <c r="X74" t="str">
        <v>N.v.t.</v>
      </c>
      <c r="Y74" t="str">
        <v>Ja</v>
      </c>
      <c r="Z74" t="str">
        <v>openbare parkeerplaats</v>
      </c>
      <c r="AA74" t="str">
        <v>2026</v>
      </c>
      <c r="AB74" t="str">
        <v>Nee</v>
      </c>
      <c r="AC74" t="str">
        <v>NEE</v>
      </c>
      <c r="AD74" t="str">
        <v>JA</v>
      </c>
    </row>
    <row r="75">
      <c r="A75" t="str">
        <v>44423609</v>
      </c>
      <c r="B75" t="str">
        <v>https://www.funda.nl/detail/koop/hoeven/huis-eengezinswoning-type-2-bouwnr-58/44423609/</v>
      </c>
      <c r="C75" t="str">
        <v>Bosvenne Hoeven | Fase 1 | de verkoop is gestart!</v>
      </c>
      <c r="D75" t="str">
        <v>Eengezinswoning Type 2</v>
      </c>
      <c r="E75" t="str">
        <v>- 58</v>
      </c>
      <c r="F75" t="str">
        <v>4741 SK</v>
      </c>
      <c r="G75" t="str">
        <v>Hoeven</v>
      </c>
      <c r="H75" t="str">
        <v>Halderberge</v>
      </c>
      <c r="I75" t="str">
        <v>Noord-Brabant</v>
      </c>
      <c r="J75" t="str">
        <v>Zuid-Nederland</v>
      </c>
      <c r="K75" t="str">
        <v>Te koop</v>
      </c>
      <c r="L75" t="str">
        <v>Onbekend</v>
      </c>
      <c r="M75" t="str">
        <v>Onbekend</v>
      </c>
      <c r="N75">
        <v>420000</v>
      </c>
      <c r="O75" t="str">
        <v>v.o.n.</v>
      </c>
      <c r="P75">
        <v>112</v>
      </c>
      <c r="Q75">
        <v>3750</v>
      </c>
      <c r="R75">
        <v>125</v>
      </c>
      <c r="S75" t="str">
        <v>A+++</v>
      </c>
      <c r="T75">
        <v>4</v>
      </c>
      <c r="U75">
        <v>3</v>
      </c>
      <c r="V75" t="str">
        <v>Grondgebonden</v>
      </c>
      <c r="W75" t="str">
        <v>Tussenwoning</v>
      </c>
      <c r="X75" t="str">
        <v>N.v.t.</v>
      </c>
      <c r="Y75" t="str">
        <v>Ja</v>
      </c>
      <c r="Z75" t="str">
        <v>openbare parkeerplaats</v>
      </c>
      <c r="AA75" t="str">
        <v>2026</v>
      </c>
      <c r="AB75" t="str">
        <v>Nee</v>
      </c>
      <c r="AC75" t="str">
        <v>NEE</v>
      </c>
      <c r="AD75" t="str">
        <v>JA</v>
      </c>
    </row>
    <row r="76">
      <c r="A76" t="str">
        <v>44423604</v>
      </c>
      <c r="B76" t="str">
        <v>https://www.funda.nl/detail/koop/hoeven/huis-eengezinswoning-type-2-bouwnr-56/44423604/</v>
      </c>
      <c r="C76" t="str">
        <v>Bosvenne Hoeven | Fase 1 | de verkoop is gestart!</v>
      </c>
      <c r="D76" t="str">
        <v>Eengezinswoning Type 2</v>
      </c>
      <c r="E76" t="str">
        <v>- 56</v>
      </c>
      <c r="F76" t="str">
        <v>4741 SK</v>
      </c>
      <c r="G76" t="str">
        <v>Hoeven</v>
      </c>
      <c r="H76" t="str">
        <v>Halderberge</v>
      </c>
      <c r="I76" t="str">
        <v>Noord-Brabant</v>
      </c>
      <c r="J76" t="str">
        <v>Zuid-Nederland</v>
      </c>
      <c r="K76" t="str">
        <v>Te koop</v>
      </c>
      <c r="L76" t="str">
        <v>Onbekend</v>
      </c>
      <c r="M76" t="str">
        <v>Onbekend</v>
      </c>
      <c r="N76">
        <v>420000</v>
      </c>
      <c r="O76" t="str">
        <v>v.o.n.</v>
      </c>
      <c r="P76">
        <v>112</v>
      </c>
      <c r="Q76">
        <v>3750</v>
      </c>
      <c r="R76">
        <v>125</v>
      </c>
      <c r="S76" t="str">
        <v>A+++</v>
      </c>
      <c r="T76">
        <v>4</v>
      </c>
      <c r="U76">
        <v>3</v>
      </c>
      <c r="V76" t="str">
        <v>Grondgebonden</v>
      </c>
      <c r="W76" t="str">
        <v>Tussenwoning</v>
      </c>
      <c r="X76" t="str">
        <v>N.v.t.</v>
      </c>
      <c r="Y76" t="str">
        <v>Ja</v>
      </c>
      <c r="Z76" t="str">
        <v>openbare parkeerplaats</v>
      </c>
      <c r="AA76" t="str">
        <v>2026</v>
      </c>
      <c r="AB76" t="str">
        <v>Nee</v>
      </c>
      <c r="AC76" t="str">
        <v>NEE</v>
      </c>
      <c r="AD76" t="str">
        <v>JA</v>
      </c>
    </row>
    <row r="77">
      <c r="A77" t="str">
        <v>44423603</v>
      </c>
      <c r="B77" t="str">
        <v>https://www.funda.nl/detail/koop/hoeven/huis-veranda-eengezinswoning-bouwnr-3/44423603/</v>
      </c>
      <c r="C77" t="str">
        <v>Bosvenne Hoeven | Fase 1 | de verkoop is gestart!</v>
      </c>
      <c r="D77" t="str">
        <v>Veranda eengezinswoning</v>
      </c>
      <c r="E77" t="str">
        <v>- 3</v>
      </c>
      <c r="F77" t="str">
        <v>4741 SK</v>
      </c>
      <c r="G77" t="str">
        <v>Hoeven</v>
      </c>
      <c r="H77" t="str">
        <v>Halderberge</v>
      </c>
      <c r="I77" t="str">
        <v>Noord-Brabant</v>
      </c>
      <c r="J77" t="str">
        <v>Zuid-Nederland</v>
      </c>
      <c r="K77" t="str">
        <v>Te koop</v>
      </c>
      <c r="L77" t="str">
        <v>Onbekend</v>
      </c>
      <c r="M77" t="str">
        <v>Onbekend</v>
      </c>
      <c r="N77">
        <v>435000</v>
      </c>
      <c r="O77" t="str">
        <v>v.o.n.</v>
      </c>
      <c r="P77">
        <v>116</v>
      </c>
      <c r="Q77">
        <v>3750</v>
      </c>
      <c r="R77">
        <v>107</v>
      </c>
      <c r="S77" t="str">
        <v>A+++</v>
      </c>
      <c r="T77">
        <v>4</v>
      </c>
      <c r="U77">
        <v>4</v>
      </c>
      <c r="V77" t="str">
        <v>Grondgebonden</v>
      </c>
      <c r="W77" t="str">
        <v>Tussenwoning</v>
      </c>
      <c r="X77" t="str">
        <v>N.v.t.</v>
      </c>
      <c r="Y77" t="str">
        <v>Ja</v>
      </c>
      <c r="Z77" t="str">
        <v>openbare parkeerplaats</v>
      </c>
      <c r="AA77" t="str">
        <v>2026</v>
      </c>
      <c r="AB77" t="str">
        <v>Nee</v>
      </c>
      <c r="AC77" t="str">
        <v>NEE</v>
      </c>
      <c r="AD77" t="str">
        <v>JA</v>
      </c>
    </row>
    <row r="78">
      <c r="A78" t="str">
        <v>44423692</v>
      </c>
      <c r="B78" t="str">
        <v>https://www.funda.nl/detail/koop/hoeven/huis-eengezinswoning-xl-bouwnr-24/44423692/</v>
      </c>
      <c r="C78" t="str">
        <v>Bosvenne Hoeven | Fase 1 | de verkoop is gestart!</v>
      </c>
      <c r="D78" t="str">
        <v>Eengezinswoning XL</v>
      </c>
      <c r="E78" t="str">
        <v>- 24</v>
      </c>
      <c r="F78" t="str">
        <v>4741 SK</v>
      </c>
      <c r="G78" t="str">
        <v>Hoeven</v>
      </c>
      <c r="H78" t="str">
        <v>Halderberge</v>
      </c>
      <c r="I78" t="str">
        <v>Noord-Brabant</v>
      </c>
      <c r="J78" t="str">
        <v>Zuid-Nederland</v>
      </c>
      <c r="K78" t="str">
        <v>Te koop</v>
      </c>
      <c r="L78" t="str">
        <v>Onbekend</v>
      </c>
      <c r="M78" t="str">
        <v>Onbekend</v>
      </c>
      <c r="N78">
        <v>503000</v>
      </c>
      <c r="O78" t="str">
        <v>v.o.n.</v>
      </c>
      <c r="P78">
        <v>129</v>
      </c>
      <c r="Q78">
        <v>3899</v>
      </c>
      <c r="R78">
        <v>174</v>
      </c>
      <c r="S78" t="str">
        <v>A+++</v>
      </c>
      <c r="T78">
        <v>4</v>
      </c>
      <c r="U78">
        <v>3</v>
      </c>
      <c r="V78" t="str">
        <v>Grondgebonden</v>
      </c>
      <c r="W78" t="str">
        <v>Tussenwoning</v>
      </c>
      <c r="X78" t="str">
        <v>N.v.t.</v>
      </c>
      <c r="Y78" t="str">
        <v>Ja</v>
      </c>
      <c r="Z78" t="str">
        <v>openbare parkeerplaats</v>
      </c>
      <c r="AA78" t="str">
        <v>2026</v>
      </c>
      <c r="AB78" t="str">
        <v>Nee</v>
      </c>
      <c r="AC78" t="str">
        <v>NEE</v>
      </c>
      <c r="AD78" t="str">
        <v>JA</v>
      </c>
    </row>
    <row r="79">
      <c r="A79" t="str">
        <v>44423691</v>
      </c>
      <c r="B79" t="str">
        <v>https://www.funda.nl/detail/koop/hoeven/huis-eengezinswoning-type-1-bouwnr-69/44423691/</v>
      </c>
      <c r="C79" t="str">
        <v>Bosvenne Hoeven | Fase 1 | de verkoop is gestart!</v>
      </c>
      <c r="D79" t="str">
        <v>Eengezinswoning Type 1</v>
      </c>
      <c r="E79" t="str">
        <v>- 69</v>
      </c>
      <c r="F79" t="str">
        <v>4741 SK</v>
      </c>
      <c r="G79" t="str">
        <v>Hoeven</v>
      </c>
      <c r="H79" t="str">
        <v>Halderberge</v>
      </c>
      <c r="I79" t="str">
        <v>Noord-Brabant</v>
      </c>
      <c r="J79" t="str">
        <v>Zuid-Nederland</v>
      </c>
      <c r="K79" t="str">
        <v>Te koop</v>
      </c>
      <c r="L79" t="str">
        <v>Onbekend</v>
      </c>
      <c r="M79" t="str">
        <v>Onbekend</v>
      </c>
      <c r="N79">
        <v>435000</v>
      </c>
      <c r="O79" t="str">
        <v>v.o.n.</v>
      </c>
      <c r="P79">
        <v>116</v>
      </c>
      <c r="Q79">
        <v>3750</v>
      </c>
      <c r="R79">
        <v>132</v>
      </c>
      <c r="S79" t="str">
        <v>A+++</v>
      </c>
      <c r="T79">
        <v>4</v>
      </c>
      <c r="U79">
        <v>3</v>
      </c>
      <c r="V79" t="str">
        <v>Grondgebonden</v>
      </c>
      <c r="W79" t="str">
        <v>Tussenwoning</v>
      </c>
      <c r="X79" t="str">
        <v>N.v.t.</v>
      </c>
      <c r="Y79" t="str">
        <v>Ja</v>
      </c>
      <c r="Z79" t="str">
        <v>openbare parkeerplaats</v>
      </c>
      <c r="AA79" t="str">
        <v>2026</v>
      </c>
      <c r="AB79" t="str">
        <v>Nee</v>
      </c>
      <c r="AC79" t="str">
        <v>NEE</v>
      </c>
      <c r="AD79" t="str">
        <v>JA</v>
      </c>
    </row>
    <row r="80">
      <c r="A80" t="str">
        <v>44423690</v>
      </c>
      <c r="B80" t="str">
        <v>https://www.funda.nl/detail/koop/hoeven/huis-eengezinswoning-xl-bouwnr-22/44423690/</v>
      </c>
      <c r="C80" t="str">
        <v>Bosvenne Hoeven | Fase 1 | de verkoop is gestart!</v>
      </c>
      <c r="D80" t="str">
        <v>Eengezinswoning XL</v>
      </c>
      <c r="E80" t="str">
        <v>- 22</v>
      </c>
      <c r="F80" t="str">
        <v>4741 SK</v>
      </c>
      <c r="G80" t="str">
        <v>Hoeven</v>
      </c>
      <c r="H80" t="str">
        <v>Halderberge</v>
      </c>
      <c r="I80" t="str">
        <v>Noord-Brabant</v>
      </c>
      <c r="J80" t="str">
        <v>Zuid-Nederland</v>
      </c>
      <c r="K80" t="str">
        <v>Te koop</v>
      </c>
      <c r="L80" t="str">
        <v>Onbekend</v>
      </c>
      <c r="M80" t="str">
        <v>Onbekend</v>
      </c>
      <c r="N80">
        <v>499000</v>
      </c>
      <c r="O80" t="str">
        <v>v.o.n.</v>
      </c>
      <c r="P80">
        <v>129</v>
      </c>
      <c r="Q80">
        <v>3868</v>
      </c>
      <c r="R80">
        <v>169</v>
      </c>
      <c r="S80" t="str">
        <v>A+++</v>
      </c>
      <c r="T80">
        <v>4</v>
      </c>
      <c r="U80">
        <v>3</v>
      </c>
      <c r="V80" t="str">
        <v>Grondgebonden</v>
      </c>
      <c r="W80" t="str">
        <v>Tussenwoning</v>
      </c>
      <c r="X80" t="str">
        <v>N.v.t.</v>
      </c>
      <c r="Y80" t="str">
        <v>Ja</v>
      </c>
      <c r="Z80" t="str">
        <v>openbare parkeerplaats</v>
      </c>
      <c r="AA80" t="str">
        <v>2026</v>
      </c>
      <c r="AB80" t="str">
        <v>Nee</v>
      </c>
      <c r="AC80" t="str">
        <v>NEE</v>
      </c>
      <c r="AD80" t="str">
        <v>JA</v>
      </c>
    </row>
    <row r="81">
      <c r="A81" t="str">
        <v>44423699</v>
      </c>
      <c r="B81" t="str">
        <v>https://www.funda.nl/detail/koop/hoeven/huis-eengezinswoning-xl-bouwnr-23/44423699/</v>
      </c>
      <c r="C81" t="str">
        <v>Bosvenne Hoeven | Fase 1 | de verkoop is gestart!</v>
      </c>
      <c r="D81" t="str">
        <v>Eengezinswoning XL</v>
      </c>
      <c r="E81" t="str">
        <v>- 23</v>
      </c>
      <c r="F81" t="str">
        <v>4741 SK</v>
      </c>
      <c r="G81" t="str">
        <v>Hoeven</v>
      </c>
      <c r="H81" t="str">
        <v>Halderberge</v>
      </c>
      <c r="I81" t="str">
        <v>Noord-Brabant</v>
      </c>
      <c r="J81" t="str">
        <v>Zuid-Nederland</v>
      </c>
      <c r="K81" t="str">
        <v>Te koop</v>
      </c>
      <c r="L81" t="str">
        <v>Onbekend</v>
      </c>
      <c r="M81" t="str">
        <v>Onbekend</v>
      </c>
      <c r="N81">
        <v>501500</v>
      </c>
      <c r="O81" t="str">
        <v>v.o.n.</v>
      </c>
      <c r="P81">
        <v>129</v>
      </c>
      <c r="Q81">
        <v>3888</v>
      </c>
      <c r="R81">
        <v>171</v>
      </c>
      <c r="S81" t="str">
        <v>A+++</v>
      </c>
      <c r="T81">
        <v>4</v>
      </c>
      <c r="U81">
        <v>3</v>
      </c>
      <c r="V81" t="str">
        <v>Grondgebonden</v>
      </c>
      <c r="W81" t="str">
        <v>Tussenwoning</v>
      </c>
      <c r="X81" t="str">
        <v>N.v.t.</v>
      </c>
      <c r="Y81" t="str">
        <v>Ja</v>
      </c>
      <c r="Z81" t="str">
        <v>openbare parkeerplaats</v>
      </c>
      <c r="AA81" t="str">
        <v>2026</v>
      </c>
      <c r="AB81" t="str">
        <v>Nee</v>
      </c>
      <c r="AC81" t="str">
        <v>NEE</v>
      </c>
      <c r="AD81" t="str">
        <v>JA</v>
      </c>
    </row>
    <row r="82">
      <c r="A82" t="str">
        <v>44423698</v>
      </c>
      <c r="B82" t="str">
        <v>https://www.funda.nl/detail/koop/hoeven/huis-hoekwoning-xl-type-1-bouwnr-71/44423698/</v>
      </c>
      <c r="C82" t="str">
        <v>Bosvenne Hoeven | Fase 1 | de verkoop is gestart!</v>
      </c>
      <c r="D82" t="str">
        <v>Hoekwoning XL Type 1</v>
      </c>
      <c r="E82" t="str">
        <v>- 71</v>
      </c>
      <c r="F82" t="str">
        <v>4741 SK</v>
      </c>
      <c r="G82" t="str">
        <v>Hoeven</v>
      </c>
      <c r="H82" t="str">
        <v>Halderberge</v>
      </c>
      <c r="I82" t="str">
        <v>Noord-Brabant</v>
      </c>
      <c r="J82" t="str">
        <v>Zuid-Nederland</v>
      </c>
      <c r="K82" t="str">
        <v>Te koop</v>
      </c>
      <c r="L82" t="str">
        <v>Onbekend</v>
      </c>
      <c r="M82" t="str">
        <v>Onbekend</v>
      </c>
      <c r="N82">
        <v>537500</v>
      </c>
      <c r="O82" t="str">
        <v>v.o.n.</v>
      </c>
      <c r="P82">
        <v>142</v>
      </c>
      <c r="Q82">
        <v>3785</v>
      </c>
      <c r="R82">
        <v>212</v>
      </c>
      <c r="S82" t="str">
        <v>A+++</v>
      </c>
      <c r="T82">
        <v>4</v>
      </c>
      <c r="U82">
        <v>3</v>
      </c>
      <c r="V82" t="str">
        <v>Grondgebonden</v>
      </c>
      <c r="W82" t="str">
        <v>Hoekwoning</v>
      </c>
      <c r="X82" t="str">
        <v>N.v.t.</v>
      </c>
      <c r="Y82" t="str">
        <v>Ja</v>
      </c>
      <c r="Z82" t="str">
        <v>openbare parkeerplaats</v>
      </c>
      <c r="AA82" t="str">
        <v>2026</v>
      </c>
      <c r="AB82" t="str">
        <v>Nee</v>
      </c>
      <c r="AC82" t="str">
        <v>NEE</v>
      </c>
      <c r="AD82" t="str">
        <v>JA</v>
      </c>
    </row>
    <row r="83">
      <c r="A83" t="str">
        <v>44423695</v>
      </c>
      <c r="B83" t="str">
        <v>https://www.funda.nl/detail/koop/hoeven/huis-eengezinswoning-type-1-bouwnr-70/44423695/</v>
      </c>
      <c r="C83" t="str">
        <v>Bosvenne Hoeven | Fase 1 | de verkoop is gestart!</v>
      </c>
      <c r="D83" t="str">
        <v>Eengezinswoning Type 1</v>
      </c>
      <c r="E83" t="str">
        <v>- 70</v>
      </c>
      <c r="F83" t="str">
        <v>4741 SK</v>
      </c>
      <c r="G83" t="str">
        <v>Hoeven</v>
      </c>
      <c r="H83" t="str">
        <v>Halderberge</v>
      </c>
      <c r="I83" t="str">
        <v>Noord-Brabant</v>
      </c>
      <c r="J83" t="str">
        <v>Zuid-Nederland</v>
      </c>
      <c r="K83" t="str">
        <v>Te koop</v>
      </c>
      <c r="L83" t="str">
        <v>2026-07-09</v>
      </c>
      <c r="M83">
        <v>4</v>
      </c>
      <c r="N83">
        <v>435000</v>
      </c>
      <c r="O83" t="str">
        <v>v.o.n.</v>
      </c>
      <c r="P83">
        <v>116</v>
      </c>
      <c r="Q83">
        <v>3750</v>
      </c>
      <c r="R83">
        <v>132</v>
      </c>
      <c r="S83" t="str">
        <v>A+++</v>
      </c>
      <c r="T83">
        <v>4</v>
      </c>
      <c r="U83">
        <v>3</v>
      </c>
      <c r="V83" t="str">
        <v>Grondgebonden</v>
      </c>
      <c r="W83" t="str">
        <v>Tussenwoning</v>
      </c>
      <c r="X83" t="str">
        <v>N.v.t.</v>
      </c>
      <c r="Y83" t="str">
        <v>Ja</v>
      </c>
      <c r="Z83" t="str">
        <v>openbare parkeerplaats</v>
      </c>
      <c r="AA83" t="str">
        <v>2026</v>
      </c>
      <c r="AB83" t="str">
        <v>Nee</v>
      </c>
      <c r="AC83" t="str">
        <v>NEE</v>
      </c>
      <c r="AD83" t="str">
        <v>JA</v>
      </c>
    </row>
    <row r="84">
      <c r="A84" t="str">
        <v>44423694</v>
      </c>
      <c r="B84" t="str">
        <v>https://www.funda.nl/detail/koop/hoeven/huis-veranda-hoekwoning-xl-type-2-bouwnr-19/44423694/</v>
      </c>
      <c r="C84" t="str">
        <v>Bosvenne Hoeven | Fase 1 | de verkoop is gestart!</v>
      </c>
      <c r="D84" t="str">
        <v>Veranda hoekwoning XL type 2</v>
      </c>
      <c r="E84" t="str">
        <v>- 19</v>
      </c>
      <c r="F84" t="str">
        <v>4741 SK</v>
      </c>
      <c r="G84" t="str">
        <v>Hoeven</v>
      </c>
      <c r="H84" t="str">
        <v>Halderberge</v>
      </c>
      <c r="I84" t="str">
        <v>Noord-Brabant</v>
      </c>
      <c r="J84" t="str">
        <v>Zuid-Nederland</v>
      </c>
      <c r="K84" t="str">
        <v>Te koop</v>
      </c>
      <c r="L84" t="str">
        <v>Onbekend</v>
      </c>
      <c r="M84" t="str">
        <v>Onbekend</v>
      </c>
      <c r="N84">
        <v>585000</v>
      </c>
      <c r="O84" t="str">
        <v>v.o.n.</v>
      </c>
      <c r="P84">
        <v>142</v>
      </c>
      <c r="Q84">
        <v>4120</v>
      </c>
      <c r="R84">
        <v>229</v>
      </c>
      <c r="S84" t="str">
        <v>A+++</v>
      </c>
      <c r="T84">
        <v>6</v>
      </c>
      <c r="U84">
        <v>4</v>
      </c>
      <c r="V84" t="str">
        <v>Grondgebonden</v>
      </c>
      <c r="W84" t="str">
        <v>Hoekwoning</v>
      </c>
      <c r="X84" t="str">
        <v>N.v.t.</v>
      </c>
      <c r="Y84" t="str">
        <v>Ja</v>
      </c>
      <c r="Z84" t="str">
        <v>openbare parkeerplaats</v>
      </c>
      <c r="AA84" t="str">
        <v>2026</v>
      </c>
      <c r="AB84" t="str">
        <v>Nee</v>
      </c>
      <c r="AC84" t="str">
        <v>NEE</v>
      </c>
      <c r="AD84" t="str">
        <v>JA</v>
      </c>
    </row>
    <row r="85">
      <c r="A85" t="str">
        <v>44423693</v>
      </c>
      <c r="B85" t="str">
        <v>https://www.funda.nl/detail/koop/hoeven/huis-eengezinswoning-type-2-bouwnr-54/44423693/</v>
      </c>
      <c r="C85" t="str">
        <v>Bosvenne Hoeven | Fase 1 | de verkoop is gestart!</v>
      </c>
      <c r="D85" t="str">
        <v>Eengezinswoning Type 2</v>
      </c>
      <c r="E85" t="str">
        <v>- 54</v>
      </c>
      <c r="F85" t="str">
        <v>4741 SK</v>
      </c>
      <c r="G85" t="str">
        <v>Hoeven</v>
      </c>
      <c r="H85" t="str">
        <v>Halderberge</v>
      </c>
      <c r="I85" t="str">
        <v>Noord-Brabant</v>
      </c>
      <c r="J85" t="str">
        <v>Zuid-Nederland</v>
      </c>
      <c r="K85" t="str">
        <v>Te koop</v>
      </c>
      <c r="L85" t="str">
        <v>Onbekend</v>
      </c>
      <c r="M85" t="str">
        <v>Onbekend</v>
      </c>
      <c r="N85">
        <v>420000</v>
      </c>
      <c r="O85" t="str">
        <v>v.o.n.</v>
      </c>
      <c r="P85">
        <v>112</v>
      </c>
      <c r="Q85">
        <v>3750</v>
      </c>
      <c r="R85">
        <v>125</v>
      </c>
      <c r="S85" t="str">
        <v>A+++</v>
      </c>
      <c r="T85">
        <v>4</v>
      </c>
      <c r="U85">
        <v>3</v>
      </c>
      <c r="V85" t="str">
        <v>Grondgebonden</v>
      </c>
      <c r="W85" t="str">
        <v>Tussenwoning</v>
      </c>
      <c r="X85" t="str">
        <v>N.v.t.</v>
      </c>
      <c r="Y85" t="str">
        <v>Ja</v>
      </c>
      <c r="Z85" t="str">
        <v>openbare parkeerplaats</v>
      </c>
      <c r="AA85" t="str">
        <v>2026</v>
      </c>
      <c r="AB85" t="str">
        <v>Nee</v>
      </c>
      <c r="AC85" t="str">
        <v>NEE</v>
      </c>
      <c r="AD85" t="str">
        <v>JA</v>
      </c>
    </row>
    <row r="86">
      <c r="A86" t="str">
        <v>44423682</v>
      </c>
      <c r="B86" t="str">
        <v>https://www.funda.nl/detail/koop/hoeven/huis-loof-woning-type-1-bouwnr-30/44423682/</v>
      </c>
      <c r="C86" t="str">
        <v>Bosvenne Hoeven | Fase 1 | de verkoop is gestart!</v>
      </c>
      <c r="D86" t="str">
        <v>LOOF-woning Type 1</v>
      </c>
      <c r="E86" t="str">
        <v>- 30</v>
      </c>
      <c r="F86" t="str">
        <v>4741 SK</v>
      </c>
      <c r="G86" t="str">
        <v>Hoeven</v>
      </c>
      <c r="H86" t="str">
        <v>Halderberge</v>
      </c>
      <c r="I86" t="str">
        <v>Noord-Brabant</v>
      </c>
      <c r="J86" t="str">
        <v>Zuid-Nederland</v>
      </c>
      <c r="K86" t="str">
        <v>Te koop</v>
      </c>
      <c r="L86" t="str">
        <v>Onbekend</v>
      </c>
      <c r="M86" t="str">
        <v>Onbekend</v>
      </c>
      <c r="N86">
        <v>560000</v>
      </c>
      <c r="O86" t="str">
        <v>v.o.n.</v>
      </c>
      <c r="P86">
        <v>121</v>
      </c>
      <c r="Q86">
        <v>4628</v>
      </c>
      <c r="R86">
        <v>221</v>
      </c>
      <c r="S86" t="str">
        <v>A+++</v>
      </c>
      <c r="T86">
        <v>2</v>
      </c>
      <c r="U86">
        <v>1</v>
      </c>
      <c r="V86" t="str">
        <v>Grondgebonden</v>
      </c>
      <c r="W86" t="str">
        <v>2-onder-1-kapwoning</v>
      </c>
      <c r="X86" t="str">
        <v>N.v.t.</v>
      </c>
      <c r="Y86" t="str">
        <v>Ja</v>
      </c>
      <c r="Z86" t="str">
        <v>eigen parkeerplaats</v>
      </c>
      <c r="AA86" t="str">
        <v>2026</v>
      </c>
      <c r="AB86" t="str">
        <v>Nee</v>
      </c>
      <c r="AC86" t="str">
        <v>NEE</v>
      </c>
      <c r="AD86" t="str">
        <v>JA</v>
      </c>
    </row>
    <row r="87">
      <c r="A87" t="str">
        <v>44423681</v>
      </c>
      <c r="B87" t="str">
        <v>https://www.funda.nl/detail/koop/hoeven/huis-eengezinswoning-type-2-bouwnr-48/44423681/</v>
      </c>
      <c r="C87" t="str">
        <v>Bosvenne Hoeven | Fase 1 | de verkoop is gestart!</v>
      </c>
      <c r="D87" t="str">
        <v>Eengezinswoning Type 2</v>
      </c>
      <c r="E87" t="str">
        <v>- 48</v>
      </c>
      <c r="F87" t="str">
        <v>4741 SK</v>
      </c>
      <c r="G87" t="str">
        <v>Hoeven</v>
      </c>
      <c r="H87" t="str">
        <v>Halderberge</v>
      </c>
      <c r="I87" t="str">
        <v>Noord-Brabant</v>
      </c>
      <c r="J87" t="str">
        <v>Zuid-Nederland</v>
      </c>
      <c r="K87" t="str">
        <v>Te koop</v>
      </c>
      <c r="L87" t="str">
        <v>Onbekend</v>
      </c>
      <c r="M87" t="str">
        <v>Onbekend</v>
      </c>
      <c r="N87">
        <v>432500</v>
      </c>
      <c r="O87" t="str">
        <v>v.o.n.</v>
      </c>
      <c r="P87">
        <v>112</v>
      </c>
      <c r="Q87">
        <v>3862</v>
      </c>
      <c r="R87">
        <v>124</v>
      </c>
      <c r="S87" t="str">
        <v>A+++</v>
      </c>
      <c r="T87">
        <v>4</v>
      </c>
      <c r="U87">
        <v>3</v>
      </c>
      <c r="V87" t="str">
        <v>Grondgebonden</v>
      </c>
      <c r="W87" t="str">
        <v>Tussenwoning</v>
      </c>
      <c r="X87" t="str">
        <v>N.v.t.</v>
      </c>
      <c r="Y87" t="str">
        <v>Ja</v>
      </c>
      <c r="Z87" t="str">
        <v>openbare parkeerplaats</v>
      </c>
      <c r="AA87" t="str">
        <v>2026</v>
      </c>
      <c r="AB87" t="str">
        <v>Nee</v>
      </c>
      <c r="AC87" t="str">
        <v>NEE</v>
      </c>
      <c r="AD87" t="str">
        <v>JA</v>
      </c>
    </row>
    <row r="88">
      <c r="A88" t="str">
        <v>44423680</v>
      </c>
      <c r="B88" t="str">
        <v>https://www.funda.nl/detail/koop/hoeven/huis-eengezinswoning-type-2-bouwnr-50/44423680/</v>
      </c>
      <c r="C88" t="str">
        <v>Bosvenne Hoeven | Fase 1 | de verkoop is gestart!</v>
      </c>
      <c r="D88" t="str">
        <v>Eengezinswoning Type 2</v>
      </c>
      <c r="E88" t="str">
        <v>- 50</v>
      </c>
      <c r="F88" t="str">
        <v>4741 SK</v>
      </c>
      <c r="G88" t="str">
        <v>Hoeven</v>
      </c>
      <c r="H88" t="str">
        <v>Halderberge</v>
      </c>
      <c r="I88" t="str">
        <v>Noord-Brabant</v>
      </c>
      <c r="J88" t="str">
        <v>Zuid-Nederland</v>
      </c>
      <c r="K88" t="str">
        <v>Te koop</v>
      </c>
      <c r="L88" t="str">
        <v>Onbekend</v>
      </c>
      <c r="M88" t="str">
        <v>Onbekend</v>
      </c>
      <c r="N88">
        <v>432000</v>
      </c>
      <c r="O88" t="str">
        <v>v.o.n.</v>
      </c>
      <c r="P88">
        <v>112</v>
      </c>
      <c r="Q88">
        <v>3857</v>
      </c>
      <c r="R88">
        <v>123</v>
      </c>
      <c r="S88" t="str">
        <v>A+++</v>
      </c>
      <c r="T88">
        <v>4</v>
      </c>
      <c r="U88">
        <v>3</v>
      </c>
      <c r="V88" t="str">
        <v>Grondgebonden</v>
      </c>
      <c r="W88" t="str">
        <v>Tussenwoning</v>
      </c>
      <c r="X88" t="str">
        <v>N.v.t.</v>
      </c>
      <c r="Y88" t="str">
        <v>Ja</v>
      </c>
      <c r="Z88" t="str">
        <v>openbare parkeerplaats</v>
      </c>
      <c r="AA88" t="str">
        <v>2026</v>
      </c>
      <c r="AB88" t="str">
        <v>Nee</v>
      </c>
      <c r="AC88" t="str">
        <v>NEE</v>
      </c>
      <c r="AD88" t="str">
        <v>JA</v>
      </c>
    </row>
    <row r="89">
      <c r="A89" t="str">
        <v>44423687</v>
      </c>
      <c r="B89" t="str">
        <v>https://www.funda.nl/detail/koop/hoeven/huis-eengezinswoning-type-2-bouwnr-49/44423687/</v>
      </c>
      <c r="C89" t="str">
        <v>Bosvenne Hoeven | Fase 1 | de verkoop is gestart!</v>
      </c>
      <c r="D89" t="str">
        <v>Eengezinswoning Type 2</v>
      </c>
      <c r="E89" t="str">
        <v>- 49</v>
      </c>
      <c r="F89" t="str">
        <v>4741 SK</v>
      </c>
      <c r="G89" t="str">
        <v>Hoeven</v>
      </c>
      <c r="H89" t="str">
        <v>Halderberge</v>
      </c>
      <c r="I89" t="str">
        <v>Noord-Brabant</v>
      </c>
      <c r="J89" t="str">
        <v>Zuid-Nederland</v>
      </c>
      <c r="K89" t="str">
        <v>Te koop</v>
      </c>
      <c r="L89" t="str">
        <v>Onbekend</v>
      </c>
      <c r="M89" t="str">
        <v>Onbekend</v>
      </c>
      <c r="N89">
        <v>432500</v>
      </c>
      <c r="O89" t="str">
        <v>v.o.n.</v>
      </c>
      <c r="P89">
        <v>112</v>
      </c>
      <c r="Q89">
        <v>3862</v>
      </c>
      <c r="R89">
        <v>124</v>
      </c>
      <c r="S89" t="str">
        <v>A+++</v>
      </c>
      <c r="T89">
        <v>4</v>
      </c>
      <c r="U89">
        <v>3</v>
      </c>
      <c r="V89" t="str">
        <v>Grondgebonden</v>
      </c>
      <c r="W89" t="str">
        <v>Tussenwoning</v>
      </c>
      <c r="X89" t="str">
        <v>N.v.t.</v>
      </c>
      <c r="Y89" t="str">
        <v>Ja</v>
      </c>
      <c r="Z89" t="str">
        <v>openbare parkeerplaats</v>
      </c>
      <c r="AA89" t="str">
        <v>2026</v>
      </c>
      <c r="AB89" t="str">
        <v>Nee</v>
      </c>
      <c r="AC89" t="str">
        <v>NEE</v>
      </c>
      <c r="AD89" t="str">
        <v>JA</v>
      </c>
    </row>
    <row r="90">
      <c r="A90" t="str">
        <v>44423686</v>
      </c>
      <c r="B90" t="str">
        <v>https://www.funda.nl/detail/koop/hoeven/huis-loof-woning-type-1-bouwnr-31/44423686/</v>
      </c>
      <c r="C90" t="str">
        <v>Bosvenne Hoeven | Fase 1 | de verkoop is gestart!</v>
      </c>
      <c r="D90" t="str">
        <v>LOOF-woning Type 1</v>
      </c>
      <c r="E90" t="str">
        <v>- 31</v>
      </c>
      <c r="F90" t="str">
        <v>4741 SK</v>
      </c>
      <c r="G90" t="str">
        <v>Hoeven</v>
      </c>
      <c r="H90" t="str">
        <v>Halderberge</v>
      </c>
      <c r="I90" t="str">
        <v>Noord-Brabant</v>
      </c>
      <c r="J90" t="str">
        <v>Zuid-Nederland</v>
      </c>
      <c r="K90" t="str">
        <v>Te koop</v>
      </c>
      <c r="L90" t="str">
        <v>Onbekend</v>
      </c>
      <c r="M90" t="str">
        <v>Onbekend</v>
      </c>
      <c r="N90">
        <v>560000</v>
      </c>
      <c r="O90" t="str">
        <v>v.o.n.</v>
      </c>
      <c r="P90">
        <v>121</v>
      </c>
      <c r="Q90">
        <v>4628</v>
      </c>
      <c r="R90">
        <v>221</v>
      </c>
      <c r="S90" t="str">
        <v>A+++</v>
      </c>
      <c r="T90">
        <v>2</v>
      </c>
      <c r="U90">
        <v>1</v>
      </c>
      <c r="V90" t="str">
        <v>Grondgebonden</v>
      </c>
      <c r="W90" t="str">
        <v>2-onder-1-kapwoning</v>
      </c>
      <c r="X90" t="str">
        <v>N.v.t.</v>
      </c>
      <c r="Y90" t="str">
        <v>Ja</v>
      </c>
      <c r="Z90" t="str">
        <v>eigen parkeerplaats</v>
      </c>
      <c r="AA90" t="str">
        <v>2026</v>
      </c>
      <c r="AB90" t="str">
        <v>Nee</v>
      </c>
      <c r="AC90" t="str">
        <v>NEE</v>
      </c>
      <c r="AD90" t="str">
        <v>JA</v>
      </c>
    </row>
    <row r="91">
      <c r="A91" t="str">
        <v>44423685</v>
      </c>
      <c r="B91" t="str">
        <v>https://www.funda.nl/detail/koop/hoeven/huis-eengezinswoning-type-2-bouwnr-57/44423685/</v>
      </c>
      <c r="C91" t="str">
        <v>Bosvenne Hoeven | Fase 1 | de verkoop is gestart!</v>
      </c>
      <c r="D91" t="str">
        <v>Eengezinswoning Type 2</v>
      </c>
      <c r="E91" t="str">
        <v>- 57</v>
      </c>
      <c r="F91" t="str">
        <v>4741 SK</v>
      </c>
      <c r="G91" t="str">
        <v>Hoeven</v>
      </c>
      <c r="H91" t="str">
        <v>Halderberge</v>
      </c>
      <c r="I91" t="str">
        <v>Noord-Brabant</v>
      </c>
      <c r="J91" t="str">
        <v>Zuid-Nederland</v>
      </c>
      <c r="K91" t="str">
        <v>Te koop</v>
      </c>
      <c r="L91" t="str">
        <v>Onbekend</v>
      </c>
      <c r="M91" t="str">
        <v>Onbekend</v>
      </c>
      <c r="N91">
        <v>420000</v>
      </c>
      <c r="O91" t="str">
        <v>v.o.n.</v>
      </c>
      <c r="P91">
        <v>112</v>
      </c>
      <c r="Q91">
        <v>3750</v>
      </c>
      <c r="R91">
        <v>125</v>
      </c>
      <c r="S91" t="str">
        <v>A+++</v>
      </c>
      <c r="T91">
        <v>4</v>
      </c>
      <c r="U91">
        <v>3</v>
      </c>
      <c r="V91" t="str">
        <v>Grondgebonden</v>
      </c>
      <c r="W91" t="str">
        <v>Tussenwoning</v>
      </c>
      <c r="X91" t="str">
        <v>N.v.t.</v>
      </c>
      <c r="Y91" t="str">
        <v>Ja</v>
      </c>
      <c r="Z91" t="str">
        <v>openbare parkeerplaats</v>
      </c>
      <c r="AA91" t="str">
        <v>2026</v>
      </c>
      <c r="AB91" t="str">
        <v>Nee</v>
      </c>
      <c r="AC91" t="str">
        <v>NEE</v>
      </c>
      <c r="AD91" t="str">
        <v>JA</v>
      </c>
    </row>
    <row r="92">
      <c r="A92" t="str">
        <v>44423683</v>
      </c>
      <c r="B92" t="str">
        <v>https://www.funda.nl/detail/koop/hoeven/huis-loof-woning-type-2-bouwnr-33/44423683/</v>
      </c>
      <c r="C92" t="str">
        <v>Bosvenne Hoeven | Fase 1 | de verkoop is gestart!</v>
      </c>
      <c r="D92" t="str">
        <v>LOOF-woning Type 2</v>
      </c>
      <c r="E92" t="str">
        <v>- 33</v>
      </c>
      <c r="F92" t="str">
        <v>4741 SK</v>
      </c>
      <c r="G92" t="str">
        <v>Hoeven</v>
      </c>
      <c r="H92" t="str">
        <v>Halderberge</v>
      </c>
      <c r="I92" t="str">
        <v>Noord-Brabant</v>
      </c>
      <c r="J92" t="str">
        <v>Zuid-Nederland</v>
      </c>
      <c r="K92" t="str">
        <v>Te koop</v>
      </c>
      <c r="L92" t="str">
        <v>Onbekend</v>
      </c>
      <c r="M92" t="str">
        <v>Onbekend</v>
      </c>
      <c r="N92">
        <v>575000</v>
      </c>
      <c r="O92" t="str">
        <v>v.o.n.</v>
      </c>
      <c r="P92">
        <v>121</v>
      </c>
      <c r="Q92">
        <v>4752</v>
      </c>
      <c r="R92">
        <v>226</v>
      </c>
      <c r="S92" t="str">
        <v>A+++</v>
      </c>
      <c r="T92">
        <v>2</v>
      </c>
      <c r="U92">
        <v>1</v>
      </c>
      <c r="V92" t="str">
        <v>Grondgebonden</v>
      </c>
      <c r="W92" t="str">
        <v>2-onder-1-kapwoning</v>
      </c>
      <c r="X92" t="str">
        <v>N.v.t.</v>
      </c>
      <c r="Y92" t="str">
        <v>Ja</v>
      </c>
      <c r="Z92" t="str">
        <v>eigen parkeerplaats</v>
      </c>
      <c r="AA92" t="str">
        <v>2026</v>
      </c>
      <c r="AB92" t="str">
        <v>Nee</v>
      </c>
      <c r="AC92" t="str">
        <v>NEE</v>
      </c>
      <c r="AD92" t="str">
        <v>JA</v>
      </c>
    </row>
    <row r="93">
      <c r="A93" t="str">
        <v>44423671</v>
      </c>
      <c r="B93" t="str">
        <v>https://www.funda.nl/detail/koop/hoeven/huis-loof-woning-xl-bouwnr-32/44423671/</v>
      </c>
      <c r="C93" t="str">
        <v>Bosvenne Hoeven | Fase 1 | de verkoop is gestart!</v>
      </c>
      <c r="D93" t="str">
        <v>LOOF-woning XL</v>
      </c>
      <c r="E93" t="str">
        <v>- 32</v>
      </c>
      <c r="F93" t="str">
        <v>4741 SK</v>
      </c>
      <c r="G93" t="str">
        <v>Hoeven</v>
      </c>
      <c r="H93" t="str">
        <v>Halderberge</v>
      </c>
      <c r="I93" t="str">
        <v>Noord-Brabant</v>
      </c>
      <c r="J93" t="str">
        <v>Zuid-Nederland</v>
      </c>
      <c r="K93" t="str">
        <v>Te koop</v>
      </c>
      <c r="L93" t="str">
        <v>Onbekend</v>
      </c>
      <c r="M93" t="str">
        <v>Onbekend</v>
      </c>
      <c r="N93">
        <v>585000</v>
      </c>
      <c r="O93" t="str">
        <v>v.o.n.</v>
      </c>
      <c r="P93">
        <v>135</v>
      </c>
      <c r="Q93">
        <v>4333</v>
      </c>
      <c r="R93">
        <v>221</v>
      </c>
      <c r="S93" t="str">
        <v>A+++</v>
      </c>
      <c r="T93">
        <v>2</v>
      </c>
      <c r="U93">
        <v>1</v>
      </c>
      <c r="V93" t="str">
        <v>Grondgebonden</v>
      </c>
      <c r="W93" t="str">
        <v>2-onder-1-kapwoning</v>
      </c>
      <c r="X93" t="str">
        <v>N.v.t.</v>
      </c>
      <c r="Y93" t="str">
        <v>Ja</v>
      </c>
      <c r="Z93" t="str">
        <v>eigen parkeerplaats</v>
      </c>
      <c r="AA93" t="str">
        <v>2026</v>
      </c>
      <c r="AB93" t="str">
        <v>Nee</v>
      </c>
      <c r="AC93" t="str">
        <v>NEE</v>
      </c>
      <c r="AD93" t="str">
        <v>JA</v>
      </c>
    </row>
    <row r="94">
      <c r="A94" t="str">
        <v>44423679</v>
      </c>
      <c r="B94" t="str">
        <v>https://www.funda.nl/detail/koop/hoeven/huis-loof-woning-xl-bouwnr-28/44423679/</v>
      </c>
      <c r="C94" t="str">
        <v>Bosvenne Hoeven | Fase 1 | de verkoop is gestart!</v>
      </c>
      <c r="D94" t="str">
        <v>LOOF-woning XL</v>
      </c>
      <c r="E94" t="str">
        <v>- 28</v>
      </c>
      <c r="F94" t="str">
        <v>4741 SK</v>
      </c>
      <c r="G94" t="str">
        <v>Hoeven</v>
      </c>
      <c r="H94" t="str">
        <v>Halderberge</v>
      </c>
      <c r="I94" t="str">
        <v>Noord-Brabant</v>
      </c>
      <c r="J94" t="str">
        <v>Zuid-Nederland</v>
      </c>
      <c r="K94" t="str">
        <v>Te koop</v>
      </c>
      <c r="L94" t="str">
        <v>Onbekend</v>
      </c>
      <c r="M94" t="str">
        <v>Onbekend</v>
      </c>
      <c r="N94">
        <v>605000</v>
      </c>
      <c r="O94" t="str">
        <v>v.o.n.</v>
      </c>
      <c r="P94">
        <v>135</v>
      </c>
      <c r="Q94">
        <v>4481</v>
      </c>
      <c r="R94">
        <v>230</v>
      </c>
      <c r="S94" t="str">
        <v>A+++</v>
      </c>
      <c r="T94">
        <v>2</v>
      </c>
      <c r="U94">
        <v>1</v>
      </c>
      <c r="V94" t="str">
        <v>Grondgebonden</v>
      </c>
      <c r="W94" t="str">
        <v>2-onder-1-kapwoning</v>
      </c>
      <c r="X94" t="str">
        <v>N.v.t.</v>
      </c>
      <c r="Y94" t="str">
        <v>Ja</v>
      </c>
      <c r="Z94" t="str">
        <v>eigen parkeerplaats</v>
      </c>
      <c r="AA94" t="str">
        <v>2026</v>
      </c>
      <c r="AB94" t="str">
        <v>Nee</v>
      </c>
      <c r="AC94" t="str">
        <v>NEE</v>
      </c>
      <c r="AD94" t="str">
        <v>JA</v>
      </c>
    </row>
    <row r="95">
      <c r="A95" t="str">
        <v>44423678</v>
      </c>
      <c r="B95" t="str">
        <v>https://www.funda.nl/detail/koop/hoeven/appartement-appartement-type-a-bouwnr-a3/44423678/</v>
      </c>
      <c r="C95" t="str">
        <v>Bosvenne Hoeven | Fase 1 | de verkoop is gestart!</v>
      </c>
      <c r="D95" t="str">
        <v>Appartement type A</v>
      </c>
      <c r="E95" t="str">
        <v>- A3</v>
      </c>
      <c r="F95" t="str">
        <v>4741 SK</v>
      </c>
      <c r="G95" t="str">
        <v>Hoeven</v>
      </c>
      <c r="H95" t="str">
        <v>Halderberge</v>
      </c>
      <c r="I95" t="str">
        <v>Noord-Brabant</v>
      </c>
      <c r="J95" t="str">
        <v>Zuid-Nederland</v>
      </c>
      <c r="K95" t="str">
        <v>Te koop</v>
      </c>
      <c r="L95" t="str">
        <v>Onbekend</v>
      </c>
      <c r="M95" t="str">
        <v>Onbekend</v>
      </c>
      <c r="N95">
        <v>570000</v>
      </c>
      <c r="O95" t="str">
        <v>v.o.n.</v>
      </c>
      <c r="P95">
        <v>111</v>
      </c>
      <c r="Q95">
        <v>5135</v>
      </c>
      <c r="R95" t="str">
        <v>Onbekend</v>
      </c>
      <c r="S95" t="str">
        <v>A+++</v>
      </c>
      <c r="T95">
        <v>1</v>
      </c>
      <c r="U95" t="str">
        <v>Onbekend</v>
      </c>
      <c r="V95" t="str">
        <v>Appartement</v>
      </c>
      <c r="W95" t="str">
        <v>Appartement</v>
      </c>
      <c r="X95" t="str">
        <v>Appartement &gt;100 m²</v>
      </c>
      <c r="Y95" t="str">
        <v>Ja</v>
      </c>
      <c r="Z95" t="str">
        <v>garage</v>
      </c>
      <c r="AA95" t="str">
        <v>2026</v>
      </c>
      <c r="AB95" t="str">
        <v>Nee</v>
      </c>
      <c r="AC95" t="str">
        <v>NEE</v>
      </c>
      <c r="AD95" t="str">
        <v>JA</v>
      </c>
    </row>
    <row r="96">
      <c r="A96" t="str">
        <v>44423629</v>
      </c>
      <c r="B96" t="str">
        <v>https://www.funda.nl/detail/koop/hoeven/huis-eengezinswoning-xl-bouwnr-39/44423629/</v>
      </c>
      <c r="C96" t="str">
        <v>Bosvenne Hoeven | Fase 1 | de verkoop is gestart!</v>
      </c>
      <c r="D96" t="str">
        <v>Eengezinswoning XL</v>
      </c>
      <c r="E96" t="str">
        <v>- 39</v>
      </c>
      <c r="F96" t="str">
        <v>4741 SK</v>
      </c>
      <c r="G96" t="str">
        <v>Hoeven</v>
      </c>
      <c r="H96" t="str">
        <v>Halderberge</v>
      </c>
      <c r="I96" t="str">
        <v>Noord-Brabant</v>
      </c>
      <c r="J96" t="str">
        <v>Zuid-Nederland</v>
      </c>
      <c r="K96" t="str">
        <v>Te koop</v>
      </c>
      <c r="L96" t="str">
        <v>Onbekend</v>
      </c>
      <c r="M96" t="str">
        <v>Onbekend</v>
      </c>
      <c r="N96">
        <v>492500</v>
      </c>
      <c r="O96" t="str">
        <v>v.o.n.</v>
      </c>
      <c r="P96">
        <v>129</v>
      </c>
      <c r="Q96">
        <v>3818</v>
      </c>
      <c r="R96">
        <v>138</v>
      </c>
      <c r="S96" t="str">
        <v>A+++</v>
      </c>
      <c r="T96">
        <v>4</v>
      </c>
      <c r="U96">
        <v>3</v>
      </c>
      <c r="V96" t="str">
        <v>Grondgebonden</v>
      </c>
      <c r="W96" t="str">
        <v>Tussenwoning</v>
      </c>
      <c r="X96" t="str">
        <v>N.v.t.</v>
      </c>
      <c r="Y96" t="str">
        <v>Ja</v>
      </c>
      <c r="Z96" t="str">
        <v>openbare parkeerplaats</v>
      </c>
      <c r="AA96" t="str">
        <v>2026</v>
      </c>
      <c r="AB96" t="str">
        <v>Nee</v>
      </c>
      <c r="AC96" t="str">
        <v>NEE</v>
      </c>
      <c r="AD96" t="str">
        <v>JA</v>
      </c>
    </row>
    <row r="97">
      <c r="A97" t="str">
        <v>44423612</v>
      </c>
      <c r="B97" t="str">
        <v>https://www.funda.nl/detail/koop/hoeven/huis-eengezinswoning-xl-bouwnr-38/44423612/</v>
      </c>
      <c r="C97" t="str">
        <v>Bosvenne Hoeven | Fase 1 | de verkoop is gestart!</v>
      </c>
      <c r="D97" t="str">
        <v>Eengezinswoning XL</v>
      </c>
      <c r="E97" t="str">
        <v>- 38</v>
      </c>
      <c r="F97" t="str">
        <v>4741 SK</v>
      </c>
      <c r="G97" t="str">
        <v>Hoeven</v>
      </c>
      <c r="H97" t="str">
        <v>Halderberge</v>
      </c>
      <c r="I97" t="str">
        <v>Noord-Brabant</v>
      </c>
      <c r="J97" t="str">
        <v>Zuid-Nederland</v>
      </c>
      <c r="K97" t="str">
        <v>Te koop</v>
      </c>
      <c r="L97" t="str">
        <v>Onbekend</v>
      </c>
      <c r="M97" t="str">
        <v>Onbekend</v>
      </c>
      <c r="N97">
        <v>492500</v>
      </c>
      <c r="O97" t="str">
        <v>v.o.n.</v>
      </c>
      <c r="P97">
        <v>129</v>
      </c>
      <c r="Q97">
        <v>3818</v>
      </c>
      <c r="R97">
        <v>138</v>
      </c>
      <c r="S97" t="str">
        <v>A+++</v>
      </c>
      <c r="T97">
        <v>4</v>
      </c>
      <c r="U97">
        <v>3</v>
      </c>
      <c r="V97" t="str">
        <v>Grondgebonden</v>
      </c>
      <c r="W97" t="str">
        <v>Tussenwoning</v>
      </c>
      <c r="X97" t="str">
        <v>N.v.t.</v>
      </c>
      <c r="Y97" t="str">
        <v>Ja</v>
      </c>
      <c r="Z97" t="str">
        <v>openbare parkeerplaats</v>
      </c>
      <c r="AA97" t="str">
        <v>2026</v>
      </c>
      <c r="AB97" t="str">
        <v>Nee</v>
      </c>
      <c r="AC97" t="str">
        <v>NEE</v>
      </c>
      <c r="AD97" t="str">
        <v>JA</v>
      </c>
    </row>
    <row r="98">
      <c r="A98" t="str">
        <v>44423618</v>
      </c>
      <c r="B98" t="str">
        <v>https://www.funda.nl/detail/koop/hoeven/huis-eengezinswoning-xl-bouwnr-37/44423618/</v>
      </c>
      <c r="C98" t="str">
        <v>Bosvenne Hoeven | Fase 1 | de verkoop is gestart!</v>
      </c>
      <c r="D98" t="str">
        <v>Eengezinswoning XL</v>
      </c>
      <c r="E98" t="str">
        <v>- 37</v>
      </c>
      <c r="F98" t="str">
        <v>4741 SK</v>
      </c>
      <c r="G98" t="str">
        <v>Hoeven</v>
      </c>
      <c r="H98" t="str">
        <v>Halderberge</v>
      </c>
      <c r="I98" t="str">
        <v>Noord-Brabant</v>
      </c>
      <c r="J98" t="str">
        <v>Zuid-Nederland</v>
      </c>
      <c r="K98" t="str">
        <v>Te koop</v>
      </c>
      <c r="L98" t="str">
        <v>2026-07-09</v>
      </c>
      <c r="M98">
        <v>4</v>
      </c>
      <c r="N98">
        <v>492500</v>
      </c>
      <c r="O98" t="str">
        <v>v.o.n.</v>
      </c>
      <c r="P98">
        <v>129</v>
      </c>
      <c r="Q98">
        <v>3818</v>
      </c>
      <c r="R98">
        <v>138</v>
      </c>
      <c r="S98" t="str">
        <v>A+++</v>
      </c>
      <c r="T98">
        <v>4</v>
      </c>
      <c r="U98">
        <v>3</v>
      </c>
      <c r="V98" t="str">
        <v>Grondgebonden</v>
      </c>
      <c r="W98" t="str">
        <v>Tussenwoning</v>
      </c>
      <c r="X98" t="str">
        <v>N.v.t.</v>
      </c>
      <c r="Y98" t="str">
        <v>Ja</v>
      </c>
      <c r="Z98" t="str">
        <v>openbare parkeerplaats</v>
      </c>
      <c r="AA98" t="str">
        <v>2026</v>
      </c>
      <c r="AB98" t="str">
        <v>Nee</v>
      </c>
      <c r="AC98" t="str">
        <v>NEE</v>
      </c>
      <c r="AD98" t="str">
        <v>JA</v>
      </c>
    </row>
    <row r="99">
      <c r="A99" t="str">
        <v>44423608</v>
      </c>
      <c r="B99" t="str">
        <v>https://www.funda.nl/detail/koop/hoeven/huis-hoekwoning-xl-type-2-bouwnr-36/44423608/</v>
      </c>
      <c r="C99" t="str">
        <v>Bosvenne Hoeven | Fase 1 | de verkoop is gestart!</v>
      </c>
      <c r="D99" t="str">
        <v>Hoekwoning XL Type 2</v>
      </c>
      <c r="E99" t="str">
        <v>- 36</v>
      </c>
      <c r="F99" t="str">
        <v>4741 SK</v>
      </c>
      <c r="G99" t="str">
        <v>Hoeven</v>
      </c>
      <c r="H99" t="str">
        <v>Halderberge</v>
      </c>
      <c r="I99" t="str">
        <v>Noord-Brabant</v>
      </c>
      <c r="J99" t="str">
        <v>Zuid-Nederland</v>
      </c>
      <c r="K99" t="str">
        <v>Te koop</v>
      </c>
      <c r="L99" t="str">
        <v>Onbekend</v>
      </c>
      <c r="M99" t="str">
        <v>Onbekend</v>
      </c>
      <c r="N99">
        <v>570000</v>
      </c>
      <c r="O99" t="str">
        <v>v.o.n.</v>
      </c>
      <c r="P99">
        <v>142</v>
      </c>
      <c r="Q99">
        <v>4014</v>
      </c>
      <c r="R99">
        <v>208</v>
      </c>
      <c r="S99" t="str">
        <v>A+++</v>
      </c>
      <c r="T99">
        <v>4</v>
      </c>
      <c r="U99">
        <v>3</v>
      </c>
      <c r="V99" t="str">
        <v>Grondgebonden</v>
      </c>
      <c r="W99" t="str">
        <v>Hoekwoning</v>
      </c>
      <c r="X99" t="str">
        <v>N.v.t.</v>
      </c>
      <c r="Y99" t="str">
        <v>Ja</v>
      </c>
      <c r="Z99" t="str">
        <v>openbare parkeerplaats</v>
      </c>
      <c r="AA99" t="str">
        <v>2026</v>
      </c>
      <c r="AB99" t="str">
        <v>Nee</v>
      </c>
      <c r="AC99" t="str">
        <v>NEE</v>
      </c>
      <c r="AD99" t="str">
        <v>JA</v>
      </c>
    </row>
    <row r="100">
      <c r="A100" t="str">
        <v>44423643</v>
      </c>
      <c r="B100" t="str">
        <v>https://www.funda.nl/detail/koop/hoeven/appartement-appartement-type-d-bouwnr-a4/44423643/</v>
      </c>
      <c r="C100" t="str">
        <v>Bosvenne Hoeven | Fase 1 | de verkoop is gestart!</v>
      </c>
      <c r="D100" t="str">
        <v>Appartement type D</v>
      </c>
      <c r="E100" t="str">
        <v>- A4</v>
      </c>
      <c r="F100" t="str">
        <v>4741 SK</v>
      </c>
      <c r="G100" t="str">
        <v>Hoeven</v>
      </c>
      <c r="H100" t="str">
        <v>Halderberge</v>
      </c>
      <c r="I100" t="str">
        <v>Noord-Brabant</v>
      </c>
      <c r="J100" t="str">
        <v>Zuid-Nederland</v>
      </c>
      <c r="K100" t="str">
        <v>Te koop</v>
      </c>
      <c r="L100" t="str">
        <v>Onbekend</v>
      </c>
      <c r="M100" t="str">
        <v>Onbekend</v>
      </c>
      <c r="N100">
        <v>485000</v>
      </c>
      <c r="O100" t="str">
        <v>v.o.n.</v>
      </c>
      <c r="P100">
        <v>99</v>
      </c>
      <c r="Q100">
        <v>4899</v>
      </c>
      <c r="R100" t="str">
        <v>Onbekend</v>
      </c>
      <c r="S100" t="str">
        <v>A+++</v>
      </c>
      <c r="T100">
        <v>1</v>
      </c>
      <c r="U100" t="str">
        <v>Onbekend</v>
      </c>
      <c r="V100" t="str">
        <v>Appartement</v>
      </c>
      <c r="W100" t="str">
        <v>Appartement</v>
      </c>
      <c r="X100" t="str">
        <v>Appartement 75-100 m²</v>
      </c>
      <c r="Y100" t="str">
        <v>Ja</v>
      </c>
      <c r="Z100" t="str">
        <v>garage</v>
      </c>
      <c r="AA100" t="str">
        <v>2026</v>
      </c>
      <c r="AB100" t="str">
        <v>Nee</v>
      </c>
      <c r="AC100" t="str">
        <v>NEE</v>
      </c>
      <c r="AD100" t="str">
        <v>JA</v>
      </c>
    </row>
  </sheetData>
  <autoFilter ref="A26:AD100"/>
  <ignoredErrors>
    <ignoredError numberStoredAsText="1" sqref="A1:AD100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Hardenberg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467000</v>
      </c>
    </row>
    <row r="9">
      <c r="A9" t="str">
        <v>Mediaan VON-prijs (€)</v>
      </c>
      <c r="B9">
        <v>467000</v>
      </c>
    </row>
    <row r="10">
      <c r="A10" t="str">
        <v>Gemiddelde VON-prijs per m² (€)</v>
      </c>
      <c r="B10">
        <v>3072</v>
      </c>
    </row>
    <row r="11">
      <c r="A11" t="str">
        <v>Mediaan VON-prijs per m² (€)</v>
      </c>
      <c r="B11">
        <v>3072</v>
      </c>
    </row>
    <row r="12">
      <c r="A12" t="str">
        <v>Gemiddelde GBO (m²)</v>
      </c>
      <c r="B12">
        <v>152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2-onder-1-kapwoning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Hardenberg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44424875</v>
      </c>
      <c r="B23" t="str">
        <v>https://www.funda.nl/detail/koop/bergentheim/huis-grendelmanstraat-b28/44424875/</v>
      </c>
      <c r="C23" t="str">
        <v>Onbekend</v>
      </c>
      <c r="D23" t="str">
        <v>Grendelmanstraat B28</v>
      </c>
      <c r="E23" t="str">
        <v>Onbekend</v>
      </c>
      <c r="F23" t="str">
        <v>7691 PV</v>
      </c>
      <c r="G23" t="str">
        <v>Bergentheim</v>
      </c>
      <c r="H23" t="str">
        <v>Hardenberg</v>
      </c>
      <c r="I23" t="str">
        <v>Overijssel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467000</v>
      </c>
      <c r="O23" t="str">
        <v>v.o.n.</v>
      </c>
      <c r="P23">
        <v>152</v>
      </c>
      <c r="Q23">
        <v>3072</v>
      </c>
      <c r="R23">
        <v>361</v>
      </c>
      <c r="S23" t="str">
        <v>Niet beschikbaar</v>
      </c>
      <c r="T23">
        <v>4</v>
      </c>
      <c r="U23">
        <v>3</v>
      </c>
      <c r="V23" t="str">
        <v>Grondgebonden</v>
      </c>
      <c r="W23" t="str">
        <v>2-onder-1-kapwoning</v>
      </c>
      <c r="X23" t="str">
        <v>N.v.t.</v>
      </c>
      <c r="Y23" t="str">
        <v>Ja</v>
      </c>
      <c r="Z23" t="str">
        <v>eigen parkeerplaats</v>
      </c>
      <c r="AA23" t="str">
        <v>2027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AD97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Hengelo (O)</v>
      </c>
    </row>
    <row r="3">
      <c r="A3" t="str">
        <v>Samenvatting</v>
      </c>
    </row>
    <row r="4">
      <c r="A4" t="str">
        <v>Aantal woningen</v>
      </c>
      <c r="B4">
        <v>70</v>
      </c>
    </row>
    <row r="5">
      <c r="A5" t="str">
        <v>Aantal te koop</v>
      </c>
      <c r="B5">
        <v>70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430561</v>
      </c>
    </row>
    <row r="9">
      <c r="A9" t="str">
        <v>Mediaan VON-prijs (€)</v>
      </c>
      <c r="B9">
        <v>385000</v>
      </c>
    </row>
    <row r="10">
      <c r="A10" t="str">
        <v>Gemiddelde VON-prijs per m² (€)</v>
      </c>
      <c r="B10">
        <v>4842</v>
      </c>
    </row>
    <row r="11">
      <c r="A11" t="str">
        <v>Mediaan VON-prijs per m² (€)</v>
      </c>
      <c r="B11">
        <v>5000</v>
      </c>
    </row>
    <row r="12">
      <c r="A12" t="str">
        <v>Gemiddelde GBO (m²)</v>
      </c>
      <c r="B12">
        <v>89</v>
      </c>
    </row>
    <row r="13">
      <c r="A13" t="str">
        <v>Gemiddelde looptijd (dagen)</v>
      </c>
      <c r="B13">
        <v>7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Hoekwoning</v>
      </c>
      <c r="B17">
        <v>4</v>
      </c>
    </row>
    <row r="18">
      <c r="A18" t="str">
        <v>Tussenwoning</v>
      </c>
      <c r="B18">
        <v>8</v>
      </c>
    </row>
    <row r="20">
      <c r="A20" t="str">
        <v>Uitsplitsing appartementcategorieen</v>
      </c>
      <c r="B20" t="str">
        <v>Aantal</v>
      </c>
    </row>
    <row r="21">
      <c r="A21" t="str">
        <v>Appartement &lt;50 m²</v>
      </c>
      <c r="B21">
        <v>3</v>
      </c>
    </row>
    <row r="22">
      <c r="A22" t="str">
        <v>Appartement 50-75 m²</v>
      </c>
      <c r="B22">
        <v>13</v>
      </c>
    </row>
    <row r="23">
      <c r="A23" t="str">
        <v>Appartement 75-100 m²</v>
      </c>
      <c r="B23">
        <v>30</v>
      </c>
    </row>
    <row r="24">
      <c r="A24" t="str">
        <v>Appartement &gt;100 m²</v>
      </c>
      <c r="B24">
        <v>12</v>
      </c>
    </row>
    <row r="26">
      <c r="A26" t="str">
        <v>Alle woningen in Hengelo (O)</v>
      </c>
    </row>
    <row r="27">
      <c r="A27" t="str">
        <v>Funda ID</v>
      </c>
      <c r="B27" t="str">
        <v>Funda URL</v>
      </c>
      <c r="C27" t="str">
        <v>Projectnaam</v>
      </c>
      <c r="D27" t="str">
        <v>Adres</v>
      </c>
      <c r="E27" t="str">
        <v>Bouwnummer</v>
      </c>
      <c r="F27" t="str">
        <v>Postcode</v>
      </c>
      <c r="G27" t="str">
        <v>Plaats</v>
      </c>
      <c r="H27" t="str">
        <v>Gemeente</v>
      </c>
      <c r="I27" t="str">
        <v>Provincie</v>
      </c>
      <c r="J27" t="str">
        <v>Regio</v>
      </c>
      <c r="K27" t="str">
        <v>Status</v>
      </c>
      <c r="L27" t="str">
        <v>Datum plaatsing</v>
      </c>
      <c r="M27" t="str">
        <v>Looptijd (dagen)</v>
      </c>
      <c r="N27" t="str">
        <v>Vraagprijs (€)</v>
      </c>
      <c r="O27" t="str">
        <v>Kostenlabel</v>
      </c>
      <c r="P27" t="str">
        <v>GBO (m²)</v>
      </c>
      <c r="Q27" t="str">
        <v>VON-prijs per m² (€)</v>
      </c>
      <c r="R27" t="str">
        <v>Perceeloppervlakte (m²)</v>
      </c>
      <c r="S27" t="str">
        <v>Energielabel</v>
      </c>
      <c r="T27" t="str">
        <v>Aantal kamers</v>
      </c>
      <c r="U27" t="str">
        <v>Aantal slaapkamers</v>
      </c>
      <c r="V27" t="str">
        <v>Woningcategorie</v>
      </c>
      <c r="W27" t="str">
        <v>Woningtype</v>
      </c>
      <c r="X27" t="str">
        <v>Appartement categorie</v>
      </c>
      <c r="Y27" t="str">
        <v>Parkeerplaats</v>
      </c>
      <c r="Z27" t="str">
        <v>Type parkeerplaats</v>
      </c>
      <c r="AA27" t="str">
        <v>Bouwjaar</v>
      </c>
      <c r="AB27" t="str">
        <v>Prijs op aanvraag</v>
      </c>
      <c r="AC27" t="str">
        <v>Outlier flag</v>
      </c>
      <c r="AD27" t="str">
        <v>GemeenteOK</v>
      </c>
    </row>
    <row r="28">
      <c r="A28" t="str">
        <v>44420190</v>
      </c>
      <c r="B28" t="str">
        <v>https://www.funda.nl/detail/koop/hengelo-ov/appartement-studio-s-bouwnr-a6/44420190/</v>
      </c>
      <c r="C28" t="str">
        <v>Noaberhof de Rijkskweek</v>
      </c>
      <c r="D28" t="str">
        <v>Studio's</v>
      </c>
      <c r="E28" t="str">
        <v>A6</v>
      </c>
      <c r="F28" t="str">
        <v>7551</v>
      </c>
      <c r="G28" t="str">
        <v>Hengelo (OV)</v>
      </c>
      <c r="H28" t="str">
        <v>Hengelo (O)</v>
      </c>
      <c r="I28" t="str">
        <v>Overijssel</v>
      </c>
      <c r="J28" t="str">
        <v>Oost-Nederland</v>
      </c>
      <c r="K28" t="str">
        <v>Te koop</v>
      </c>
      <c r="L28" t="str">
        <v>Onbekend</v>
      </c>
      <c r="M28" t="str">
        <v>Onbekend</v>
      </c>
      <c r="N28">
        <v>325000</v>
      </c>
      <c r="O28" t="str">
        <v>v.o.n.</v>
      </c>
      <c r="P28">
        <v>65</v>
      </c>
      <c r="Q28">
        <v>5000</v>
      </c>
      <c r="R28" t="str">
        <v>Onbekend</v>
      </c>
      <c r="S28" t="str">
        <v>A++</v>
      </c>
      <c r="T28">
        <v>2</v>
      </c>
      <c r="U28">
        <v>1</v>
      </c>
      <c r="V28" t="str">
        <v>Appartement</v>
      </c>
      <c r="W28" t="str">
        <v>Appartement</v>
      </c>
      <c r="X28" t="str">
        <v>Appartement 50-75 m²</v>
      </c>
      <c r="Y28" t="str">
        <v>Ja</v>
      </c>
      <c r="Z28" t="str">
        <v>parkeerterrein</v>
      </c>
      <c r="AA28" t="str">
        <v>Na 2020</v>
      </c>
      <c r="AB28" t="str">
        <v>Nee</v>
      </c>
      <c r="AC28" t="str">
        <v>NEE</v>
      </c>
      <c r="AD28" t="str">
        <v>JA</v>
      </c>
    </row>
    <row r="29">
      <c r="A29" t="str">
        <v>44420180</v>
      </c>
      <c r="B29" t="str">
        <v>https://www.funda.nl/detail/koop/hengelo-ov/huis-stadswoningen-bouwnr-c5/44420180/</v>
      </c>
      <c r="C29" t="str">
        <v>Noaberhof de Rijkskweek</v>
      </c>
      <c r="D29" t="str">
        <v>Stadswoningen</v>
      </c>
      <c r="E29" t="str">
        <v>C5</v>
      </c>
      <c r="F29" t="str">
        <v>7551</v>
      </c>
      <c r="G29" t="str">
        <v>Hengelo (OV)</v>
      </c>
      <c r="H29" t="str">
        <v>Hengelo (O)</v>
      </c>
      <c r="I29" t="str">
        <v>Overijssel</v>
      </c>
      <c r="J29" t="str">
        <v>Oost-Nederland</v>
      </c>
      <c r="K29" t="str">
        <v>Te koop</v>
      </c>
      <c r="L29" t="str">
        <v>Onbekend</v>
      </c>
      <c r="M29" t="str">
        <v>Onbekend</v>
      </c>
      <c r="N29">
        <v>385000</v>
      </c>
      <c r="O29" t="str">
        <v>v.o.n.</v>
      </c>
      <c r="P29">
        <v>104</v>
      </c>
      <c r="Q29">
        <v>3702</v>
      </c>
      <c r="R29">
        <v>96</v>
      </c>
      <c r="S29" t="str">
        <v>A+++</v>
      </c>
      <c r="T29">
        <v>4</v>
      </c>
      <c r="U29">
        <v>3</v>
      </c>
      <c r="V29" t="str">
        <v>Grondgebonden</v>
      </c>
      <c r="W29" t="str">
        <v>Tussenwoning</v>
      </c>
      <c r="X29" t="str">
        <v>N.v.t.</v>
      </c>
      <c r="Y29" t="str">
        <v>Ja</v>
      </c>
      <c r="Z29" t="str">
        <v>parkeerterrein</v>
      </c>
      <c r="AA29" t="str">
        <v>Na 2020</v>
      </c>
      <c r="AB29" t="str">
        <v>Nee</v>
      </c>
      <c r="AC29" t="str">
        <v>NEE</v>
      </c>
      <c r="AD29" t="str">
        <v>JA</v>
      </c>
    </row>
    <row r="30">
      <c r="A30" t="str">
        <v>44420103</v>
      </c>
      <c r="B30" t="str">
        <v>https://www.funda.nl/detail/koop/hengelo-ov/huis-stadswoningen-bouwnr-c6/44420103/</v>
      </c>
      <c r="C30" t="str">
        <v>Noaberhof de Rijkskweek</v>
      </c>
      <c r="D30" t="str">
        <v>Stadswoningen</v>
      </c>
      <c r="E30" t="str">
        <v>C6</v>
      </c>
      <c r="F30" t="str">
        <v>7551</v>
      </c>
      <c r="G30" t="str">
        <v>Hengelo (OV)</v>
      </c>
      <c r="H30" t="str">
        <v>Hengelo (O)</v>
      </c>
      <c r="I30" t="str">
        <v>Overijssel</v>
      </c>
      <c r="J30" t="str">
        <v>Oost-Nederland</v>
      </c>
      <c r="K30" t="str">
        <v>Te koop</v>
      </c>
      <c r="L30" t="str">
        <v>Onbekend</v>
      </c>
      <c r="M30" t="str">
        <v>Onbekend</v>
      </c>
      <c r="N30">
        <v>385000</v>
      </c>
      <c r="O30" t="str">
        <v>v.o.n.</v>
      </c>
      <c r="P30">
        <v>104</v>
      </c>
      <c r="Q30">
        <v>3702</v>
      </c>
      <c r="R30">
        <v>96</v>
      </c>
      <c r="S30" t="str">
        <v>A+++</v>
      </c>
      <c r="T30">
        <v>4</v>
      </c>
      <c r="U30">
        <v>3</v>
      </c>
      <c r="V30" t="str">
        <v>Grondgebonden</v>
      </c>
      <c r="W30" t="str">
        <v>Hoekwoning</v>
      </c>
      <c r="X30" t="str">
        <v>N.v.t.</v>
      </c>
      <c r="Y30" t="str">
        <v>Ja</v>
      </c>
      <c r="Z30" t="str">
        <v>parkeerterrein</v>
      </c>
      <c r="AA30" t="str">
        <v>Na 2020</v>
      </c>
      <c r="AB30" t="str">
        <v>Nee</v>
      </c>
      <c r="AC30" t="str">
        <v>NEE</v>
      </c>
      <c r="AD30" t="str">
        <v>JA</v>
      </c>
    </row>
    <row r="31">
      <c r="A31" t="str">
        <v>44420189</v>
      </c>
      <c r="B31" t="str">
        <v>https://www.funda.nl/detail/koop/hengelo-ov/appartement-studio-s-bouwnr-a9/44420189/</v>
      </c>
      <c r="C31" t="str">
        <v>Noaberhof de Rijkskweek</v>
      </c>
      <c r="D31" t="str">
        <v>Studio's</v>
      </c>
      <c r="E31" t="str">
        <v>A9</v>
      </c>
      <c r="F31" t="str">
        <v>7551</v>
      </c>
      <c r="G31" t="str">
        <v>Hengelo (OV)</v>
      </c>
      <c r="H31" t="str">
        <v>Hengelo (O)</v>
      </c>
      <c r="I31" t="str">
        <v>Overijssel</v>
      </c>
      <c r="J31" t="str">
        <v>Oost-Nederland</v>
      </c>
      <c r="K31" t="str">
        <v>Te koop</v>
      </c>
      <c r="L31" t="str">
        <v>Onbekend</v>
      </c>
      <c r="M31" t="str">
        <v>Onbekend</v>
      </c>
      <c r="N31">
        <v>275000</v>
      </c>
      <c r="O31" t="str">
        <v>v.o.n.</v>
      </c>
      <c r="P31">
        <v>50</v>
      </c>
      <c r="Q31">
        <v>5500</v>
      </c>
      <c r="R31" t="str">
        <v>Onbekend</v>
      </c>
      <c r="S31" t="str">
        <v>A++</v>
      </c>
      <c r="T31">
        <v>1</v>
      </c>
      <c r="U31">
        <v>1</v>
      </c>
      <c r="V31" t="str">
        <v>Appartement</v>
      </c>
      <c r="W31" t="str">
        <v>Appartement</v>
      </c>
      <c r="X31" t="str">
        <v>Appartement 50-75 m²</v>
      </c>
      <c r="Y31" t="str">
        <v>Ja</v>
      </c>
      <c r="Z31" t="str">
        <v>parkeerterrein</v>
      </c>
      <c r="AA31" t="str">
        <v>Na 2020</v>
      </c>
      <c r="AB31" t="str">
        <v>Nee</v>
      </c>
      <c r="AC31" t="str">
        <v>NEE</v>
      </c>
      <c r="AD31" t="str">
        <v>JA</v>
      </c>
    </row>
    <row r="32">
      <c r="A32" t="str">
        <v>44420181</v>
      </c>
      <c r="B32" t="str">
        <v>https://www.funda.nl/detail/koop/hengelo-ov/appartement-studio-s-bouwnr-a8/44420181/</v>
      </c>
      <c r="C32" t="str">
        <v>Noaberhof de Rijkskweek</v>
      </c>
      <c r="D32" t="str">
        <v>Studio's</v>
      </c>
      <c r="E32" t="str">
        <v>A8</v>
      </c>
      <c r="F32" t="str">
        <v>7551</v>
      </c>
      <c r="G32" t="str">
        <v>Hengelo (OV)</v>
      </c>
      <c r="H32" t="str">
        <v>Hengelo (O)</v>
      </c>
      <c r="I32" t="str">
        <v>Overijssel</v>
      </c>
      <c r="J32" t="str">
        <v>Oost-Nederland</v>
      </c>
      <c r="K32" t="str">
        <v>Te koop</v>
      </c>
      <c r="L32" t="str">
        <v>Onbekend</v>
      </c>
      <c r="M32" t="str">
        <v>Onbekend</v>
      </c>
      <c r="N32">
        <v>275000</v>
      </c>
      <c r="O32" t="str">
        <v>v.o.n.</v>
      </c>
      <c r="P32">
        <v>42</v>
      </c>
      <c r="Q32">
        <v>6548</v>
      </c>
      <c r="R32" t="str">
        <v>Onbekend</v>
      </c>
      <c r="S32" t="str">
        <v>A+</v>
      </c>
      <c r="T32">
        <v>1</v>
      </c>
      <c r="U32">
        <v>1</v>
      </c>
      <c r="V32" t="str">
        <v>Appartement</v>
      </c>
      <c r="W32" t="str">
        <v>Appartement</v>
      </c>
      <c r="X32" t="str">
        <v>Appartement &lt;50 m²</v>
      </c>
      <c r="Y32" t="str">
        <v>Ja</v>
      </c>
      <c r="Z32" t="str">
        <v>parkeerterrein</v>
      </c>
      <c r="AA32" t="str">
        <v>Na 2020</v>
      </c>
      <c r="AB32" t="str">
        <v>Nee</v>
      </c>
      <c r="AC32" t="str">
        <v>NEE</v>
      </c>
      <c r="AD32" t="str">
        <v>JA</v>
      </c>
    </row>
    <row r="33">
      <c r="A33" t="str">
        <v>44420196</v>
      </c>
      <c r="B33" t="str">
        <v>https://www.funda.nl/detail/koop/hengelo-ov/appartement-studio-s-bouwnr-a7/44420196/</v>
      </c>
      <c r="C33" t="str">
        <v>Noaberhof de Rijkskweek</v>
      </c>
      <c r="D33" t="str">
        <v>Studio's</v>
      </c>
      <c r="E33" t="str">
        <v>A7</v>
      </c>
      <c r="F33" t="str">
        <v>7551</v>
      </c>
      <c r="G33" t="str">
        <v>Hengelo (OV)</v>
      </c>
      <c r="H33" t="str">
        <v>Hengelo (O)</v>
      </c>
      <c r="I33" t="str">
        <v>Overijssel</v>
      </c>
      <c r="J33" t="str">
        <v>Oost-Nederland</v>
      </c>
      <c r="K33" t="str">
        <v>Te koop</v>
      </c>
      <c r="L33" t="str">
        <v>Onbekend</v>
      </c>
      <c r="M33" t="str">
        <v>Onbekend</v>
      </c>
      <c r="N33">
        <v>290000</v>
      </c>
      <c r="O33" t="str">
        <v>v.o.n.</v>
      </c>
      <c r="P33">
        <v>56</v>
      </c>
      <c r="Q33">
        <v>5179</v>
      </c>
      <c r="R33" t="str">
        <v>Onbekend</v>
      </c>
      <c r="S33" t="str">
        <v>A+</v>
      </c>
      <c r="T33">
        <v>1</v>
      </c>
      <c r="U33">
        <v>1</v>
      </c>
      <c r="V33" t="str">
        <v>Appartement</v>
      </c>
      <c r="W33" t="str">
        <v>Appartement</v>
      </c>
      <c r="X33" t="str">
        <v>Appartement 50-75 m²</v>
      </c>
      <c r="Y33" t="str">
        <v>Ja</v>
      </c>
      <c r="Z33" t="str">
        <v>parkeerterrein</v>
      </c>
      <c r="AA33" t="str">
        <v>Na 2020</v>
      </c>
      <c r="AB33" t="str">
        <v>Nee</v>
      </c>
      <c r="AC33" t="str">
        <v>NEE</v>
      </c>
      <c r="AD33" t="str">
        <v>JA</v>
      </c>
    </row>
    <row r="34">
      <c r="A34" t="str">
        <v>44420191</v>
      </c>
      <c r="B34" t="str">
        <v>https://www.funda.nl/detail/koop/hengelo-ov/appartement-studio-s-bouwnr-a5/44420191/</v>
      </c>
      <c r="C34" t="str">
        <v>Noaberhof de Rijkskweek</v>
      </c>
      <c r="D34" t="str">
        <v>Studio's</v>
      </c>
      <c r="E34" t="str">
        <v>A5</v>
      </c>
      <c r="F34" t="str">
        <v>7551</v>
      </c>
      <c r="G34" t="str">
        <v>Hengelo (OV)</v>
      </c>
      <c r="H34" t="str">
        <v>Hengelo (O)</v>
      </c>
      <c r="I34" t="str">
        <v>Overijssel</v>
      </c>
      <c r="J34" t="str">
        <v>Oost-Nederland</v>
      </c>
      <c r="K34" t="str">
        <v>Te koop</v>
      </c>
      <c r="L34" t="str">
        <v>Onbekend</v>
      </c>
      <c r="M34" t="str">
        <v>Onbekend</v>
      </c>
      <c r="N34">
        <v>255000</v>
      </c>
      <c r="O34" t="str">
        <v>v.o.n.</v>
      </c>
      <c r="P34">
        <v>50</v>
      </c>
      <c r="Q34">
        <v>5100</v>
      </c>
      <c r="R34" t="str">
        <v>Onbekend</v>
      </c>
      <c r="S34" t="str">
        <v>A++</v>
      </c>
      <c r="T34">
        <v>1</v>
      </c>
      <c r="U34">
        <v>1</v>
      </c>
      <c r="V34" t="str">
        <v>Appartement</v>
      </c>
      <c r="W34" t="str">
        <v>Appartement</v>
      </c>
      <c r="X34" t="str">
        <v>Appartement 50-75 m²</v>
      </c>
      <c r="Y34" t="str">
        <v>Ja</v>
      </c>
      <c r="Z34" t="str">
        <v>parkeerterrein</v>
      </c>
      <c r="AA34" t="str">
        <v>Na 2020</v>
      </c>
      <c r="AB34" t="str">
        <v>Nee</v>
      </c>
      <c r="AC34" t="str">
        <v>NEE</v>
      </c>
      <c r="AD34" t="str">
        <v>JA</v>
      </c>
    </row>
    <row r="35">
      <c r="A35" t="str">
        <v>44420194</v>
      </c>
      <c r="B35" t="str">
        <v>https://www.funda.nl/detail/koop/hengelo-ov/appartement-studio-s-bouwnr-a3/44420194/</v>
      </c>
      <c r="C35" t="str">
        <v>Noaberhof de Rijkskweek</v>
      </c>
      <c r="D35" t="str">
        <v>Studio's</v>
      </c>
      <c r="E35" t="str">
        <v>A3</v>
      </c>
      <c r="F35" t="str">
        <v>7551</v>
      </c>
      <c r="G35" t="str">
        <v>Hengelo (OV)</v>
      </c>
      <c r="H35" t="str">
        <v>Hengelo (O)</v>
      </c>
      <c r="I35" t="str">
        <v>Overijssel</v>
      </c>
      <c r="J35" t="str">
        <v>Oost-Nederland</v>
      </c>
      <c r="K35" t="str">
        <v>Te koop</v>
      </c>
      <c r="L35" t="str">
        <v>Onbekend</v>
      </c>
      <c r="M35" t="str">
        <v>Onbekend</v>
      </c>
      <c r="N35">
        <v>240000</v>
      </c>
      <c r="O35" t="str">
        <v>v.o.n.</v>
      </c>
      <c r="P35">
        <v>41</v>
      </c>
      <c r="Q35">
        <v>5854</v>
      </c>
      <c r="R35" t="str">
        <v>Onbekend</v>
      </c>
      <c r="S35" t="str">
        <v>A+</v>
      </c>
      <c r="T35">
        <v>2</v>
      </c>
      <c r="U35">
        <v>1</v>
      </c>
      <c r="V35" t="str">
        <v>Appartement</v>
      </c>
      <c r="W35" t="str">
        <v>Appartement</v>
      </c>
      <c r="X35" t="str">
        <v>Appartement &lt;50 m²</v>
      </c>
      <c r="Y35" t="str">
        <v>Ja</v>
      </c>
      <c r="Z35" t="str">
        <v>parkeerterrein</v>
      </c>
      <c r="AA35" t="str">
        <v>Na 2020</v>
      </c>
      <c r="AB35" t="str">
        <v>Nee</v>
      </c>
      <c r="AC35" t="str">
        <v>NEE</v>
      </c>
      <c r="AD35" t="str">
        <v>JA</v>
      </c>
    </row>
    <row r="36">
      <c r="A36" t="str">
        <v>44420195</v>
      </c>
      <c r="B36" t="str">
        <v>https://www.funda.nl/detail/koop/hengelo-ov/appartement-studio-s-bouwnr-a4/44420195/</v>
      </c>
      <c r="C36" t="str">
        <v>Noaberhof de Rijkskweek</v>
      </c>
      <c r="D36" t="str">
        <v>Studio's</v>
      </c>
      <c r="E36" t="str">
        <v>A4</v>
      </c>
      <c r="F36" t="str">
        <v>7551</v>
      </c>
      <c r="G36" t="str">
        <v>Hengelo (OV)</v>
      </c>
      <c r="H36" t="str">
        <v>Hengelo (O)</v>
      </c>
      <c r="I36" t="str">
        <v>Overijssel</v>
      </c>
      <c r="J36" t="str">
        <v>Oost-Nederland</v>
      </c>
      <c r="K36" t="str">
        <v>Te koop</v>
      </c>
      <c r="L36" t="str">
        <v>Onbekend</v>
      </c>
      <c r="M36" t="str">
        <v>Onbekend</v>
      </c>
      <c r="N36">
        <v>300000</v>
      </c>
      <c r="O36" t="str">
        <v>v.o.n.</v>
      </c>
      <c r="P36">
        <v>71</v>
      </c>
      <c r="Q36">
        <v>4225</v>
      </c>
      <c r="R36" t="str">
        <v>Onbekend</v>
      </c>
      <c r="S36" t="str">
        <v>A++</v>
      </c>
      <c r="T36">
        <v>3</v>
      </c>
      <c r="U36">
        <v>2</v>
      </c>
      <c r="V36" t="str">
        <v>Appartement</v>
      </c>
      <c r="W36" t="str">
        <v>Appartement</v>
      </c>
      <c r="X36" t="str">
        <v>Appartement 50-75 m²</v>
      </c>
      <c r="Y36" t="str">
        <v>Ja</v>
      </c>
      <c r="Z36" t="str">
        <v>parkeerterrein</v>
      </c>
      <c r="AA36" t="str">
        <v>Na 2020</v>
      </c>
      <c r="AB36" t="str">
        <v>Nee</v>
      </c>
      <c r="AC36" t="str">
        <v>NEE</v>
      </c>
      <c r="AD36" t="str">
        <v>JA</v>
      </c>
    </row>
    <row r="37">
      <c r="A37" t="str">
        <v>44420199</v>
      </c>
      <c r="B37" t="str">
        <v>https://www.funda.nl/detail/koop/hengelo-ov/appartement-studio-s-bouwnr-a2/44420199/</v>
      </c>
      <c r="C37" t="str">
        <v>Noaberhof de Rijkskweek</v>
      </c>
      <c r="D37" t="str">
        <v>Studio's</v>
      </c>
      <c r="E37" t="str">
        <v>A2</v>
      </c>
      <c r="F37" t="str">
        <v>7551</v>
      </c>
      <c r="G37" t="str">
        <v>Hengelo (OV)</v>
      </c>
      <c r="H37" t="str">
        <v>Hengelo (O)</v>
      </c>
      <c r="I37" t="str">
        <v>Overijssel</v>
      </c>
      <c r="J37" t="str">
        <v>Oost-Nederland</v>
      </c>
      <c r="K37" t="str">
        <v>Te koop</v>
      </c>
      <c r="L37" t="str">
        <v>Onbekend</v>
      </c>
      <c r="M37" t="str">
        <v>Onbekend</v>
      </c>
      <c r="N37">
        <v>345000</v>
      </c>
      <c r="O37" t="str">
        <v>v.o.n.</v>
      </c>
      <c r="P37">
        <v>71</v>
      </c>
      <c r="Q37">
        <v>4859</v>
      </c>
      <c r="R37" t="str">
        <v>Onbekend</v>
      </c>
      <c r="S37" t="str">
        <v>A+++</v>
      </c>
      <c r="T37">
        <v>2</v>
      </c>
      <c r="U37">
        <v>1</v>
      </c>
      <c r="V37" t="str">
        <v>Appartement</v>
      </c>
      <c r="W37" t="str">
        <v>Appartement</v>
      </c>
      <c r="X37" t="str">
        <v>Appartement 50-75 m²</v>
      </c>
      <c r="Y37" t="str">
        <v>Ja</v>
      </c>
      <c r="Z37" t="str">
        <v>parkeerterrein</v>
      </c>
      <c r="AA37" t="str">
        <v>Na 2020</v>
      </c>
      <c r="AB37" t="str">
        <v>Nee</v>
      </c>
      <c r="AC37" t="str">
        <v>NEE</v>
      </c>
      <c r="AD37" t="str">
        <v>JA</v>
      </c>
    </row>
    <row r="38">
      <c r="A38" t="str">
        <v>44420105</v>
      </c>
      <c r="B38" t="str">
        <v>https://www.funda.nl/detail/koop/hengelo-ov/appartement-studio-s-bouwnr-a10/44420105/</v>
      </c>
      <c r="C38" t="str">
        <v>Noaberhof de Rijkskweek</v>
      </c>
      <c r="D38" t="str">
        <v>Studio's</v>
      </c>
      <c r="E38" t="str">
        <v>A10</v>
      </c>
      <c r="F38" t="str">
        <v>7551</v>
      </c>
      <c r="G38" t="str">
        <v>Hengelo (OV)</v>
      </c>
      <c r="H38" t="str">
        <v>Hengelo (O)</v>
      </c>
      <c r="I38" t="str">
        <v>Overijssel</v>
      </c>
      <c r="J38" t="str">
        <v>Oost-Nederland</v>
      </c>
      <c r="K38" t="str">
        <v>Te koop</v>
      </c>
      <c r="L38" t="str">
        <v>Onbekend</v>
      </c>
      <c r="M38" t="str">
        <v>Onbekend</v>
      </c>
      <c r="N38">
        <v>275000</v>
      </c>
      <c r="O38" t="str">
        <v>v.o.n.</v>
      </c>
      <c r="P38">
        <v>53</v>
      </c>
      <c r="Q38">
        <v>5189</v>
      </c>
      <c r="R38" t="str">
        <v>Onbekend</v>
      </c>
      <c r="S38" t="str">
        <v>A++</v>
      </c>
      <c r="T38">
        <v>1</v>
      </c>
      <c r="U38">
        <v>1</v>
      </c>
      <c r="V38" t="str">
        <v>Appartement</v>
      </c>
      <c r="W38" t="str">
        <v>Appartement</v>
      </c>
      <c r="X38" t="str">
        <v>Appartement 50-75 m²</v>
      </c>
      <c r="Y38" t="str">
        <v>Ja</v>
      </c>
      <c r="Z38" t="str">
        <v>parkeerterrein</v>
      </c>
      <c r="AA38" t="str">
        <v>Na 2020</v>
      </c>
      <c r="AB38" t="str">
        <v>Nee</v>
      </c>
      <c r="AC38" t="str">
        <v>NEE</v>
      </c>
      <c r="AD38" t="str">
        <v>JA</v>
      </c>
    </row>
    <row r="39">
      <c r="A39" t="str">
        <v>44420198</v>
      </c>
      <c r="B39" t="str">
        <v>https://www.funda.nl/detail/koop/hengelo-ov/appartement-studio-s-bouwnr-a1/44420198/</v>
      </c>
      <c r="C39" t="str">
        <v>Noaberhof de Rijkskweek</v>
      </c>
      <c r="D39" t="str">
        <v>Studio's</v>
      </c>
      <c r="E39" t="str">
        <v>A1</v>
      </c>
      <c r="F39" t="str">
        <v>7551</v>
      </c>
      <c r="G39" t="str">
        <v>Hengelo (OV)</v>
      </c>
      <c r="H39" t="str">
        <v>Hengelo (O)</v>
      </c>
      <c r="I39" t="str">
        <v>Overijssel</v>
      </c>
      <c r="J39" t="str">
        <v>Oost-Nederland</v>
      </c>
      <c r="K39" t="str">
        <v>Te koop</v>
      </c>
      <c r="L39" t="str">
        <v>Onbekend</v>
      </c>
      <c r="M39" t="str">
        <v>Onbekend</v>
      </c>
      <c r="N39">
        <v>429000</v>
      </c>
      <c r="O39" t="str">
        <v>v.o.n.</v>
      </c>
      <c r="P39">
        <v>76</v>
      </c>
      <c r="Q39">
        <v>5645</v>
      </c>
      <c r="R39" t="str">
        <v>Onbekend</v>
      </c>
      <c r="S39" t="str">
        <v>A++</v>
      </c>
      <c r="T39">
        <v>3</v>
      </c>
      <c r="U39">
        <v>2</v>
      </c>
      <c r="V39" t="str">
        <v>Appartement</v>
      </c>
      <c r="W39" t="str">
        <v>Appartement</v>
      </c>
      <c r="X39" t="str">
        <v>Appartement 75-100 m²</v>
      </c>
      <c r="Y39" t="str">
        <v>Ja</v>
      </c>
      <c r="Z39" t="str">
        <v>parkeerterrein</v>
      </c>
      <c r="AA39" t="str">
        <v>Na 2020</v>
      </c>
      <c r="AB39" t="str">
        <v>Nee</v>
      </c>
      <c r="AC39" t="str">
        <v>NEE</v>
      </c>
      <c r="AD39" t="str">
        <v>JA</v>
      </c>
    </row>
    <row r="40">
      <c r="A40" t="str">
        <v>44420182</v>
      </c>
      <c r="B40" t="str">
        <v>https://www.funda.nl/detail/koop/hengelo-ov/huis-stadswoningen-bouwnr-c4/44420182/</v>
      </c>
      <c r="C40" t="str">
        <v>Noaberhof de Rijkskweek</v>
      </c>
      <c r="D40" t="str">
        <v>Stadswoningen</v>
      </c>
      <c r="E40" t="str">
        <v>C4</v>
      </c>
      <c r="F40" t="str">
        <v>7551</v>
      </c>
      <c r="G40" t="str">
        <v>Hengelo (OV)</v>
      </c>
      <c r="H40" t="str">
        <v>Hengelo (O)</v>
      </c>
      <c r="I40" t="str">
        <v>Overijssel</v>
      </c>
      <c r="J40" t="str">
        <v>Oost-Nederland</v>
      </c>
      <c r="K40" t="str">
        <v>Te koop</v>
      </c>
      <c r="L40" t="str">
        <v>2026-07-07</v>
      </c>
      <c r="M40">
        <v>6</v>
      </c>
      <c r="N40">
        <v>385000</v>
      </c>
      <c r="O40" t="str">
        <v>v.o.n.</v>
      </c>
      <c r="P40">
        <v>104</v>
      </c>
      <c r="Q40">
        <v>3702</v>
      </c>
      <c r="R40">
        <v>96</v>
      </c>
      <c r="S40" t="str">
        <v>A+++</v>
      </c>
      <c r="T40">
        <v>4</v>
      </c>
      <c r="U40">
        <v>3</v>
      </c>
      <c r="V40" t="str">
        <v>Grondgebonden</v>
      </c>
      <c r="W40" t="str">
        <v>Tussenwoning</v>
      </c>
      <c r="X40" t="str">
        <v>N.v.t.</v>
      </c>
      <c r="Y40" t="str">
        <v>Ja</v>
      </c>
      <c r="Z40" t="str">
        <v>parkeerterrein</v>
      </c>
      <c r="AA40" t="str">
        <v>Na 2020</v>
      </c>
      <c r="AB40" t="str">
        <v>Nee</v>
      </c>
      <c r="AC40" t="str">
        <v>NEE</v>
      </c>
      <c r="AD40" t="str">
        <v>JA</v>
      </c>
    </row>
    <row r="41">
      <c r="A41" t="str">
        <v>44420193</v>
      </c>
      <c r="B41" t="str">
        <v>https://www.funda.nl/detail/koop/hengelo-ov/huis-stadswoningen-bouwnr-c3/44420193/</v>
      </c>
      <c r="C41" t="str">
        <v>Noaberhof de Rijkskweek</v>
      </c>
      <c r="D41" t="str">
        <v>Stadswoningen</v>
      </c>
      <c r="E41" t="str">
        <v>C3</v>
      </c>
      <c r="F41" t="str">
        <v>7551</v>
      </c>
      <c r="G41" t="str">
        <v>Hengelo (OV)</v>
      </c>
      <c r="H41" t="str">
        <v>Hengelo (O)</v>
      </c>
      <c r="I41" t="str">
        <v>Overijssel</v>
      </c>
      <c r="J41" t="str">
        <v>Oost-Nederland</v>
      </c>
      <c r="K41" t="str">
        <v>Te koop</v>
      </c>
      <c r="L41" t="str">
        <v>Onbekend</v>
      </c>
      <c r="M41" t="str">
        <v>Onbekend</v>
      </c>
      <c r="N41">
        <v>385000</v>
      </c>
      <c r="O41" t="str">
        <v>v.o.n.</v>
      </c>
      <c r="P41">
        <v>104</v>
      </c>
      <c r="Q41">
        <v>3702</v>
      </c>
      <c r="R41">
        <v>96</v>
      </c>
      <c r="S41" t="str">
        <v>A+++</v>
      </c>
      <c r="T41">
        <v>4</v>
      </c>
      <c r="U41">
        <v>3</v>
      </c>
      <c r="V41" t="str">
        <v>Grondgebonden</v>
      </c>
      <c r="W41" t="str">
        <v>Tussenwoning</v>
      </c>
      <c r="X41" t="str">
        <v>N.v.t.</v>
      </c>
      <c r="Y41" t="str">
        <v>Ja</v>
      </c>
      <c r="Z41" t="str">
        <v>parkeerterrein</v>
      </c>
      <c r="AA41" t="str">
        <v>Na 2020</v>
      </c>
      <c r="AB41" t="str">
        <v>Nee</v>
      </c>
      <c r="AC41" t="str">
        <v>NEE</v>
      </c>
      <c r="AD41" t="str">
        <v>JA</v>
      </c>
    </row>
    <row r="42">
      <c r="A42" t="str">
        <v>44420192</v>
      </c>
      <c r="B42" t="str">
        <v>https://www.funda.nl/detail/koop/hengelo-ov/huis-stadswoningen-bouwnr-c2/44420192/</v>
      </c>
      <c r="C42" t="str">
        <v>Noaberhof de Rijkskweek</v>
      </c>
      <c r="D42" t="str">
        <v>Stadswoningen</v>
      </c>
      <c r="E42" t="str">
        <v>C2</v>
      </c>
      <c r="F42" t="str">
        <v>7551</v>
      </c>
      <c r="G42" t="str">
        <v>Hengelo (OV)</v>
      </c>
      <c r="H42" t="str">
        <v>Hengelo (O)</v>
      </c>
      <c r="I42" t="str">
        <v>Overijssel</v>
      </c>
      <c r="J42" t="str">
        <v>Oost-Nederland</v>
      </c>
      <c r="K42" t="str">
        <v>Te koop</v>
      </c>
      <c r="L42" t="str">
        <v>Onbekend</v>
      </c>
      <c r="M42" t="str">
        <v>Onbekend</v>
      </c>
      <c r="N42">
        <v>385000</v>
      </c>
      <c r="O42" t="str">
        <v>v.o.n.</v>
      </c>
      <c r="P42">
        <v>104</v>
      </c>
      <c r="Q42">
        <v>3702</v>
      </c>
      <c r="R42">
        <v>96</v>
      </c>
      <c r="S42" t="str">
        <v>A+++</v>
      </c>
      <c r="T42">
        <v>4</v>
      </c>
      <c r="U42">
        <v>3</v>
      </c>
      <c r="V42" t="str">
        <v>Grondgebonden</v>
      </c>
      <c r="W42" t="str">
        <v>Tussenwoning</v>
      </c>
      <c r="X42" t="str">
        <v>N.v.t.</v>
      </c>
      <c r="Y42" t="str">
        <v>Ja</v>
      </c>
      <c r="Z42" t="str">
        <v>parkeerterrein</v>
      </c>
      <c r="AA42" t="str">
        <v>Na 2020</v>
      </c>
      <c r="AB42" t="str">
        <v>Nee</v>
      </c>
      <c r="AC42" t="str">
        <v>NEE</v>
      </c>
      <c r="AD42" t="str">
        <v>JA</v>
      </c>
    </row>
    <row r="43">
      <c r="A43" t="str">
        <v>44420104</v>
      </c>
      <c r="B43" t="str">
        <v>https://www.funda.nl/detail/koop/hengelo-ov/huis-stadswoningen-bouwnr-c1/44420104/</v>
      </c>
      <c r="C43" t="str">
        <v>Noaberhof de Rijkskweek</v>
      </c>
      <c r="D43" t="str">
        <v>Stadswoningen</v>
      </c>
      <c r="E43" t="str">
        <v>C1</v>
      </c>
      <c r="F43" t="str">
        <v>7551</v>
      </c>
      <c r="G43" t="str">
        <v>Hengelo (OV)</v>
      </c>
      <c r="H43" t="str">
        <v>Hengelo (O)</v>
      </c>
      <c r="I43" t="str">
        <v>Overijssel</v>
      </c>
      <c r="J43" t="str">
        <v>Oost-Nederland</v>
      </c>
      <c r="K43" t="str">
        <v>Te koop</v>
      </c>
      <c r="L43" t="str">
        <v>Onbekend</v>
      </c>
      <c r="M43" t="str">
        <v>Onbekend</v>
      </c>
      <c r="N43">
        <v>385000</v>
      </c>
      <c r="O43" t="str">
        <v>v.o.n.</v>
      </c>
      <c r="P43">
        <v>104</v>
      </c>
      <c r="Q43">
        <v>3702</v>
      </c>
      <c r="R43">
        <v>96</v>
      </c>
      <c r="S43" t="str">
        <v>A+++</v>
      </c>
      <c r="T43">
        <v>4</v>
      </c>
      <c r="U43">
        <v>3</v>
      </c>
      <c r="V43" t="str">
        <v>Grondgebonden</v>
      </c>
      <c r="W43" t="str">
        <v>Hoekwoning</v>
      </c>
      <c r="X43" t="str">
        <v>N.v.t.</v>
      </c>
      <c r="Y43" t="str">
        <v>Ja</v>
      </c>
      <c r="Z43" t="str">
        <v>parkeerterrein</v>
      </c>
      <c r="AA43" t="str">
        <v>Na 2020</v>
      </c>
      <c r="AB43" t="str">
        <v>Nee</v>
      </c>
      <c r="AC43" t="str">
        <v>NEE</v>
      </c>
      <c r="AD43" t="str">
        <v>JA</v>
      </c>
    </row>
    <row r="44">
      <c r="A44" t="str">
        <v>44420171</v>
      </c>
      <c r="B44" t="str">
        <v>https://www.funda.nl/detail/koop/hengelo-ov/huis-stadswoningen-bouwnr-b6/44420171/</v>
      </c>
      <c r="C44" t="str">
        <v>Noaberhof de Rijkskweek</v>
      </c>
      <c r="D44" t="str">
        <v>Stadswoningen</v>
      </c>
      <c r="E44" t="str">
        <v>B6</v>
      </c>
      <c r="F44" t="str">
        <v>7551</v>
      </c>
      <c r="G44" t="str">
        <v>Hengelo (OV)</v>
      </c>
      <c r="H44" t="str">
        <v>Hengelo (O)</v>
      </c>
      <c r="I44" t="str">
        <v>Overijssel</v>
      </c>
      <c r="J44" t="str">
        <v>Oost-Nederland</v>
      </c>
      <c r="K44" t="str">
        <v>Te koop</v>
      </c>
      <c r="L44" t="str">
        <v>Onbekend</v>
      </c>
      <c r="M44" t="str">
        <v>Onbekend</v>
      </c>
      <c r="N44">
        <v>345000</v>
      </c>
      <c r="O44" t="str">
        <v>v.o.n.</v>
      </c>
      <c r="P44">
        <v>67</v>
      </c>
      <c r="Q44">
        <v>5149</v>
      </c>
      <c r="R44">
        <v>61</v>
      </c>
      <c r="S44" t="str">
        <v>A+++</v>
      </c>
      <c r="T44">
        <v>4</v>
      </c>
      <c r="U44">
        <v>3</v>
      </c>
      <c r="V44" t="str">
        <v>Grondgebonden</v>
      </c>
      <c r="W44" t="str">
        <v>Hoekwoning</v>
      </c>
      <c r="X44" t="str">
        <v>N.v.t.</v>
      </c>
      <c r="Y44" t="str">
        <v>Ja</v>
      </c>
      <c r="Z44" t="str">
        <v>parkeerterrein</v>
      </c>
      <c r="AA44" t="str">
        <v>Na 2020</v>
      </c>
      <c r="AB44" t="str">
        <v>Nee</v>
      </c>
      <c r="AC44" t="str">
        <v>NEE</v>
      </c>
      <c r="AD44" t="str">
        <v>JA</v>
      </c>
    </row>
    <row r="45">
      <c r="A45" t="str">
        <v>44420187</v>
      </c>
      <c r="B45" t="str">
        <v>https://www.funda.nl/detail/koop/hengelo-ov/huis-stadswoningen-bouwnr-b5/44420187/</v>
      </c>
      <c r="C45" t="str">
        <v>Noaberhof de Rijkskweek</v>
      </c>
      <c r="D45" t="str">
        <v>Stadswoningen</v>
      </c>
      <c r="E45" t="str">
        <v>B5</v>
      </c>
      <c r="F45" t="str">
        <v>7551</v>
      </c>
      <c r="G45" t="str">
        <v>Hengelo (OV)</v>
      </c>
      <c r="H45" t="str">
        <v>Hengelo (O)</v>
      </c>
      <c r="I45" t="str">
        <v>Overijssel</v>
      </c>
      <c r="J45" t="str">
        <v>Oost-Nederland</v>
      </c>
      <c r="K45" t="str">
        <v>Te koop</v>
      </c>
      <c r="L45" t="str">
        <v>Onbekend</v>
      </c>
      <c r="M45" t="str">
        <v>Onbekend</v>
      </c>
      <c r="N45">
        <v>469000</v>
      </c>
      <c r="O45" t="str">
        <v>v.o.n.</v>
      </c>
      <c r="P45">
        <v>104</v>
      </c>
      <c r="Q45">
        <v>4510</v>
      </c>
      <c r="R45">
        <v>69</v>
      </c>
      <c r="S45" t="str">
        <v>A+++</v>
      </c>
      <c r="T45">
        <v>4</v>
      </c>
      <c r="U45">
        <v>3</v>
      </c>
      <c r="V45" t="str">
        <v>Grondgebonden</v>
      </c>
      <c r="W45" t="str">
        <v>Tussenwoning</v>
      </c>
      <c r="X45" t="str">
        <v>N.v.t.</v>
      </c>
      <c r="Y45" t="str">
        <v>Ja</v>
      </c>
      <c r="Z45" t="str">
        <v>parkeerterrein</v>
      </c>
      <c r="AA45" t="str">
        <v>Na 2020</v>
      </c>
      <c r="AB45" t="str">
        <v>Nee</v>
      </c>
      <c r="AC45" t="str">
        <v>NEE</v>
      </c>
      <c r="AD45" t="str">
        <v>JA</v>
      </c>
    </row>
    <row r="46">
      <c r="A46" t="str">
        <v>44420184</v>
      </c>
      <c r="B46" t="str">
        <v>https://www.funda.nl/detail/koop/hengelo-ov/huis-stadswoningen-bouwnr-b4/44420184/</v>
      </c>
      <c r="C46" t="str">
        <v>Noaberhof de Rijkskweek</v>
      </c>
      <c r="D46" t="str">
        <v>Stadswoningen</v>
      </c>
      <c r="E46" t="str">
        <v>B4</v>
      </c>
      <c r="F46" t="str">
        <v>7551</v>
      </c>
      <c r="G46" t="str">
        <v>Hengelo (OV)</v>
      </c>
      <c r="H46" t="str">
        <v>Hengelo (O)</v>
      </c>
      <c r="I46" t="str">
        <v>Overijssel</v>
      </c>
      <c r="J46" t="str">
        <v>Oost-Nederland</v>
      </c>
      <c r="K46" t="str">
        <v>Te koop</v>
      </c>
      <c r="L46" t="str">
        <v>Onbekend</v>
      </c>
      <c r="M46" t="str">
        <v>Onbekend</v>
      </c>
      <c r="N46">
        <v>345000</v>
      </c>
      <c r="O46" t="str">
        <v>v.o.n.</v>
      </c>
      <c r="P46">
        <v>67</v>
      </c>
      <c r="Q46">
        <v>5149</v>
      </c>
      <c r="R46">
        <v>61</v>
      </c>
      <c r="S46" t="str">
        <v>A+++</v>
      </c>
      <c r="T46">
        <v>4</v>
      </c>
      <c r="U46">
        <v>3</v>
      </c>
      <c r="V46" t="str">
        <v>Grondgebonden</v>
      </c>
      <c r="W46" t="str">
        <v>Tussenwoning</v>
      </c>
      <c r="X46" t="str">
        <v>N.v.t.</v>
      </c>
      <c r="Y46" t="str">
        <v>Ja</v>
      </c>
      <c r="Z46" t="str">
        <v>parkeerterrein</v>
      </c>
      <c r="AA46" t="str">
        <v>Na 2020</v>
      </c>
      <c r="AB46" t="str">
        <v>Nee</v>
      </c>
      <c r="AC46" t="str">
        <v>NEE</v>
      </c>
      <c r="AD46" t="str">
        <v>JA</v>
      </c>
    </row>
    <row r="47">
      <c r="A47" t="str">
        <v>44420185</v>
      </c>
      <c r="B47" t="str">
        <v>https://www.funda.nl/detail/koop/hengelo-ov/huis-stadswoningen-bouwnr-b3/44420185/</v>
      </c>
      <c r="C47" t="str">
        <v>Noaberhof de Rijkskweek</v>
      </c>
      <c r="D47" t="str">
        <v>Stadswoningen</v>
      </c>
      <c r="E47" t="str">
        <v>B3</v>
      </c>
      <c r="F47" t="str">
        <v>7551</v>
      </c>
      <c r="G47" t="str">
        <v>Hengelo (OV)</v>
      </c>
      <c r="H47" t="str">
        <v>Hengelo (O)</v>
      </c>
      <c r="I47" t="str">
        <v>Overijssel</v>
      </c>
      <c r="J47" t="str">
        <v>Oost-Nederland</v>
      </c>
      <c r="K47" t="str">
        <v>Te koop</v>
      </c>
      <c r="L47" t="str">
        <v>Onbekend</v>
      </c>
      <c r="M47" t="str">
        <v>Onbekend</v>
      </c>
      <c r="N47">
        <v>469000</v>
      </c>
      <c r="O47" t="str">
        <v>v.o.n.</v>
      </c>
      <c r="P47">
        <v>104</v>
      </c>
      <c r="Q47">
        <v>4510</v>
      </c>
      <c r="R47">
        <v>69</v>
      </c>
      <c r="S47" t="str">
        <v>A+++</v>
      </c>
      <c r="T47">
        <v>4</v>
      </c>
      <c r="U47">
        <v>3</v>
      </c>
      <c r="V47" t="str">
        <v>Grondgebonden</v>
      </c>
      <c r="W47" t="str">
        <v>Tussenwoning</v>
      </c>
      <c r="X47" t="str">
        <v>N.v.t.</v>
      </c>
      <c r="Y47" t="str">
        <v>Ja</v>
      </c>
      <c r="Z47" t="str">
        <v>parkeerterrein</v>
      </c>
      <c r="AA47" t="str">
        <v>Na 2020</v>
      </c>
      <c r="AB47" t="str">
        <v>Nee</v>
      </c>
      <c r="AC47" t="str">
        <v>NEE</v>
      </c>
      <c r="AD47" t="str">
        <v>JA</v>
      </c>
    </row>
    <row r="48">
      <c r="A48" t="str">
        <v>44420174</v>
      </c>
      <c r="B48" t="str">
        <v>https://www.funda.nl/detail/koop/hengelo-ov/huis-stadswoningen-bouwnr-b2/44420174/</v>
      </c>
      <c r="C48" t="str">
        <v>Noaberhof de Rijkskweek</v>
      </c>
      <c r="D48" t="str">
        <v>Stadswoningen</v>
      </c>
      <c r="E48" t="str">
        <v>B2</v>
      </c>
      <c r="F48" t="str">
        <v>7551</v>
      </c>
      <c r="G48" t="str">
        <v>Hengelo (OV)</v>
      </c>
      <c r="H48" t="str">
        <v>Hengelo (O)</v>
      </c>
      <c r="I48" t="str">
        <v>Overijssel</v>
      </c>
      <c r="J48" t="str">
        <v>Oost-Nederland</v>
      </c>
      <c r="K48" t="str">
        <v>Te koop</v>
      </c>
      <c r="L48" t="str">
        <v>Onbekend</v>
      </c>
      <c r="M48" t="str">
        <v>Onbekend</v>
      </c>
      <c r="N48">
        <v>345000</v>
      </c>
      <c r="O48" t="str">
        <v>v.o.n.</v>
      </c>
      <c r="P48">
        <v>67</v>
      </c>
      <c r="Q48">
        <v>5149</v>
      </c>
      <c r="R48">
        <v>61</v>
      </c>
      <c r="S48" t="str">
        <v>A+++</v>
      </c>
      <c r="T48">
        <v>4</v>
      </c>
      <c r="U48">
        <v>3</v>
      </c>
      <c r="V48" t="str">
        <v>Grondgebonden</v>
      </c>
      <c r="W48" t="str">
        <v>Tussenwoning</v>
      </c>
      <c r="X48" t="str">
        <v>N.v.t.</v>
      </c>
      <c r="Y48" t="str">
        <v>Ja</v>
      </c>
      <c r="Z48" t="str">
        <v>parkeerterrein</v>
      </c>
      <c r="AA48" t="str">
        <v>Na 2020</v>
      </c>
      <c r="AB48" t="str">
        <v>Nee</v>
      </c>
      <c r="AC48" t="str">
        <v>NEE</v>
      </c>
      <c r="AD48" t="str">
        <v>JA</v>
      </c>
    </row>
    <row r="49">
      <c r="A49" t="str">
        <v>44420177</v>
      </c>
      <c r="B49" t="str">
        <v>https://www.funda.nl/detail/koop/hengelo-ov/huis-stadswoningen-bouwnr-b1/44420177/</v>
      </c>
      <c r="C49" t="str">
        <v>Noaberhof de Rijkskweek</v>
      </c>
      <c r="D49" t="str">
        <v>Stadswoningen</v>
      </c>
      <c r="E49" t="str">
        <v>B1</v>
      </c>
      <c r="F49" t="str">
        <v>7551</v>
      </c>
      <c r="G49" t="str">
        <v>Hengelo (OV)</v>
      </c>
      <c r="H49" t="str">
        <v>Hengelo (O)</v>
      </c>
      <c r="I49" t="str">
        <v>Overijssel</v>
      </c>
      <c r="J49" t="str">
        <v>Oost-Nederland</v>
      </c>
      <c r="K49" t="str">
        <v>Te koop</v>
      </c>
      <c r="L49" t="str">
        <v>Onbekend</v>
      </c>
      <c r="M49" t="str">
        <v>Onbekend</v>
      </c>
      <c r="N49">
        <v>485000</v>
      </c>
      <c r="O49" t="str">
        <v>v.o.n.</v>
      </c>
      <c r="P49">
        <v>104</v>
      </c>
      <c r="Q49">
        <v>4663</v>
      </c>
      <c r="R49">
        <v>69</v>
      </c>
      <c r="S49" t="str">
        <v>A+++</v>
      </c>
      <c r="T49">
        <v>4</v>
      </c>
      <c r="U49">
        <v>3</v>
      </c>
      <c r="V49" t="str">
        <v>Grondgebonden</v>
      </c>
      <c r="W49" t="str">
        <v>Hoekwoning</v>
      </c>
      <c r="X49" t="str">
        <v>N.v.t.</v>
      </c>
      <c r="Y49" t="str">
        <v>Ja</v>
      </c>
      <c r="Z49" t="str">
        <v>parkeerterrein</v>
      </c>
      <c r="AA49" t="str">
        <v>Na 2020</v>
      </c>
      <c r="AB49" t="str">
        <v>Nee</v>
      </c>
      <c r="AC49" t="str">
        <v>NEE</v>
      </c>
      <c r="AD49" t="str">
        <v>JA</v>
      </c>
    </row>
    <row r="50">
      <c r="A50" t="str">
        <v>44420052</v>
      </c>
      <c r="B50" t="str">
        <v>https://www.funda.nl/detail/koop/hengelo-ov/appartement-appartementen-bouwnr-2/44420052/</v>
      </c>
      <c r="C50" t="str">
        <v>Noaberhof de Rijkskweek</v>
      </c>
      <c r="D50" t="str">
        <v>Appartementen</v>
      </c>
      <c r="E50" t="str">
        <v>2</v>
      </c>
      <c r="F50" t="str">
        <v>7551</v>
      </c>
      <c r="G50" t="str">
        <v>Hengelo (OV)</v>
      </c>
      <c r="H50" t="str">
        <v>Hengelo (O)</v>
      </c>
      <c r="I50" t="str">
        <v>Overijssel</v>
      </c>
      <c r="J50" t="str">
        <v>Oost-Nederland</v>
      </c>
      <c r="K50" t="str">
        <v>Te koop</v>
      </c>
      <c r="L50" t="str">
        <v>Onbekend</v>
      </c>
      <c r="M50" t="str">
        <v>Onbekend</v>
      </c>
      <c r="N50">
        <v>439000</v>
      </c>
      <c r="O50" t="str">
        <v>v.o.n.</v>
      </c>
      <c r="P50">
        <v>85</v>
      </c>
      <c r="Q50">
        <v>5165</v>
      </c>
      <c r="R50" t="str">
        <v>Onbekend</v>
      </c>
      <c r="S50" t="str">
        <v>A+++</v>
      </c>
      <c r="T50">
        <v>3</v>
      </c>
      <c r="U50">
        <v>2</v>
      </c>
      <c r="V50" t="str">
        <v>Appartement</v>
      </c>
      <c r="W50" t="str">
        <v>Appartement</v>
      </c>
      <c r="X50" t="str">
        <v>Appartement 75-100 m²</v>
      </c>
      <c r="Y50" t="str">
        <v>Ja</v>
      </c>
      <c r="Z50" t="str">
        <v>garage</v>
      </c>
      <c r="AA50" t="str">
        <v>Na 2020</v>
      </c>
      <c r="AB50" t="str">
        <v>Nee</v>
      </c>
      <c r="AC50" t="str">
        <v>NEE</v>
      </c>
      <c r="AD50" t="str">
        <v>JA</v>
      </c>
    </row>
    <row r="51">
      <c r="A51" t="str">
        <v>44420163</v>
      </c>
      <c r="B51" t="str">
        <v>https://www.funda.nl/detail/koop/hengelo-ov/appartement-appartementen-bouwnr-6/44420163/</v>
      </c>
      <c r="C51" t="str">
        <v>Noaberhof de Rijkskweek</v>
      </c>
      <c r="D51" t="str">
        <v>Appartementen</v>
      </c>
      <c r="E51" t="str">
        <v>6</v>
      </c>
      <c r="F51" t="str">
        <v>7551</v>
      </c>
      <c r="G51" t="str">
        <v>Hengelo (OV)</v>
      </c>
      <c r="H51" t="str">
        <v>Hengelo (O)</v>
      </c>
      <c r="I51" t="str">
        <v>Overijssel</v>
      </c>
      <c r="J51" t="str">
        <v>Oost-Nederland</v>
      </c>
      <c r="K51" t="str">
        <v>Te koop</v>
      </c>
      <c r="L51" t="str">
        <v>Onbekend</v>
      </c>
      <c r="M51" t="str">
        <v>Onbekend</v>
      </c>
      <c r="N51">
        <v>715000</v>
      </c>
      <c r="O51" t="str">
        <v>v.o.n.</v>
      </c>
      <c r="P51">
        <v>138</v>
      </c>
      <c r="Q51">
        <v>5181</v>
      </c>
      <c r="R51" t="str">
        <v>Onbekend</v>
      </c>
      <c r="S51" t="str">
        <v>A+++</v>
      </c>
      <c r="T51">
        <v>4</v>
      </c>
      <c r="U51">
        <v>3</v>
      </c>
      <c r="V51" t="str">
        <v>Appartement</v>
      </c>
      <c r="W51" t="str">
        <v>Appartement</v>
      </c>
      <c r="X51" t="str">
        <v>Appartement &gt;100 m²</v>
      </c>
      <c r="Y51" t="str">
        <v>Ja</v>
      </c>
      <c r="Z51" t="str">
        <v>garage</v>
      </c>
      <c r="AA51" t="str">
        <v>Na 2020</v>
      </c>
      <c r="AB51" t="str">
        <v>Nee</v>
      </c>
      <c r="AC51" t="str">
        <v>NEE</v>
      </c>
      <c r="AD51" t="str">
        <v>JA</v>
      </c>
    </row>
    <row r="52">
      <c r="A52" t="str">
        <v>44420164</v>
      </c>
      <c r="B52" t="str">
        <v>https://www.funda.nl/detail/koop/hengelo-ov/appartement-appartementen-bouwnr-12/44420164/</v>
      </c>
      <c r="C52" t="str">
        <v>Noaberhof de Rijkskweek</v>
      </c>
      <c r="D52" t="str">
        <v>Appartementen</v>
      </c>
      <c r="E52" t="str">
        <v>12</v>
      </c>
      <c r="F52" t="str">
        <v>7551</v>
      </c>
      <c r="G52" t="str">
        <v>Hengelo (OV)</v>
      </c>
      <c r="H52" t="str">
        <v>Hengelo (O)</v>
      </c>
      <c r="I52" t="str">
        <v>Overijssel</v>
      </c>
      <c r="J52" t="str">
        <v>Oost-Nederland</v>
      </c>
      <c r="K52" t="str">
        <v>Te koop</v>
      </c>
      <c r="L52" t="str">
        <v>Onbekend</v>
      </c>
      <c r="M52" t="str">
        <v>Onbekend</v>
      </c>
      <c r="N52">
        <v>765000</v>
      </c>
      <c r="O52" t="str">
        <v>v.o.n.</v>
      </c>
      <c r="P52">
        <v>138</v>
      </c>
      <c r="Q52">
        <v>5543</v>
      </c>
      <c r="R52" t="str">
        <v>Onbekend</v>
      </c>
      <c r="S52" t="str">
        <v>A+++</v>
      </c>
      <c r="T52">
        <v>4</v>
      </c>
      <c r="U52">
        <v>3</v>
      </c>
      <c r="V52" t="str">
        <v>Appartement</v>
      </c>
      <c r="W52" t="str">
        <v>Appartement</v>
      </c>
      <c r="X52" t="str">
        <v>Appartement &gt;100 m²</v>
      </c>
      <c r="Y52" t="str">
        <v>Ja</v>
      </c>
      <c r="Z52" t="str">
        <v>garage</v>
      </c>
      <c r="AA52" t="str">
        <v>Na 2020</v>
      </c>
      <c r="AB52" t="str">
        <v>Nee</v>
      </c>
      <c r="AC52" t="str">
        <v>NEE</v>
      </c>
      <c r="AD52" t="str">
        <v>JA</v>
      </c>
    </row>
    <row r="53">
      <c r="A53" t="str">
        <v>44420165</v>
      </c>
      <c r="B53" t="str">
        <v>https://www.funda.nl/detail/koop/hengelo-ov/appartement-appartementen-bouwnr-3/44420165/</v>
      </c>
      <c r="C53" t="str">
        <v>Noaberhof de Rijkskweek</v>
      </c>
      <c r="D53" t="str">
        <v>Appartementen</v>
      </c>
      <c r="E53" t="str">
        <v>3</v>
      </c>
      <c r="F53" t="str">
        <v>7551</v>
      </c>
      <c r="G53" t="str">
        <v>Hengelo (OV)</v>
      </c>
      <c r="H53" t="str">
        <v>Hengelo (O)</v>
      </c>
      <c r="I53" t="str">
        <v>Overijssel</v>
      </c>
      <c r="J53" t="str">
        <v>Oost-Nederland</v>
      </c>
      <c r="K53" t="str">
        <v>Te koop</v>
      </c>
      <c r="L53" t="str">
        <v>Onbekend</v>
      </c>
      <c r="M53" t="str">
        <v>Onbekend</v>
      </c>
      <c r="N53">
        <v>715000</v>
      </c>
      <c r="O53" t="str">
        <v>v.o.n.</v>
      </c>
      <c r="P53">
        <v>138</v>
      </c>
      <c r="Q53">
        <v>5181</v>
      </c>
      <c r="R53" t="str">
        <v>Onbekend</v>
      </c>
      <c r="S53" t="str">
        <v>A+++</v>
      </c>
      <c r="T53">
        <v>4</v>
      </c>
      <c r="U53">
        <v>3</v>
      </c>
      <c r="V53" t="str">
        <v>Appartement</v>
      </c>
      <c r="W53" t="str">
        <v>Appartement</v>
      </c>
      <c r="X53" t="str">
        <v>Appartement &gt;100 m²</v>
      </c>
      <c r="Y53" t="str">
        <v>Ja</v>
      </c>
      <c r="Z53" t="str">
        <v>garage</v>
      </c>
      <c r="AA53" t="str">
        <v>Na 2020</v>
      </c>
      <c r="AB53" t="str">
        <v>Nee</v>
      </c>
      <c r="AC53" t="str">
        <v>NEE</v>
      </c>
      <c r="AD53" t="str">
        <v>JA</v>
      </c>
    </row>
    <row r="54">
      <c r="A54" t="str">
        <v>44420167</v>
      </c>
      <c r="B54" t="str">
        <v>https://www.funda.nl/detail/koop/hengelo-ov/appartement-appartementen-bouwnr-4/44420167/</v>
      </c>
      <c r="C54" t="str">
        <v>Noaberhof de Rijkskweek</v>
      </c>
      <c r="D54" t="str">
        <v>Appartementen</v>
      </c>
      <c r="E54" t="str">
        <v>4</v>
      </c>
      <c r="F54" t="str">
        <v>7551</v>
      </c>
      <c r="G54" t="str">
        <v>Hengelo (OV)</v>
      </c>
      <c r="H54" t="str">
        <v>Hengelo (O)</v>
      </c>
      <c r="I54" t="str">
        <v>Overijssel</v>
      </c>
      <c r="J54" t="str">
        <v>Oost-Nederland</v>
      </c>
      <c r="K54" t="str">
        <v>Te koop</v>
      </c>
      <c r="L54" t="str">
        <v>Onbekend</v>
      </c>
      <c r="M54" t="str">
        <v>Onbekend</v>
      </c>
      <c r="N54">
        <v>459000</v>
      </c>
      <c r="O54" t="str">
        <v>v.o.n.</v>
      </c>
      <c r="P54">
        <v>89</v>
      </c>
      <c r="Q54">
        <v>5157</v>
      </c>
      <c r="R54" t="str">
        <v>Onbekend</v>
      </c>
      <c r="S54" t="str">
        <v>A+++</v>
      </c>
      <c r="T54">
        <v>3</v>
      </c>
      <c r="U54">
        <v>2</v>
      </c>
      <c r="V54" t="str">
        <v>Appartement</v>
      </c>
      <c r="W54" t="str">
        <v>Appartement</v>
      </c>
      <c r="X54" t="str">
        <v>Appartement 75-100 m²</v>
      </c>
      <c r="Y54" t="str">
        <v>Ja</v>
      </c>
      <c r="Z54" t="str">
        <v>garage</v>
      </c>
      <c r="AA54" t="str">
        <v>Na 2020</v>
      </c>
      <c r="AB54" t="str">
        <v>Nee</v>
      </c>
      <c r="AC54" t="str">
        <v>NEE</v>
      </c>
      <c r="AD54" t="str">
        <v>JA</v>
      </c>
    </row>
    <row r="55">
      <c r="A55" t="str">
        <v>44420168</v>
      </c>
      <c r="B55" t="str">
        <v>https://www.funda.nl/detail/koop/hengelo-ov/appartement-appartementen-bouwnr-15/44420168/</v>
      </c>
      <c r="C55" t="str">
        <v>Noaberhof de Rijkskweek</v>
      </c>
      <c r="D55" t="str">
        <v>Appartementen</v>
      </c>
      <c r="E55" t="str">
        <v>15</v>
      </c>
      <c r="F55" t="str">
        <v>7551</v>
      </c>
      <c r="G55" t="str">
        <v>Hengelo (OV)</v>
      </c>
      <c r="H55" t="str">
        <v>Hengelo (O)</v>
      </c>
      <c r="I55" t="str">
        <v>Overijssel</v>
      </c>
      <c r="J55" t="str">
        <v>Oost-Nederland</v>
      </c>
      <c r="K55" t="str">
        <v>Te koop</v>
      </c>
      <c r="L55" t="str">
        <v>2026-07-07</v>
      </c>
      <c r="M55">
        <v>6</v>
      </c>
      <c r="N55">
        <v>795000</v>
      </c>
      <c r="O55" t="str">
        <v>v.o.n.</v>
      </c>
      <c r="P55">
        <v>138</v>
      </c>
      <c r="Q55">
        <v>5761</v>
      </c>
      <c r="R55" t="str">
        <v>Onbekend</v>
      </c>
      <c r="S55" t="str">
        <v>A+++</v>
      </c>
      <c r="T55">
        <v>4</v>
      </c>
      <c r="U55">
        <v>3</v>
      </c>
      <c r="V55" t="str">
        <v>Appartement</v>
      </c>
      <c r="W55" t="str">
        <v>Appartement</v>
      </c>
      <c r="X55" t="str">
        <v>Appartement &gt;100 m²</v>
      </c>
      <c r="Y55" t="str">
        <v>Ja</v>
      </c>
      <c r="Z55" t="str">
        <v>garage</v>
      </c>
      <c r="AA55" t="str">
        <v>Na 2020</v>
      </c>
      <c r="AB55" t="str">
        <v>Nee</v>
      </c>
      <c r="AC55" t="str">
        <v>NEE</v>
      </c>
      <c r="AD55" t="str">
        <v>JA</v>
      </c>
    </row>
    <row r="56">
      <c r="A56" t="str">
        <v>44420169</v>
      </c>
      <c r="B56" t="str">
        <v>https://www.funda.nl/detail/koop/hengelo-ov/appartement-appartementen-bouwnr-9/44420169/</v>
      </c>
      <c r="C56" t="str">
        <v>Noaberhof de Rijkskweek</v>
      </c>
      <c r="D56" t="str">
        <v>Appartementen</v>
      </c>
      <c r="E56" t="str">
        <v>9</v>
      </c>
      <c r="F56" t="str">
        <v>7551</v>
      </c>
      <c r="G56" t="str">
        <v>Hengelo (OV)</v>
      </c>
      <c r="H56" t="str">
        <v>Hengelo (O)</v>
      </c>
      <c r="I56" t="str">
        <v>Overijssel</v>
      </c>
      <c r="J56" t="str">
        <v>Oost-Nederland</v>
      </c>
      <c r="K56" t="str">
        <v>Te koop</v>
      </c>
      <c r="L56" t="str">
        <v>Onbekend</v>
      </c>
      <c r="M56" t="str">
        <v>Onbekend</v>
      </c>
      <c r="N56">
        <v>735000</v>
      </c>
      <c r="O56" t="str">
        <v>v.o.n.</v>
      </c>
      <c r="P56">
        <v>138</v>
      </c>
      <c r="Q56">
        <v>5326</v>
      </c>
      <c r="R56" t="str">
        <v>Onbekend</v>
      </c>
      <c r="S56" t="str">
        <v>A+++</v>
      </c>
      <c r="T56">
        <v>4</v>
      </c>
      <c r="U56">
        <v>3</v>
      </c>
      <c r="V56" t="str">
        <v>Appartement</v>
      </c>
      <c r="W56" t="str">
        <v>Appartement</v>
      </c>
      <c r="X56" t="str">
        <v>Appartement &gt;100 m²</v>
      </c>
      <c r="Y56" t="str">
        <v>Ja</v>
      </c>
      <c r="Z56" t="str">
        <v>garage</v>
      </c>
      <c r="AA56" t="str">
        <v>Na 2020</v>
      </c>
      <c r="AB56" t="str">
        <v>Nee</v>
      </c>
      <c r="AC56" t="str">
        <v>NEE</v>
      </c>
      <c r="AD56" t="str">
        <v>JA</v>
      </c>
    </row>
    <row r="57">
      <c r="A57" t="str">
        <v>44420051</v>
      </c>
      <c r="B57" t="str">
        <v>https://www.funda.nl/detail/koop/hengelo-ov/appartement-appartementen-bouwnr-11/44420051/</v>
      </c>
      <c r="C57" t="str">
        <v>Noaberhof de Rijkskweek</v>
      </c>
      <c r="D57" t="str">
        <v>Appartementen</v>
      </c>
      <c r="E57" t="str">
        <v>11</v>
      </c>
      <c r="F57" t="str">
        <v>7551</v>
      </c>
      <c r="G57" t="str">
        <v>Hengelo (OV)</v>
      </c>
      <c r="H57" t="str">
        <v>Hengelo (O)</v>
      </c>
      <c r="I57" t="str">
        <v>Overijssel</v>
      </c>
      <c r="J57" t="str">
        <v>Oost-Nederland</v>
      </c>
      <c r="K57" t="str">
        <v>Te koop</v>
      </c>
      <c r="L57" t="str">
        <v>Onbekend</v>
      </c>
      <c r="M57" t="str">
        <v>Onbekend</v>
      </c>
      <c r="N57">
        <v>635000</v>
      </c>
      <c r="O57" t="str">
        <v>v.o.n.</v>
      </c>
      <c r="P57">
        <v>134</v>
      </c>
      <c r="Q57">
        <v>4739</v>
      </c>
      <c r="R57" t="str">
        <v>Onbekend</v>
      </c>
      <c r="S57" t="str">
        <v>A+++</v>
      </c>
      <c r="T57">
        <v>4</v>
      </c>
      <c r="U57">
        <v>3</v>
      </c>
      <c r="V57" t="str">
        <v>Appartement</v>
      </c>
      <c r="W57" t="str">
        <v>Appartement</v>
      </c>
      <c r="X57" t="str">
        <v>Appartement &gt;100 m²</v>
      </c>
      <c r="Y57" t="str">
        <v>Ja</v>
      </c>
      <c r="Z57" t="str">
        <v>garage</v>
      </c>
      <c r="AA57" t="str">
        <v>Na 2020</v>
      </c>
      <c r="AB57" t="str">
        <v>Nee</v>
      </c>
      <c r="AC57" t="str">
        <v>NEE</v>
      </c>
      <c r="AD57" t="str">
        <v>JA</v>
      </c>
    </row>
    <row r="58">
      <c r="A58" t="str">
        <v>44420162</v>
      </c>
      <c r="B58" t="str">
        <v>https://www.funda.nl/detail/koop/hengelo-ov/appartement-appartementen-bouwnr-16/44420162/</v>
      </c>
      <c r="C58" t="str">
        <v>Noaberhof de Rijkskweek</v>
      </c>
      <c r="D58" t="str">
        <v>Appartementen</v>
      </c>
      <c r="E58" t="str">
        <v>16</v>
      </c>
      <c r="F58" t="str">
        <v>7551</v>
      </c>
      <c r="G58" t="str">
        <v>Hengelo (OV)</v>
      </c>
      <c r="H58" t="str">
        <v>Hengelo (O)</v>
      </c>
      <c r="I58" t="str">
        <v>Overijssel</v>
      </c>
      <c r="J58" t="str">
        <v>Oost-Nederland</v>
      </c>
      <c r="K58" t="str">
        <v>Te koop</v>
      </c>
      <c r="L58" t="str">
        <v>Onbekend</v>
      </c>
      <c r="M58" t="str">
        <v>Onbekend</v>
      </c>
      <c r="N58">
        <v>495000</v>
      </c>
      <c r="O58" t="str">
        <v>v.o.n.</v>
      </c>
      <c r="P58">
        <v>89</v>
      </c>
      <c r="Q58">
        <v>5562</v>
      </c>
      <c r="R58" t="str">
        <v>Onbekend</v>
      </c>
      <c r="S58" t="str">
        <v>A+++</v>
      </c>
      <c r="T58">
        <v>3</v>
      </c>
      <c r="U58">
        <v>2</v>
      </c>
      <c r="V58" t="str">
        <v>Appartement</v>
      </c>
      <c r="W58" t="str">
        <v>Appartement</v>
      </c>
      <c r="X58" t="str">
        <v>Appartement 75-100 m²</v>
      </c>
      <c r="Y58" t="str">
        <v>Ja</v>
      </c>
      <c r="Z58" t="str">
        <v>garage</v>
      </c>
      <c r="AA58" t="str">
        <v>Na 2020</v>
      </c>
      <c r="AB58" t="str">
        <v>Nee</v>
      </c>
      <c r="AC58" t="str">
        <v>NEE</v>
      </c>
      <c r="AD58" t="str">
        <v>JA</v>
      </c>
    </row>
    <row r="59">
      <c r="A59" t="str">
        <v>44420173</v>
      </c>
      <c r="B59" t="str">
        <v>https://www.funda.nl/detail/koop/hengelo-ov/appartement-appartementen-bouwnr-19/44420173/</v>
      </c>
      <c r="C59" t="str">
        <v>Noaberhof de Rijkskweek</v>
      </c>
      <c r="D59" t="str">
        <v>Appartementen</v>
      </c>
      <c r="E59" t="str">
        <v>19</v>
      </c>
      <c r="F59" t="str">
        <v>7551</v>
      </c>
      <c r="G59" t="str">
        <v>Hengelo (OV)</v>
      </c>
      <c r="H59" t="str">
        <v>Hengelo (O)</v>
      </c>
      <c r="I59" t="str">
        <v>Overijssel</v>
      </c>
      <c r="J59" t="str">
        <v>Oost-Nederland</v>
      </c>
      <c r="K59" t="str">
        <v>Te koop</v>
      </c>
      <c r="L59" t="str">
        <v>Onbekend</v>
      </c>
      <c r="M59" t="str">
        <v>Onbekend</v>
      </c>
      <c r="N59">
        <v>930000</v>
      </c>
      <c r="O59" t="str">
        <v>v.o.n.</v>
      </c>
      <c r="P59">
        <v>164</v>
      </c>
      <c r="Q59">
        <v>5671</v>
      </c>
      <c r="R59" t="str">
        <v>Onbekend</v>
      </c>
      <c r="S59" t="str">
        <v>A+++</v>
      </c>
      <c r="T59">
        <v>3</v>
      </c>
      <c r="U59">
        <v>2</v>
      </c>
      <c r="V59" t="str">
        <v>Appartement</v>
      </c>
      <c r="W59" t="str">
        <v>Appartement</v>
      </c>
      <c r="X59" t="str">
        <v>Appartement &gt;100 m²</v>
      </c>
      <c r="Y59" t="str">
        <v>Ja</v>
      </c>
      <c r="Z59" t="str">
        <v>garage</v>
      </c>
      <c r="AA59" t="str">
        <v>Na 2020</v>
      </c>
      <c r="AB59" t="str">
        <v>Nee</v>
      </c>
      <c r="AC59" t="str">
        <v>NEE</v>
      </c>
      <c r="AD59" t="str">
        <v>JA</v>
      </c>
    </row>
    <row r="60">
      <c r="A60" t="str">
        <v>44420166</v>
      </c>
      <c r="B60" t="str">
        <v>https://www.funda.nl/detail/koop/hengelo-ov/appartement-appartementen-bouwnr-8/44420166/</v>
      </c>
      <c r="C60" t="str">
        <v>Noaberhof de Rijkskweek</v>
      </c>
      <c r="D60" t="str">
        <v>Appartementen</v>
      </c>
      <c r="E60" t="str">
        <v>8</v>
      </c>
      <c r="F60" t="str">
        <v>7551</v>
      </c>
      <c r="G60" t="str">
        <v>Hengelo (OV)</v>
      </c>
      <c r="H60" t="str">
        <v>Hengelo (O)</v>
      </c>
      <c r="I60" t="str">
        <v>Overijssel</v>
      </c>
      <c r="J60" t="str">
        <v>Oost-Nederland</v>
      </c>
      <c r="K60" t="str">
        <v>Te koop</v>
      </c>
      <c r="L60" t="str">
        <v>Onbekend</v>
      </c>
      <c r="M60" t="str">
        <v>Onbekend</v>
      </c>
      <c r="N60">
        <v>625000</v>
      </c>
      <c r="O60" t="str">
        <v>v.o.n.</v>
      </c>
      <c r="P60">
        <v>134</v>
      </c>
      <c r="Q60">
        <v>4664</v>
      </c>
      <c r="R60" t="str">
        <v>Onbekend</v>
      </c>
      <c r="S60" t="str">
        <v>A+++</v>
      </c>
      <c r="T60">
        <v>4</v>
      </c>
      <c r="U60">
        <v>3</v>
      </c>
      <c r="V60" t="str">
        <v>Appartement</v>
      </c>
      <c r="W60" t="str">
        <v>Appartement</v>
      </c>
      <c r="X60" t="str">
        <v>Appartement &gt;100 m²</v>
      </c>
      <c r="Y60" t="str">
        <v>Ja</v>
      </c>
      <c r="Z60" t="str">
        <v>garage</v>
      </c>
      <c r="AA60" t="str">
        <v>Na 2020</v>
      </c>
      <c r="AB60" t="str">
        <v>Nee</v>
      </c>
      <c r="AC60" t="str">
        <v>NEE</v>
      </c>
      <c r="AD60" t="str">
        <v>JA</v>
      </c>
    </row>
    <row r="61">
      <c r="A61" t="str">
        <v>44420178</v>
      </c>
      <c r="B61" t="str">
        <v>https://www.funda.nl/detail/koop/hengelo-ov/appartement-appartementen-bouwnr-7/44420178/</v>
      </c>
      <c r="C61" t="str">
        <v>Noaberhof de Rijkskweek</v>
      </c>
      <c r="D61" t="str">
        <v>Appartementen</v>
      </c>
      <c r="E61" t="str">
        <v>7</v>
      </c>
      <c r="F61" t="str">
        <v>7551</v>
      </c>
      <c r="G61" t="str">
        <v>Hengelo (OV)</v>
      </c>
      <c r="H61" t="str">
        <v>Hengelo (O)</v>
      </c>
      <c r="I61" t="str">
        <v>Overijssel</v>
      </c>
      <c r="J61" t="str">
        <v>Oost-Nederland</v>
      </c>
      <c r="K61" t="str">
        <v>Te koop</v>
      </c>
      <c r="L61" t="str">
        <v>Onbekend</v>
      </c>
      <c r="M61" t="str">
        <v>Onbekend</v>
      </c>
      <c r="N61">
        <v>459000</v>
      </c>
      <c r="O61" t="str">
        <v>v.o.n.</v>
      </c>
      <c r="P61">
        <v>89</v>
      </c>
      <c r="Q61">
        <v>5157</v>
      </c>
      <c r="R61" t="str">
        <v>Onbekend</v>
      </c>
      <c r="S61" t="str">
        <v>A+++</v>
      </c>
      <c r="T61">
        <v>3</v>
      </c>
      <c r="U61">
        <v>2</v>
      </c>
      <c r="V61" t="str">
        <v>Appartement</v>
      </c>
      <c r="W61" t="str">
        <v>Appartement</v>
      </c>
      <c r="X61" t="str">
        <v>Appartement 75-100 m²</v>
      </c>
      <c r="Y61" t="str">
        <v>Ja</v>
      </c>
      <c r="Z61" t="str">
        <v>garage</v>
      </c>
      <c r="AA61" t="str">
        <v>Na 2020</v>
      </c>
      <c r="AB61" t="str">
        <v>Nee</v>
      </c>
      <c r="AC61" t="str">
        <v>NEE</v>
      </c>
      <c r="AD61" t="str">
        <v>JA</v>
      </c>
    </row>
    <row r="62">
      <c r="A62" t="str">
        <v>44420179</v>
      </c>
      <c r="B62" t="str">
        <v>https://www.funda.nl/detail/koop/hengelo-ov/appartement-appartementen-bouwnr-13/44420179/</v>
      </c>
      <c r="C62" t="str">
        <v>Noaberhof de Rijkskweek</v>
      </c>
      <c r="D62" t="str">
        <v>Appartementen</v>
      </c>
      <c r="E62" t="str">
        <v>13</v>
      </c>
      <c r="F62" t="str">
        <v>7551</v>
      </c>
      <c r="G62" t="str">
        <v>Hengelo (OV)</v>
      </c>
      <c r="H62" t="str">
        <v>Hengelo (O)</v>
      </c>
      <c r="I62" t="str">
        <v>Overijssel</v>
      </c>
      <c r="J62" t="str">
        <v>Oost-Nederland</v>
      </c>
      <c r="K62" t="str">
        <v>Te koop</v>
      </c>
      <c r="L62" t="str">
        <v>Onbekend</v>
      </c>
      <c r="M62" t="str">
        <v>Onbekend</v>
      </c>
      <c r="N62">
        <v>479000</v>
      </c>
      <c r="O62" t="str">
        <v>v.o.n.</v>
      </c>
      <c r="P62">
        <v>89</v>
      </c>
      <c r="Q62">
        <v>5382</v>
      </c>
      <c r="R62" t="str">
        <v>Onbekend</v>
      </c>
      <c r="S62" t="str">
        <v>A+++</v>
      </c>
      <c r="T62">
        <v>3</v>
      </c>
      <c r="U62">
        <v>2</v>
      </c>
      <c r="V62" t="str">
        <v>Appartement</v>
      </c>
      <c r="W62" t="str">
        <v>Appartement</v>
      </c>
      <c r="X62" t="str">
        <v>Appartement 75-100 m²</v>
      </c>
      <c r="Y62" t="str">
        <v>Ja</v>
      </c>
      <c r="Z62" t="str">
        <v>garage</v>
      </c>
      <c r="AA62" t="str">
        <v>Na 2020</v>
      </c>
      <c r="AB62" t="str">
        <v>Nee</v>
      </c>
      <c r="AC62" t="str">
        <v>NEE</v>
      </c>
      <c r="AD62" t="str">
        <v>JA</v>
      </c>
    </row>
    <row r="63">
      <c r="A63" t="str">
        <v>44420170</v>
      </c>
      <c r="B63" t="str">
        <v>https://www.funda.nl/detail/koop/hengelo-ov/appartement-appartementen-bouwnr-17/44420170/</v>
      </c>
      <c r="C63" t="str">
        <v>Noaberhof de Rijkskweek</v>
      </c>
      <c r="D63" t="str">
        <v>Appartementen</v>
      </c>
      <c r="E63" t="str">
        <v>17</v>
      </c>
      <c r="F63" t="str">
        <v>7551</v>
      </c>
      <c r="G63" t="str">
        <v>Hengelo (OV)</v>
      </c>
      <c r="H63" t="str">
        <v>Hengelo (O)</v>
      </c>
      <c r="I63" t="str">
        <v>Overijssel</v>
      </c>
      <c r="J63" t="str">
        <v>Oost-Nederland</v>
      </c>
      <c r="K63" t="str">
        <v>Te koop</v>
      </c>
      <c r="L63" t="str">
        <v>Onbekend</v>
      </c>
      <c r="M63" t="str">
        <v>Onbekend</v>
      </c>
      <c r="N63">
        <v>685000</v>
      </c>
      <c r="O63" t="str">
        <v>v.o.n.</v>
      </c>
      <c r="P63">
        <v>134</v>
      </c>
      <c r="Q63">
        <v>5112</v>
      </c>
      <c r="R63" t="str">
        <v>Onbekend</v>
      </c>
      <c r="S63" t="str">
        <v>A+++</v>
      </c>
      <c r="T63">
        <v>4</v>
      </c>
      <c r="U63">
        <v>3</v>
      </c>
      <c r="V63" t="str">
        <v>Appartement</v>
      </c>
      <c r="W63" t="str">
        <v>Appartement</v>
      </c>
      <c r="X63" t="str">
        <v>Appartement &gt;100 m²</v>
      </c>
      <c r="Y63" t="str">
        <v>Ja</v>
      </c>
      <c r="Z63" t="str">
        <v>garage</v>
      </c>
      <c r="AA63" t="str">
        <v>Na 2020</v>
      </c>
      <c r="AB63" t="str">
        <v>Nee</v>
      </c>
      <c r="AC63" t="str">
        <v>NEE</v>
      </c>
      <c r="AD63" t="str">
        <v>JA</v>
      </c>
    </row>
    <row r="64">
      <c r="A64" t="str">
        <v>44420183</v>
      </c>
      <c r="B64" t="str">
        <v>https://www.funda.nl/detail/koop/hengelo-ov/appartement-appartementen-bouwnr-14/44420183/</v>
      </c>
      <c r="C64" t="str">
        <v>Noaberhof de Rijkskweek</v>
      </c>
      <c r="D64" t="str">
        <v>Appartementen</v>
      </c>
      <c r="E64" t="str">
        <v>14</v>
      </c>
      <c r="F64" t="str">
        <v>7551</v>
      </c>
      <c r="G64" t="str">
        <v>Hengelo (OV)</v>
      </c>
      <c r="H64" t="str">
        <v>Hengelo (O)</v>
      </c>
      <c r="I64" t="str">
        <v>Overijssel</v>
      </c>
      <c r="J64" t="str">
        <v>Oost-Nederland</v>
      </c>
      <c r="K64" t="str">
        <v>Te koop</v>
      </c>
      <c r="L64" t="str">
        <v>Onbekend</v>
      </c>
      <c r="M64" t="str">
        <v>Onbekend</v>
      </c>
      <c r="N64">
        <v>655000</v>
      </c>
      <c r="O64" t="str">
        <v>v.o.n.</v>
      </c>
      <c r="P64">
        <v>134</v>
      </c>
      <c r="Q64">
        <v>4888</v>
      </c>
      <c r="R64" t="str">
        <v>Onbekend</v>
      </c>
      <c r="S64" t="str">
        <v>A+++</v>
      </c>
      <c r="T64">
        <v>4</v>
      </c>
      <c r="U64">
        <v>3</v>
      </c>
      <c r="V64" t="str">
        <v>Appartement</v>
      </c>
      <c r="W64" t="str">
        <v>Appartement</v>
      </c>
      <c r="X64" t="str">
        <v>Appartement &gt;100 m²</v>
      </c>
      <c r="Y64" t="str">
        <v>Ja</v>
      </c>
      <c r="Z64" t="str">
        <v>garage</v>
      </c>
      <c r="AA64" t="str">
        <v>Na 2020</v>
      </c>
      <c r="AB64" t="str">
        <v>Nee</v>
      </c>
      <c r="AC64" t="str">
        <v>NEE</v>
      </c>
      <c r="AD64" t="str">
        <v>JA</v>
      </c>
    </row>
    <row r="65">
      <c r="A65" t="str">
        <v>44420160</v>
      </c>
      <c r="B65" t="str">
        <v>https://www.funda.nl/detail/koop/hengelo-ov/appartement-appartementen-bouwnr-5/44420160/</v>
      </c>
      <c r="C65" t="str">
        <v>Noaberhof de Rijkskweek</v>
      </c>
      <c r="D65" t="str">
        <v>Appartementen</v>
      </c>
      <c r="E65" t="str">
        <v>5</v>
      </c>
      <c r="F65" t="str">
        <v>7551</v>
      </c>
      <c r="G65" t="str">
        <v>Hengelo (OV)</v>
      </c>
      <c r="H65" t="str">
        <v>Hengelo (O)</v>
      </c>
      <c r="I65" t="str">
        <v>Overijssel</v>
      </c>
      <c r="J65" t="str">
        <v>Oost-Nederland</v>
      </c>
      <c r="K65" t="str">
        <v>Te koop</v>
      </c>
      <c r="L65" t="str">
        <v>Onbekend</v>
      </c>
      <c r="M65" t="str">
        <v>Onbekend</v>
      </c>
      <c r="N65">
        <v>615000</v>
      </c>
      <c r="O65" t="str">
        <v>v.o.n.</v>
      </c>
      <c r="P65">
        <v>134</v>
      </c>
      <c r="Q65">
        <v>4590</v>
      </c>
      <c r="R65" t="str">
        <v>Onbekend</v>
      </c>
      <c r="S65" t="str">
        <v>A+++</v>
      </c>
      <c r="T65">
        <v>4</v>
      </c>
      <c r="U65">
        <v>3</v>
      </c>
      <c r="V65" t="str">
        <v>Appartement</v>
      </c>
      <c r="W65" t="str">
        <v>Appartement</v>
      </c>
      <c r="X65" t="str">
        <v>Appartement &gt;100 m²</v>
      </c>
      <c r="Y65" t="str">
        <v>Ja</v>
      </c>
      <c r="Z65" t="str">
        <v>garage</v>
      </c>
      <c r="AA65" t="str">
        <v>Na 2020</v>
      </c>
      <c r="AB65" t="str">
        <v>Nee</v>
      </c>
      <c r="AC65" t="str">
        <v>NEE</v>
      </c>
      <c r="AD65" t="str">
        <v>JA</v>
      </c>
    </row>
    <row r="66">
      <c r="A66" t="str">
        <v>44420186</v>
      </c>
      <c r="B66" t="str">
        <v>https://www.funda.nl/detail/koop/hengelo-ov/appartement-appartementen-bouwnr-18/44420186/</v>
      </c>
      <c r="C66" t="str">
        <v>Noaberhof de Rijkskweek</v>
      </c>
      <c r="D66" t="str">
        <v>Appartementen</v>
      </c>
      <c r="E66" t="str">
        <v>18</v>
      </c>
      <c r="F66" t="str">
        <v>7551</v>
      </c>
      <c r="G66" t="str">
        <v>Hengelo (OV)</v>
      </c>
      <c r="H66" t="str">
        <v>Hengelo (O)</v>
      </c>
      <c r="I66" t="str">
        <v>Overijssel</v>
      </c>
      <c r="J66" t="str">
        <v>Oost-Nederland</v>
      </c>
      <c r="K66" t="str">
        <v>Te koop</v>
      </c>
      <c r="L66" t="str">
        <v>Onbekend</v>
      </c>
      <c r="M66" t="str">
        <v>Onbekend</v>
      </c>
      <c r="N66">
        <v>980000</v>
      </c>
      <c r="O66" t="str">
        <v>v.o.n.</v>
      </c>
      <c r="P66">
        <v>177</v>
      </c>
      <c r="Q66">
        <v>5537</v>
      </c>
      <c r="R66" t="str">
        <v>Onbekend</v>
      </c>
      <c r="S66" t="str">
        <v>A+++</v>
      </c>
      <c r="T66">
        <v>3</v>
      </c>
      <c r="U66">
        <v>2</v>
      </c>
      <c r="V66" t="str">
        <v>Appartement</v>
      </c>
      <c r="W66" t="str">
        <v>Appartement</v>
      </c>
      <c r="X66" t="str">
        <v>Appartement &gt;100 m²</v>
      </c>
      <c r="Y66" t="str">
        <v>Ja</v>
      </c>
      <c r="Z66" t="str">
        <v>garage</v>
      </c>
      <c r="AA66" t="str">
        <v>Na 2020</v>
      </c>
      <c r="AB66" t="str">
        <v>Nee</v>
      </c>
      <c r="AC66" t="str">
        <v>NEE</v>
      </c>
      <c r="AD66" t="str">
        <v>JA</v>
      </c>
    </row>
    <row r="67">
      <c r="A67" t="str">
        <v>44420161</v>
      </c>
      <c r="B67" t="str">
        <v>https://www.funda.nl/detail/koop/hengelo-ov/appartement-appartementen-bouwnr-1/44420161/</v>
      </c>
      <c r="C67" t="str">
        <v>Noaberhof de Rijkskweek</v>
      </c>
      <c r="D67" t="str">
        <v>Appartementen</v>
      </c>
      <c r="E67" t="str">
        <v>1</v>
      </c>
      <c r="F67" t="str">
        <v>7551</v>
      </c>
      <c r="G67" t="str">
        <v>Hengelo (OV)</v>
      </c>
      <c r="H67" t="str">
        <v>Hengelo (O)</v>
      </c>
      <c r="I67" t="str">
        <v>Overijssel</v>
      </c>
      <c r="J67" t="str">
        <v>Oost-Nederland</v>
      </c>
      <c r="K67" t="str">
        <v>Te koop</v>
      </c>
      <c r="L67" t="str">
        <v>Onbekend</v>
      </c>
      <c r="M67" t="str">
        <v>Onbekend</v>
      </c>
      <c r="N67">
        <v>445000</v>
      </c>
      <c r="O67" t="str">
        <v>v.o.n.</v>
      </c>
      <c r="P67">
        <v>89</v>
      </c>
      <c r="Q67">
        <v>5000</v>
      </c>
      <c r="R67" t="str">
        <v>Onbekend</v>
      </c>
      <c r="S67" t="str">
        <v>A+++</v>
      </c>
      <c r="T67">
        <v>3</v>
      </c>
      <c r="U67">
        <v>2</v>
      </c>
      <c r="V67" t="str">
        <v>Appartement</v>
      </c>
      <c r="W67" t="str">
        <v>Appartement</v>
      </c>
      <c r="X67" t="str">
        <v>Appartement 75-100 m²</v>
      </c>
      <c r="Y67" t="str">
        <v>Ja</v>
      </c>
      <c r="Z67" t="str">
        <v>eigen parkeerplaats</v>
      </c>
      <c r="AA67" t="str">
        <v>Na 2020</v>
      </c>
      <c r="AB67" t="str">
        <v>Nee</v>
      </c>
      <c r="AC67" t="str">
        <v>NEE</v>
      </c>
      <c r="AD67" t="str">
        <v>JA</v>
      </c>
    </row>
    <row r="68">
      <c r="A68" t="str">
        <v>44420188</v>
      </c>
      <c r="B68" t="str">
        <v>https://www.funda.nl/detail/koop/hengelo-ov/appartement-appartementen-bouwnr-10/44420188/</v>
      </c>
      <c r="C68" t="str">
        <v>Noaberhof de Rijkskweek</v>
      </c>
      <c r="D68" t="str">
        <v>Appartementen</v>
      </c>
      <c r="E68" t="str">
        <v>10</v>
      </c>
      <c r="F68" t="str">
        <v>7551</v>
      </c>
      <c r="G68" t="str">
        <v>Hengelo (OV)</v>
      </c>
      <c r="H68" t="str">
        <v>Hengelo (O)</v>
      </c>
      <c r="I68" t="str">
        <v>Overijssel</v>
      </c>
      <c r="J68" t="str">
        <v>Oost-Nederland</v>
      </c>
      <c r="K68" t="str">
        <v>Te koop</v>
      </c>
      <c r="L68" t="str">
        <v>Onbekend</v>
      </c>
      <c r="M68" t="str">
        <v>Onbekend</v>
      </c>
      <c r="N68">
        <v>459000</v>
      </c>
      <c r="O68" t="str">
        <v>v.o.n.</v>
      </c>
      <c r="P68">
        <v>89</v>
      </c>
      <c r="Q68">
        <v>5157</v>
      </c>
      <c r="R68" t="str">
        <v>Onbekend</v>
      </c>
      <c r="S68" t="str">
        <v>A+++</v>
      </c>
      <c r="T68">
        <v>3</v>
      </c>
      <c r="U68">
        <v>2</v>
      </c>
      <c r="V68" t="str">
        <v>Appartement</v>
      </c>
      <c r="W68" t="str">
        <v>Appartement</v>
      </c>
      <c r="X68" t="str">
        <v>Appartement 75-100 m²</v>
      </c>
      <c r="Y68" t="str">
        <v>Ja</v>
      </c>
      <c r="Z68" t="str">
        <v>garage</v>
      </c>
      <c r="AA68" t="str">
        <v>Na 2020</v>
      </c>
      <c r="AB68" t="str">
        <v>Nee</v>
      </c>
      <c r="AC68" t="str">
        <v>NEE</v>
      </c>
      <c r="AD68" t="str">
        <v>JA</v>
      </c>
    </row>
    <row r="69">
      <c r="A69" t="str">
        <v>44428484</v>
      </c>
      <c r="B69" t="str">
        <v>https://www.funda.nl/detail/koop/hengelo-ov/appartement-de-bakker-bouwnr-16/44428484/</v>
      </c>
      <c r="C69" t="str">
        <v>De Concurrent Hengelo</v>
      </c>
      <c r="D69" t="str">
        <v>De Bakker</v>
      </c>
      <c r="E69" t="str">
        <v>16</v>
      </c>
      <c r="F69" t="str">
        <v>7553 JT</v>
      </c>
      <c r="G69" t="str">
        <v>Hengelo (OV)</v>
      </c>
      <c r="H69" t="str">
        <v>Hengelo (O)</v>
      </c>
      <c r="I69" t="str">
        <v>Overijssel</v>
      </c>
      <c r="J69" t="str">
        <v>Oost-Nederland</v>
      </c>
      <c r="K69" t="str">
        <v>Te koop</v>
      </c>
      <c r="L69" t="str">
        <v>Onbekend</v>
      </c>
      <c r="M69" t="str">
        <v>Onbekend</v>
      </c>
      <c r="N69">
        <v>329250</v>
      </c>
      <c r="O69" t="str">
        <v>v.o.n.</v>
      </c>
      <c r="P69">
        <v>77</v>
      </c>
      <c r="Q69">
        <v>4276</v>
      </c>
      <c r="R69" t="str">
        <v>Onbekend</v>
      </c>
      <c r="S69" t="str">
        <v>A+++</v>
      </c>
      <c r="T69">
        <v>3</v>
      </c>
      <c r="U69">
        <v>2</v>
      </c>
      <c r="V69" t="str">
        <v>Appartement</v>
      </c>
      <c r="W69" t="str">
        <v>Appartement</v>
      </c>
      <c r="X69" t="str">
        <v>Appartement 75-100 m²</v>
      </c>
      <c r="Y69" t="str">
        <v>Ja</v>
      </c>
      <c r="Z69" t="str">
        <v>eigen parkeerplaats</v>
      </c>
      <c r="AA69" t="str">
        <v>Na 2020</v>
      </c>
      <c r="AB69" t="str">
        <v>Nee</v>
      </c>
      <c r="AC69" t="str">
        <v>NEE</v>
      </c>
      <c r="AD69" t="str">
        <v>JA</v>
      </c>
    </row>
    <row r="70">
      <c r="A70" t="str">
        <v>44428483</v>
      </c>
      <c r="B70" t="str">
        <v>https://www.funda.nl/detail/koop/hengelo-ov/appartement-de-bakker-bouwnr-26/44428483/</v>
      </c>
      <c r="C70" t="str">
        <v>De Concurrent Hengelo</v>
      </c>
      <c r="D70" t="str">
        <v>De Bakker</v>
      </c>
      <c r="E70" t="str">
        <v>26</v>
      </c>
      <c r="F70" t="str">
        <v>7553 JT</v>
      </c>
      <c r="G70" t="str">
        <v>Hengelo (OV)</v>
      </c>
      <c r="H70" t="str">
        <v>Hengelo (O)</v>
      </c>
      <c r="I70" t="str">
        <v>Overijssel</v>
      </c>
      <c r="J70" t="str">
        <v>Oost-Nederland</v>
      </c>
      <c r="K70" t="str">
        <v>Te koop</v>
      </c>
      <c r="L70" t="str">
        <v>Onbekend</v>
      </c>
      <c r="M70" t="str">
        <v>Onbekend</v>
      </c>
      <c r="N70">
        <v>332000</v>
      </c>
      <c r="O70" t="str">
        <v>v.o.n.</v>
      </c>
      <c r="P70">
        <v>77</v>
      </c>
      <c r="Q70">
        <v>4312</v>
      </c>
      <c r="R70" t="str">
        <v>Onbekend</v>
      </c>
      <c r="S70" t="str">
        <v>A+++</v>
      </c>
      <c r="T70">
        <v>3</v>
      </c>
      <c r="U70">
        <v>2</v>
      </c>
      <c r="V70" t="str">
        <v>Appartement</v>
      </c>
      <c r="W70" t="str">
        <v>Appartement</v>
      </c>
      <c r="X70" t="str">
        <v>Appartement 75-100 m²</v>
      </c>
      <c r="Y70" t="str">
        <v>Ja</v>
      </c>
      <c r="Z70" t="str">
        <v>eigen parkeerplaats</v>
      </c>
      <c r="AA70" t="str">
        <v>Na 2020</v>
      </c>
      <c r="AB70" t="str">
        <v>Nee</v>
      </c>
      <c r="AC70" t="str">
        <v>NEE</v>
      </c>
      <c r="AD70" t="str">
        <v>JA</v>
      </c>
    </row>
    <row r="71">
      <c r="A71" t="str">
        <v>44428472</v>
      </c>
      <c r="B71" t="str">
        <v>https://www.funda.nl/detail/koop/hengelo-ov/appartement-de-meester-bouwnr-21/44428472/</v>
      </c>
      <c r="C71" t="str">
        <v>De Concurrent Hengelo</v>
      </c>
      <c r="D71" t="str">
        <v>De Meester</v>
      </c>
      <c r="E71" t="str">
        <v>21</v>
      </c>
      <c r="F71" t="str">
        <v>7553 JT</v>
      </c>
      <c r="G71" t="str">
        <v>Hengelo (OV)</v>
      </c>
      <c r="H71" t="str">
        <v>Hengelo (O)</v>
      </c>
      <c r="I71" t="str">
        <v>Overijssel</v>
      </c>
      <c r="J71" t="str">
        <v>Oost-Nederland</v>
      </c>
      <c r="K71" t="str">
        <v>Te koop</v>
      </c>
      <c r="L71" t="str">
        <v>Onbekend</v>
      </c>
      <c r="M71" t="str">
        <v>Onbekend</v>
      </c>
      <c r="N71">
        <v>487500</v>
      </c>
      <c r="O71" t="str">
        <v>v.o.n.</v>
      </c>
      <c r="P71">
        <v>96</v>
      </c>
      <c r="Q71">
        <v>5078</v>
      </c>
      <c r="R71" t="str">
        <v>Onbekend</v>
      </c>
      <c r="S71" t="str">
        <v>A+++</v>
      </c>
      <c r="T71">
        <v>3</v>
      </c>
      <c r="U71">
        <v>2</v>
      </c>
      <c r="V71" t="str">
        <v>Appartement</v>
      </c>
      <c r="W71" t="str">
        <v>Appartement</v>
      </c>
      <c r="X71" t="str">
        <v>Appartement 75-100 m²</v>
      </c>
      <c r="Y71" t="str">
        <v>Ja</v>
      </c>
      <c r="Z71" t="str">
        <v>eigen parkeerplaats</v>
      </c>
      <c r="AA71" t="str">
        <v>Na 2020</v>
      </c>
      <c r="AB71" t="str">
        <v>Nee</v>
      </c>
      <c r="AC71" t="str">
        <v>NEE</v>
      </c>
      <c r="AD71" t="str">
        <v>JA</v>
      </c>
    </row>
    <row r="72">
      <c r="A72" t="str">
        <v>44428471</v>
      </c>
      <c r="B72" t="str">
        <v>https://www.funda.nl/detail/koop/hengelo-ov/appartement-de-meester-bouwnr-28/44428471/</v>
      </c>
      <c r="C72" t="str">
        <v>De Concurrent Hengelo</v>
      </c>
      <c r="D72" t="str">
        <v>De Meester</v>
      </c>
      <c r="E72" t="str">
        <v>28</v>
      </c>
      <c r="F72" t="str">
        <v>7553 JT</v>
      </c>
      <c r="G72" t="str">
        <v>Hengelo (OV)</v>
      </c>
      <c r="H72" t="str">
        <v>Hengelo (O)</v>
      </c>
      <c r="I72" t="str">
        <v>Overijssel</v>
      </c>
      <c r="J72" t="str">
        <v>Oost-Nederland</v>
      </c>
      <c r="K72" t="str">
        <v>Te koop</v>
      </c>
      <c r="L72" t="str">
        <v>Onbekend</v>
      </c>
      <c r="M72" t="str">
        <v>Onbekend</v>
      </c>
      <c r="N72">
        <v>505250</v>
      </c>
      <c r="O72" t="str">
        <v>v.o.n.</v>
      </c>
      <c r="P72">
        <v>89</v>
      </c>
      <c r="Q72">
        <v>5677</v>
      </c>
      <c r="R72" t="str">
        <v>Onbekend</v>
      </c>
      <c r="S72" t="str">
        <v>A+++</v>
      </c>
      <c r="T72">
        <v>3</v>
      </c>
      <c r="U72">
        <v>2</v>
      </c>
      <c r="V72" t="str">
        <v>Appartement</v>
      </c>
      <c r="W72" t="str">
        <v>Appartement</v>
      </c>
      <c r="X72" t="str">
        <v>Appartement 75-100 m²</v>
      </c>
      <c r="Y72" t="str">
        <v>Ja</v>
      </c>
      <c r="Z72" t="str">
        <v>eigen parkeerplaats</v>
      </c>
      <c r="AA72" t="str">
        <v>Na 2020</v>
      </c>
      <c r="AB72" t="str">
        <v>Nee</v>
      </c>
      <c r="AC72" t="str">
        <v>NEE</v>
      </c>
      <c r="AD72" t="str">
        <v>JA</v>
      </c>
    </row>
    <row r="73">
      <c r="A73" t="str">
        <v>44428470</v>
      </c>
      <c r="B73" t="str">
        <v>https://www.funda.nl/detail/koop/hengelo-ov/appartement-de-meester-bouwnr-29/44428470/</v>
      </c>
      <c r="C73" t="str">
        <v>De Concurrent Hengelo</v>
      </c>
      <c r="D73" t="str">
        <v>De Meester</v>
      </c>
      <c r="E73" t="str">
        <v>29</v>
      </c>
      <c r="F73" t="str">
        <v>7553 JT</v>
      </c>
      <c r="G73" t="str">
        <v>Hengelo (OV)</v>
      </c>
      <c r="H73" t="str">
        <v>Hengelo (O)</v>
      </c>
      <c r="I73" t="str">
        <v>Overijssel</v>
      </c>
      <c r="J73" t="str">
        <v>Oost-Nederland</v>
      </c>
      <c r="K73" t="str">
        <v>Te koop</v>
      </c>
      <c r="L73" t="str">
        <v>Onbekend</v>
      </c>
      <c r="M73" t="str">
        <v>Onbekend</v>
      </c>
      <c r="N73">
        <v>462500</v>
      </c>
      <c r="O73" t="str">
        <v>v.o.n.</v>
      </c>
      <c r="P73">
        <v>87</v>
      </c>
      <c r="Q73">
        <v>5316</v>
      </c>
      <c r="R73" t="str">
        <v>Onbekend</v>
      </c>
      <c r="S73" t="str">
        <v>A+++</v>
      </c>
      <c r="T73">
        <v>3</v>
      </c>
      <c r="U73">
        <v>2</v>
      </c>
      <c r="V73" t="str">
        <v>Appartement</v>
      </c>
      <c r="W73" t="str">
        <v>Appartement</v>
      </c>
      <c r="X73" t="str">
        <v>Appartement 75-100 m²</v>
      </c>
      <c r="Y73" t="str">
        <v>Ja</v>
      </c>
      <c r="Z73" t="str">
        <v>eigen parkeerplaats</v>
      </c>
      <c r="AA73" t="str">
        <v>Na 2020</v>
      </c>
      <c r="AB73" t="str">
        <v>Nee</v>
      </c>
      <c r="AC73" t="str">
        <v>NEE</v>
      </c>
      <c r="AD73" t="str">
        <v>JA</v>
      </c>
    </row>
    <row r="74">
      <c r="A74" t="str">
        <v>44428479</v>
      </c>
      <c r="B74" t="str">
        <v>https://www.funda.nl/detail/koop/hengelo-ov/appartement-de-bakker-bouwnr-27/44428479/</v>
      </c>
      <c r="C74" t="str">
        <v>De Concurrent Hengelo</v>
      </c>
      <c r="D74" t="str">
        <v>De Bakker</v>
      </c>
      <c r="E74" t="str">
        <v>27</v>
      </c>
      <c r="F74" t="str">
        <v>7553 JT</v>
      </c>
      <c r="G74" t="str">
        <v>Hengelo (OV)</v>
      </c>
      <c r="H74" t="str">
        <v>Hengelo (O)</v>
      </c>
      <c r="I74" t="str">
        <v>Overijssel</v>
      </c>
      <c r="J74" t="str">
        <v>Oost-Nederland</v>
      </c>
      <c r="K74" t="str">
        <v>Te koop</v>
      </c>
      <c r="L74" t="str">
        <v>Onbekend</v>
      </c>
      <c r="M74" t="str">
        <v>Onbekend</v>
      </c>
      <c r="N74">
        <v>332000</v>
      </c>
      <c r="O74" t="str">
        <v>v.o.n.</v>
      </c>
      <c r="P74">
        <v>77</v>
      </c>
      <c r="Q74">
        <v>4312</v>
      </c>
      <c r="R74" t="str">
        <v>Onbekend</v>
      </c>
      <c r="S74" t="str">
        <v>A+++</v>
      </c>
      <c r="T74">
        <v>3</v>
      </c>
      <c r="U74">
        <v>2</v>
      </c>
      <c r="V74" t="str">
        <v>Appartement</v>
      </c>
      <c r="W74" t="str">
        <v>Appartement</v>
      </c>
      <c r="X74" t="str">
        <v>Appartement 75-100 m²</v>
      </c>
      <c r="Y74" t="str">
        <v>Ja</v>
      </c>
      <c r="Z74" t="str">
        <v>eigen parkeerplaats</v>
      </c>
      <c r="AA74" t="str">
        <v>Na 2020</v>
      </c>
      <c r="AB74" t="str">
        <v>Nee</v>
      </c>
      <c r="AC74" t="str">
        <v>NEE</v>
      </c>
      <c r="AD74" t="str">
        <v>JA</v>
      </c>
    </row>
    <row r="75">
      <c r="A75" t="str">
        <v>44428477</v>
      </c>
      <c r="B75" t="str">
        <v>https://www.funda.nl/detail/koop/hengelo-ov/appartement-de-meester-bouwnr-10/44428477/</v>
      </c>
      <c r="C75" t="str">
        <v>De Concurrent Hengelo</v>
      </c>
      <c r="D75" t="str">
        <v>De Meester</v>
      </c>
      <c r="E75" t="str">
        <v>10</v>
      </c>
      <c r="F75" t="str">
        <v>7553 JT</v>
      </c>
      <c r="G75" t="str">
        <v>Hengelo (OV)</v>
      </c>
      <c r="H75" t="str">
        <v>Hengelo (O)</v>
      </c>
      <c r="I75" t="str">
        <v>Overijssel</v>
      </c>
      <c r="J75" t="str">
        <v>Oost-Nederland</v>
      </c>
      <c r="K75" t="str">
        <v>Te koop</v>
      </c>
      <c r="L75" t="str">
        <v>Onbekend</v>
      </c>
      <c r="M75" t="str">
        <v>Onbekend</v>
      </c>
      <c r="N75">
        <v>488250</v>
      </c>
      <c r="O75" t="str">
        <v>v.o.n.</v>
      </c>
      <c r="P75">
        <v>96</v>
      </c>
      <c r="Q75">
        <v>5086</v>
      </c>
      <c r="R75" t="str">
        <v>Onbekend</v>
      </c>
      <c r="S75" t="str">
        <v>A+++</v>
      </c>
      <c r="T75">
        <v>3</v>
      </c>
      <c r="U75">
        <v>2</v>
      </c>
      <c r="V75" t="str">
        <v>Appartement</v>
      </c>
      <c r="W75" t="str">
        <v>Appartement</v>
      </c>
      <c r="X75" t="str">
        <v>Appartement 75-100 m²</v>
      </c>
      <c r="Y75" t="str">
        <v>Ja</v>
      </c>
      <c r="Z75" t="str">
        <v>eigen parkeerplaats</v>
      </c>
      <c r="AA75" t="str">
        <v>Na 2020</v>
      </c>
      <c r="AB75" t="str">
        <v>Nee</v>
      </c>
      <c r="AC75" t="str">
        <v>NEE</v>
      </c>
      <c r="AD75" t="str">
        <v>JA</v>
      </c>
    </row>
    <row r="76">
      <c r="A76" t="str">
        <v>44428475</v>
      </c>
      <c r="B76" t="str">
        <v>https://www.funda.nl/detail/koop/hengelo-ov/appartement-de-bakker-bouwnr-12/44428475/</v>
      </c>
      <c r="C76" t="str">
        <v>De Concurrent Hengelo</v>
      </c>
      <c r="D76" t="str">
        <v>De Bakker</v>
      </c>
      <c r="E76" t="str">
        <v>12</v>
      </c>
      <c r="F76" t="str">
        <v>7553 JT</v>
      </c>
      <c r="G76" t="str">
        <v>Hengelo (OV)</v>
      </c>
      <c r="H76" t="str">
        <v>Hengelo (O)</v>
      </c>
      <c r="I76" t="str">
        <v>Overijssel</v>
      </c>
      <c r="J76" t="str">
        <v>Oost-Nederland</v>
      </c>
      <c r="K76" t="str">
        <v>Te koop</v>
      </c>
      <c r="L76" t="str">
        <v>Onbekend</v>
      </c>
      <c r="M76" t="str">
        <v>Onbekend</v>
      </c>
      <c r="N76">
        <v>327750</v>
      </c>
      <c r="O76" t="str">
        <v>v.o.n.</v>
      </c>
      <c r="P76">
        <v>77</v>
      </c>
      <c r="Q76">
        <v>4256</v>
      </c>
      <c r="R76" t="str">
        <v>Onbekend</v>
      </c>
      <c r="S76" t="str">
        <v>A+++</v>
      </c>
      <c r="T76">
        <v>3</v>
      </c>
      <c r="U76">
        <v>2</v>
      </c>
      <c r="V76" t="str">
        <v>Appartement</v>
      </c>
      <c r="W76" t="str">
        <v>Appartement</v>
      </c>
      <c r="X76" t="str">
        <v>Appartement 75-100 m²</v>
      </c>
      <c r="Y76" t="str">
        <v>Ja</v>
      </c>
      <c r="Z76" t="str">
        <v>eigen parkeerplaats</v>
      </c>
      <c r="AA76" t="str">
        <v>Na 2020</v>
      </c>
      <c r="AB76" t="str">
        <v>Nee</v>
      </c>
      <c r="AC76" t="str">
        <v>NEE</v>
      </c>
      <c r="AD76" t="str">
        <v>JA</v>
      </c>
    </row>
    <row r="77">
      <c r="A77" t="str">
        <v>44428474</v>
      </c>
      <c r="B77" t="str">
        <v>https://www.funda.nl/detail/koop/hengelo-ov/appartement-de-bakker-bouwnr-15/44428474/</v>
      </c>
      <c r="C77" t="str">
        <v>De Concurrent Hengelo</v>
      </c>
      <c r="D77" t="str">
        <v>De Bakker</v>
      </c>
      <c r="E77" t="str">
        <v>15</v>
      </c>
      <c r="F77" t="str">
        <v>7553 JT</v>
      </c>
      <c r="G77" t="str">
        <v>Hengelo (OV)</v>
      </c>
      <c r="H77" t="str">
        <v>Hengelo (O)</v>
      </c>
      <c r="I77" t="str">
        <v>Overijssel</v>
      </c>
      <c r="J77" t="str">
        <v>Oost-Nederland</v>
      </c>
      <c r="K77" t="str">
        <v>Te koop</v>
      </c>
      <c r="L77" t="str">
        <v>Onbekend</v>
      </c>
      <c r="M77" t="str">
        <v>Onbekend</v>
      </c>
      <c r="N77">
        <v>327750</v>
      </c>
      <c r="O77" t="str">
        <v>v.o.n.</v>
      </c>
      <c r="P77">
        <v>77</v>
      </c>
      <c r="Q77">
        <v>4256</v>
      </c>
      <c r="R77" t="str">
        <v>Onbekend</v>
      </c>
      <c r="S77" t="str">
        <v>A+++</v>
      </c>
      <c r="T77">
        <v>3</v>
      </c>
      <c r="U77">
        <v>1</v>
      </c>
      <c r="V77" t="str">
        <v>Appartement</v>
      </c>
      <c r="W77" t="str">
        <v>Appartement</v>
      </c>
      <c r="X77" t="str">
        <v>Appartement 75-100 m²</v>
      </c>
      <c r="Y77" t="str">
        <v>Ja</v>
      </c>
      <c r="Z77" t="str">
        <v>eigen parkeerplaats</v>
      </c>
      <c r="AA77" t="str">
        <v>Na 2020</v>
      </c>
      <c r="AB77" t="str">
        <v>Nee</v>
      </c>
      <c r="AC77" t="str">
        <v>NEE</v>
      </c>
      <c r="AD77" t="str">
        <v>JA</v>
      </c>
    </row>
    <row r="78">
      <c r="A78" t="str">
        <v>44428473</v>
      </c>
      <c r="B78" t="str">
        <v>https://www.funda.nl/detail/koop/hengelo-ov/appartement-de-bakker-bouwnr-14/44428473/</v>
      </c>
      <c r="C78" t="str">
        <v>De Concurrent Hengelo</v>
      </c>
      <c r="D78" t="str">
        <v>De Bakker</v>
      </c>
      <c r="E78" t="str">
        <v>14</v>
      </c>
      <c r="F78" t="str">
        <v>7553 JT</v>
      </c>
      <c r="G78" t="str">
        <v>Hengelo (OV)</v>
      </c>
      <c r="H78" t="str">
        <v>Hengelo (O)</v>
      </c>
      <c r="I78" t="str">
        <v>Overijssel</v>
      </c>
      <c r="J78" t="str">
        <v>Oost-Nederland</v>
      </c>
      <c r="K78" t="str">
        <v>Te koop</v>
      </c>
      <c r="L78" t="str">
        <v>2026-07-05</v>
      </c>
      <c r="M78">
        <v>8</v>
      </c>
      <c r="N78">
        <v>327750</v>
      </c>
      <c r="O78" t="str">
        <v>v.o.n.</v>
      </c>
      <c r="P78">
        <v>77</v>
      </c>
      <c r="Q78">
        <v>4256</v>
      </c>
      <c r="R78" t="str">
        <v>Onbekend</v>
      </c>
      <c r="S78" t="str">
        <v>A+++</v>
      </c>
      <c r="T78">
        <v>3</v>
      </c>
      <c r="U78">
        <v>2</v>
      </c>
      <c r="V78" t="str">
        <v>Appartement</v>
      </c>
      <c r="W78" t="str">
        <v>Appartement</v>
      </c>
      <c r="X78" t="str">
        <v>Appartement 75-100 m²</v>
      </c>
      <c r="Y78" t="str">
        <v>Ja</v>
      </c>
      <c r="Z78" t="str">
        <v>eigen parkeerplaats</v>
      </c>
      <c r="AA78" t="str">
        <v>Na 2020</v>
      </c>
      <c r="AB78" t="str">
        <v>Nee</v>
      </c>
      <c r="AC78" t="str">
        <v>NEE</v>
      </c>
      <c r="AD78" t="str">
        <v>JA</v>
      </c>
    </row>
    <row r="79">
      <c r="A79" t="str">
        <v>44428462</v>
      </c>
      <c r="B79" t="str">
        <v>https://www.funda.nl/detail/koop/hengelo-ov/appartement-de-bakker-bouwnr-24/44428462/</v>
      </c>
      <c r="C79" t="str">
        <v>De Concurrent Hengelo</v>
      </c>
      <c r="D79" t="str">
        <v>De Bakker</v>
      </c>
      <c r="E79" t="str">
        <v>24</v>
      </c>
      <c r="F79" t="str">
        <v>7553 JT</v>
      </c>
      <c r="G79" t="str">
        <v>Hengelo (OV)</v>
      </c>
      <c r="H79" t="str">
        <v>Hengelo (O)</v>
      </c>
      <c r="I79" t="str">
        <v>Overijssel</v>
      </c>
      <c r="J79" t="str">
        <v>Oost-Nederland</v>
      </c>
      <c r="K79" t="str">
        <v>Te koop</v>
      </c>
      <c r="L79" t="str">
        <v>Onbekend</v>
      </c>
      <c r="M79" t="str">
        <v>Onbekend</v>
      </c>
      <c r="N79">
        <v>332000</v>
      </c>
      <c r="O79" t="str">
        <v>v.o.n.</v>
      </c>
      <c r="P79">
        <v>77</v>
      </c>
      <c r="Q79">
        <v>4312</v>
      </c>
      <c r="R79" t="str">
        <v>Onbekend</v>
      </c>
      <c r="S79" t="str">
        <v>A+++</v>
      </c>
      <c r="T79">
        <v>3</v>
      </c>
      <c r="U79">
        <v>2</v>
      </c>
      <c r="V79" t="str">
        <v>Appartement</v>
      </c>
      <c r="W79" t="str">
        <v>Appartement</v>
      </c>
      <c r="X79" t="str">
        <v>Appartement 75-100 m²</v>
      </c>
      <c r="Y79" t="str">
        <v>Ja</v>
      </c>
      <c r="Z79" t="str">
        <v>eigen parkeerplaats</v>
      </c>
      <c r="AA79" t="str">
        <v>Na 2020</v>
      </c>
      <c r="AB79" t="str">
        <v>Nee</v>
      </c>
      <c r="AC79" t="str">
        <v>NEE</v>
      </c>
      <c r="AD79" t="str">
        <v>JA</v>
      </c>
    </row>
    <row r="80">
      <c r="A80" t="str">
        <v>44428461</v>
      </c>
      <c r="B80" t="str">
        <v>https://www.funda.nl/detail/koop/hengelo-ov/appartement-de-bakker-bouwnr-13/44428461/</v>
      </c>
      <c r="C80" t="str">
        <v>De Concurrent Hengelo</v>
      </c>
      <c r="D80" t="str">
        <v>De Bakker</v>
      </c>
      <c r="E80" t="str">
        <v>13</v>
      </c>
      <c r="F80" t="str">
        <v>7553 JT</v>
      </c>
      <c r="G80" t="str">
        <v>Hengelo (OV)</v>
      </c>
      <c r="H80" t="str">
        <v>Hengelo (O)</v>
      </c>
      <c r="I80" t="str">
        <v>Overijssel</v>
      </c>
      <c r="J80" t="str">
        <v>Oost-Nederland</v>
      </c>
      <c r="K80" t="str">
        <v>Te koop</v>
      </c>
      <c r="L80" t="str">
        <v>Onbekend</v>
      </c>
      <c r="M80" t="str">
        <v>Onbekend</v>
      </c>
      <c r="N80">
        <v>327750</v>
      </c>
      <c r="O80" t="str">
        <v>v.o.n.</v>
      </c>
      <c r="P80">
        <v>77</v>
      </c>
      <c r="Q80">
        <v>4256</v>
      </c>
      <c r="R80" t="str">
        <v>Onbekend</v>
      </c>
      <c r="S80" t="str">
        <v>A+++</v>
      </c>
      <c r="T80">
        <v>3</v>
      </c>
      <c r="U80">
        <v>2</v>
      </c>
      <c r="V80" t="str">
        <v>Appartement</v>
      </c>
      <c r="W80" t="str">
        <v>Appartement</v>
      </c>
      <c r="X80" t="str">
        <v>Appartement 75-100 m²</v>
      </c>
      <c r="Y80" t="str">
        <v>Ja</v>
      </c>
      <c r="Z80" t="str">
        <v>eigen parkeerplaats</v>
      </c>
      <c r="AA80" t="str">
        <v>Na 2020</v>
      </c>
      <c r="AB80" t="str">
        <v>Nee</v>
      </c>
      <c r="AC80" t="str">
        <v>NEE</v>
      </c>
      <c r="AD80" t="str">
        <v>JA</v>
      </c>
    </row>
    <row r="81">
      <c r="A81" t="str">
        <v>44428460</v>
      </c>
      <c r="B81" t="str">
        <v>https://www.funda.nl/detail/koop/hengelo-ov/appartement-de-bakker-bouwnr-25/44428460/</v>
      </c>
      <c r="C81" t="str">
        <v>De Concurrent Hengelo</v>
      </c>
      <c r="D81" t="str">
        <v>De Bakker</v>
      </c>
      <c r="E81" t="str">
        <v>25</v>
      </c>
      <c r="F81" t="str">
        <v>7553 JT</v>
      </c>
      <c r="G81" t="str">
        <v>Hengelo (OV)</v>
      </c>
      <c r="H81" t="str">
        <v>Hengelo (O)</v>
      </c>
      <c r="I81" t="str">
        <v>Overijssel</v>
      </c>
      <c r="J81" t="str">
        <v>Oost-Nederland</v>
      </c>
      <c r="K81" t="str">
        <v>Te koop</v>
      </c>
      <c r="L81" t="str">
        <v>Onbekend</v>
      </c>
      <c r="M81" t="str">
        <v>Onbekend</v>
      </c>
      <c r="N81">
        <v>332000</v>
      </c>
      <c r="O81" t="str">
        <v>v.o.n.</v>
      </c>
      <c r="P81">
        <v>77</v>
      </c>
      <c r="Q81">
        <v>4312</v>
      </c>
      <c r="R81" t="str">
        <v>Onbekend</v>
      </c>
      <c r="S81" t="str">
        <v>A+++</v>
      </c>
      <c r="T81">
        <v>3</v>
      </c>
      <c r="U81">
        <v>2</v>
      </c>
      <c r="V81" t="str">
        <v>Appartement</v>
      </c>
      <c r="W81" t="str">
        <v>Appartement</v>
      </c>
      <c r="X81" t="str">
        <v>Appartement 75-100 m²</v>
      </c>
      <c r="Y81" t="str">
        <v>Ja</v>
      </c>
      <c r="Z81" t="str">
        <v>eigen parkeerplaats</v>
      </c>
      <c r="AA81" t="str">
        <v>Na 2020</v>
      </c>
      <c r="AB81" t="str">
        <v>Nee</v>
      </c>
      <c r="AC81" t="str">
        <v>NEE</v>
      </c>
      <c r="AD81" t="str">
        <v>JA</v>
      </c>
    </row>
    <row r="82">
      <c r="A82" t="str">
        <v>44428467</v>
      </c>
      <c r="B82" t="str">
        <v>https://www.funda.nl/detail/koop/hengelo-ov/appartement-de-bakker-bouwnr-22/44428467/</v>
      </c>
      <c r="C82" t="str">
        <v>De Concurrent Hengelo</v>
      </c>
      <c r="D82" t="str">
        <v>De Bakker</v>
      </c>
      <c r="E82" t="str">
        <v>22</v>
      </c>
      <c r="F82" t="str">
        <v>7553 JT</v>
      </c>
      <c r="G82" t="str">
        <v>Hengelo (OV)</v>
      </c>
      <c r="H82" t="str">
        <v>Hengelo (O)</v>
      </c>
      <c r="I82" t="str">
        <v>Overijssel</v>
      </c>
      <c r="J82" t="str">
        <v>Oost-Nederland</v>
      </c>
      <c r="K82" t="str">
        <v>Te koop</v>
      </c>
      <c r="L82" t="str">
        <v>Onbekend</v>
      </c>
      <c r="M82" t="str">
        <v>Onbekend</v>
      </c>
      <c r="N82">
        <v>332000</v>
      </c>
      <c r="O82" t="str">
        <v>v.o.n.</v>
      </c>
      <c r="P82">
        <v>77</v>
      </c>
      <c r="Q82">
        <v>4312</v>
      </c>
      <c r="R82" t="str">
        <v>Onbekend</v>
      </c>
      <c r="S82" t="str">
        <v>A+++</v>
      </c>
      <c r="T82">
        <v>3</v>
      </c>
      <c r="U82">
        <v>2</v>
      </c>
      <c r="V82" t="str">
        <v>Appartement</v>
      </c>
      <c r="W82" t="str">
        <v>Appartement</v>
      </c>
      <c r="X82" t="str">
        <v>Appartement 75-100 m²</v>
      </c>
      <c r="Y82" t="str">
        <v>Ja</v>
      </c>
      <c r="Z82" t="str">
        <v>eigen parkeerplaats</v>
      </c>
      <c r="AA82" t="str">
        <v>Na 2020</v>
      </c>
      <c r="AB82" t="str">
        <v>Nee</v>
      </c>
      <c r="AC82" t="str">
        <v>NEE</v>
      </c>
      <c r="AD82" t="str">
        <v>JA</v>
      </c>
    </row>
    <row r="83">
      <c r="A83" t="str">
        <v>44428466</v>
      </c>
      <c r="B83" t="str">
        <v>https://www.funda.nl/detail/koop/hengelo-ov/appartement-de-bakker-bouwnr-01/44428466/</v>
      </c>
      <c r="C83" t="str">
        <v>De Concurrent Hengelo</v>
      </c>
      <c r="D83" t="str">
        <v>De Bakker</v>
      </c>
      <c r="E83" t="str">
        <v>01</v>
      </c>
      <c r="F83" t="str">
        <v>7553 JT</v>
      </c>
      <c r="G83" t="str">
        <v>Hengelo (OV)</v>
      </c>
      <c r="H83" t="str">
        <v>Hengelo (O)</v>
      </c>
      <c r="I83" t="str">
        <v>Overijssel</v>
      </c>
      <c r="J83" t="str">
        <v>Oost-Nederland</v>
      </c>
      <c r="K83" t="str">
        <v>Te koop</v>
      </c>
      <c r="L83" t="str">
        <v>Onbekend</v>
      </c>
      <c r="M83" t="str">
        <v>Onbekend</v>
      </c>
      <c r="N83">
        <v>440750</v>
      </c>
      <c r="O83" t="str">
        <v>v.o.n.</v>
      </c>
      <c r="P83">
        <v>85</v>
      </c>
      <c r="Q83">
        <v>5185</v>
      </c>
      <c r="R83" t="str">
        <v>Onbekend</v>
      </c>
      <c r="S83" t="str">
        <v>A+++</v>
      </c>
      <c r="T83">
        <v>3</v>
      </c>
      <c r="U83">
        <v>2</v>
      </c>
      <c r="V83" t="str">
        <v>Appartement</v>
      </c>
      <c r="W83" t="str">
        <v>Appartement</v>
      </c>
      <c r="X83" t="str">
        <v>Appartement 75-100 m²</v>
      </c>
      <c r="Y83" t="str">
        <v>Ja</v>
      </c>
      <c r="Z83" t="str">
        <v>eigen parkeerplaats</v>
      </c>
      <c r="AA83" t="str">
        <v>Na 2020</v>
      </c>
      <c r="AB83" t="str">
        <v>Nee</v>
      </c>
      <c r="AC83" t="str">
        <v>NEE</v>
      </c>
      <c r="AD83" t="str">
        <v>JA</v>
      </c>
    </row>
    <row r="84">
      <c r="A84" t="str">
        <v>44428465</v>
      </c>
      <c r="B84" t="str">
        <v>https://www.funda.nl/detail/koop/hengelo-ov/appartement-de-bakker-bouwnr-02/44428465/</v>
      </c>
      <c r="C84" t="str">
        <v>De Concurrent Hengelo</v>
      </c>
      <c r="D84" t="str">
        <v>De Bakker</v>
      </c>
      <c r="E84" t="str">
        <v>02</v>
      </c>
      <c r="F84" t="str">
        <v>7553 JT</v>
      </c>
      <c r="G84" t="str">
        <v>Hengelo (OV)</v>
      </c>
      <c r="H84" t="str">
        <v>Hengelo (O)</v>
      </c>
      <c r="I84" t="str">
        <v>Overijssel</v>
      </c>
      <c r="J84" t="str">
        <v>Oost-Nederland</v>
      </c>
      <c r="K84" t="str">
        <v>Te koop</v>
      </c>
      <c r="L84" t="str">
        <v>Onbekend</v>
      </c>
      <c r="M84" t="str">
        <v>Onbekend</v>
      </c>
      <c r="N84">
        <v>439250</v>
      </c>
      <c r="O84" t="str">
        <v>v.o.n.</v>
      </c>
      <c r="P84">
        <v>85</v>
      </c>
      <c r="Q84">
        <v>5168</v>
      </c>
      <c r="R84" t="str">
        <v>Onbekend</v>
      </c>
      <c r="S84" t="str">
        <v>A+++</v>
      </c>
      <c r="T84">
        <v>3</v>
      </c>
      <c r="U84">
        <v>2</v>
      </c>
      <c r="V84" t="str">
        <v>Appartement</v>
      </c>
      <c r="W84" t="str">
        <v>Appartement</v>
      </c>
      <c r="X84" t="str">
        <v>Appartement 75-100 m²</v>
      </c>
      <c r="Y84" t="str">
        <v>Ja</v>
      </c>
      <c r="Z84" t="str">
        <v>eigen parkeerplaats</v>
      </c>
      <c r="AA84" t="str">
        <v>Na 2020</v>
      </c>
      <c r="AB84" t="str">
        <v>Nee</v>
      </c>
      <c r="AC84" t="str">
        <v>NEE</v>
      </c>
      <c r="AD84" t="str">
        <v>JA</v>
      </c>
    </row>
    <row r="85">
      <c r="A85" t="str">
        <v>44428463</v>
      </c>
      <c r="B85" t="str">
        <v>https://www.funda.nl/detail/koop/hengelo-ov/appartement-de-bakker-bouwnr-04/44428463/</v>
      </c>
      <c r="C85" t="str">
        <v>De Concurrent Hengelo</v>
      </c>
      <c r="D85" t="str">
        <v>De Bakker</v>
      </c>
      <c r="E85" t="str">
        <v>04</v>
      </c>
      <c r="F85" t="str">
        <v>7553 JT</v>
      </c>
      <c r="G85" t="str">
        <v>Hengelo (OV)</v>
      </c>
      <c r="H85" t="str">
        <v>Hengelo (O)</v>
      </c>
      <c r="I85" t="str">
        <v>Overijssel</v>
      </c>
      <c r="J85" t="str">
        <v>Oost-Nederland</v>
      </c>
      <c r="K85" t="str">
        <v>Te koop</v>
      </c>
      <c r="L85" t="str">
        <v>Onbekend</v>
      </c>
      <c r="M85" t="str">
        <v>Onbekend</v>
      </c>
      <c r="N85">
        <v>435500</v>
      </c>
      <c r="O85" t="str">
        <v>v.o.n.</v>
      </c>
      <c r="P85">
        <v>85</v>
      </c>
      <c r="Q85">
        <v>5124</v>
      </c>
      <c r="R85" t="str">
        <v>Onbekend</v>
      </c>
      <c r="S85" t="str">
        <v>A+++</v>
      </c>
      <c r="T85">
        <v>3</v>
      </c>
      <c r="U85">
        <v>2</v>
      </c>
      <c r="V85" t="str">
        <v>Appartement</v>
      </c>
      <c r="W85" t="str">
        <v>Appartement</v>
      </c>
      <c r="X85" t="str">
        <v>Appartement 75-100 m²</v>
      </c>
      <c r="Y85" t="str">
        <v>Ja</v>
      </c>
      <c r="Z85" t="str">
        <v>eigen parkeerplaats</v>
      </c>
      <c r="AA85" t="str">
        <v>Na 2020</v>
      </c>
      <c r="AB85" t="str">
        <v>Nee</v>
      </c>
      <c r="AC85" t="str">
        <v>NEE</v>
      </c>
      <c r="AD85" t="str">
        <v>JA</v>
      </c>
    </row>
    <row r="86">
      <c r="A86" t="str">
        <v>44427352</v>
      </c>
      <c r="B86" t="str">
        <v>https://www.funda.nl/detail/koop/hengelo-ov/appartement-de-bakker-bouwnr-05/44427352/</v>
      </c>
      <c r="C86" t="str">
        <v>De Concurrent Hengelo</v>
      </c>
      <c r="D86" t="str">
        <v>De Bakker</v>
      </c>
      <c r="E86" t="str">
        <v>05</v>
      </c>
      <c r="F86" t="str">
        <v>7553 JT</v>
      </c>
      <c r="G86" t="str">
        <v>Hengelo (OV)</v>
      </c>
      <c r="H86" t="str">
        <v>Hengelo (O)</v>
      </c>
      <c r="I86" t="str">
        <v>Overijssel</v>
      </c>
      <c r="J86" t="str">
        <v>Oost-Nederland</v>
      </c>
      <c r="K86" t="str">
        <v>Te koop</v>
      </c>
      <c r="L86" t="str">
        <v>Onbekend</v>
      </c>
      <c r="M86" t="str">
        <v>Onbekend</v>
      </c>
      <c r="N86">
        <v>434500</v>
      </c>
      <c r="O86" t="str">
        <v>v.o.n.</v>
      </c>
      <c r="P86">
        <v>85</v>
      </c>
      <c r="Q86">
        <v>5112</v>
      </c>
      <c r="R86" t="str">
        <v>Onbekend</v>
      </c>
      <c r="S86" t="str">
        <v>A+++</v>
      </c>
      <c r="T86">
        <v>3</v>
      </c>
      <c r="U86">
        <v>2</v>
      </c>
      <c r="V86" t="str">
        <v>Appartement</v>
      </c>
      <c r="W86" t="str">
        <v>Appartement</v>
      </c>
      <c r="X86" t="str">
        <v>Appartement 75-100 m²</v>
      </c>
      <c r="Y86" t="str">
        <v>Ja</v>
      </c>
      <c r="Z86" t="str">
        <v>eigen parkeerplaats</v>
      </c>
      <c r="AA86" t="str">
        <v>Na 2020</v>
      </c>
      <c r="AB86" t="str">
        <v>Nee</v>
      </c>
      <c r="AC86" t="str">
        <v>NEE</v>
      </c>
      <c r="AD86" t="str">
        <v>JA</v>
      </c>
    </row>
    <row r="87">
      <c r="A87" t="str">
        <v>44427351</v>
      </c>
      <c r="B87" t="str">
        <v>https://www.funda.nl/detail/koop/hengelo-ov/appartement-de-leerling-bouwnr-08/44427351/</v>
      </c>
      <c r="C87" t="str">
        <v>De Concurrent Hengelo</v>
      </c>
      <c r="D87" t="str">
        <v>De Leerling</v>
      </c>
      <c r="E87" t="str">
        <v>08</v>
      </c>
      <c r="F87" t="str">
        <v>7553 JT</v>
      </c>
      <c r="G87" t="str">
        <v>Hengelo (OV)</v>
      </c>
      <c r="H87" t="str">
        <v>Hengelo (O)</v>
      </c>
      <c r="I87" t="str">
        <v>Overijssel</v>
      </c>
      <c r="J87" t="str">
        <v>Oost-Nederland</v>
      </c>
      <c r="K87" t="str">
        <v>Te koop</v>
      </c>
      <c r="L87" t="str">
        <v>Onbekend</v>
      </c>
      <c r="M87" t="str">
        <v>Onbekend</v>
      </c>
      <c r="N87">
        <v>229000</v>
      </c>
      <c r="O87" t="str">
        <v>v.o.n.</v>
      </c>
      <c r="P87">
        <v>50</v>
      </c>
      <c r="Q87">
        <v>4580</v>
      </c>
      <c r="R87" t="str">
        <v>Onbekend</v>
      </c>
      <c r="S87" t="str">
        <v>A+++</v>
      </c>
      <c r="T87">
        <v>2</v>
      </c>
      <c r="U87">
        <v>1</v>
      </c>
      <c r="V87" t="str">
        <v>Appartement</v>
      </c>
      <c r="W87" t="str">
        <v>Appartement</v>
      </c>
      <c r="X87" t="str">
        <v>Appartement 50-75 m²</v>
      </c>
      <c r="Y87" t="str">
        <v>Ja</v>
      </c>
      <c r="Z87" t="str">
        <v>eigen parkeerplaats</v>
      </c>
      <c r="AA87" t="str">
        <v>Na 2020</v>
      </c>
      <c r="AB87" t="str">
        <v>Nee</v>
      </c>
      <c r="AC87" t="str">
        <v>NEE</v>
      </c>
      <c r="AD87" t="str">
        <v>JA</v>
      </c>
    </row>
    <row r="88">
      <c r="A88" t="str">
        <v>44427350</v>
      </c>
      <c r="B88" t="str">
        <v>https://www.funda.nl/detail/koop/hengelo-ov/appartement-de-leerling-bouwnr-18/44427350/</v>
      </c>
      <c r="C88" t="str">
        <v>De Concurrent Hengelo</v>
      </c>
      <c r="D88" t="str">
        <v>De Leerling</v>
      </c>
      <c r="E88" t="str">
        <v>18</v>
      </c>
      <c r="F88" t="str">
        <v>7553 JT</v>
      </c>
      <c r="G88" t="str">
        <v>Hengelo (OV)</v>
      </c>
      <c r="H88" t="str">
        <v>Hengelo (O)</v>
      </c>
      <c r="I88" t="str">
        <v>Overijssel</v>
      </c>
      <c r="J88" t="str">
        <v>Oost-Nederland</v>
      </c>
      <c r="K88" t="str">
        <v>Te koop</v>
      </c>
      <c r="L88" t="str">
        <v>Onbekend</v>
      </c>
      <c r="M88" t="str">
        <v>Onbekend</v>
      </c>
      <c r="N88">
        <v>235250</v>
      </c>
      <c r="O88" t="str">
        <v>v.o.n.</v>
      </c>
      <c r="P88">
        <v>50</v>
      </c>
      <c r="Q88">
        <v>4705</v>
      </c>
      <c r="R88" t="str">
        <v>Onbekend</v>
      </c>
      <c r="S88" t="str">
        <v>A+++</v>
      </c>
      <c r="T88">
        <v>2</v>
      </c>
      <c r="U88">
        <v>1</v>
      </c>
      <c r="V88" t="str">
        <v>Appartement</v>
      </c>
      <c r="W88" t="str">
        <v>Appartement</v>
      </c>
      <c r="X88" t="str">
        <v>Appartement 50-75 m²</v>
      </c>
      <c r="Y88" t="str">
        <v>Ja</v>
      </c>
      <c r="Z88" t="str">
        <v>eigen parkeerplaats</v>
      </c>
      <c r="AA88" t="str">
        <v>Na 2020</v>
      </c>
      <c r="AB88" t="str">
        <v>Nee</v>
      </c>
      <c r="AC88" t="str">
        <v>NEE</v>
      </c>
      <c r="AD88" t="str">
        <v>JA</v>
      </c>
    </row>
    <row r="89">
      <c r="A89" t="str">
        <v>44427359</v>
      </c>
      <c r="B89" t="str">
        <v>https://www.funda.nl/detail/koop/hengelo-ov/appartement-de-leerling-bouwnr-09/44427359/</v>
      </c>
      <c r="C89" t="str">
        <v>De Concurrent Hengelo</v>
      </c>
      <c r="D89" t="str">
        <v>De Leerling</v>
      </c>
      <c r="E89" t="str">
        <v>09</v>
      </c>
      <c r="F89" t="str">
        <v>7553 JT</v>
      </c>
      <c r="G89" t="str">
        <v>Hengelo (OV)</v>
      </c>
      <c r="H89" t="str">
        <v>Hengelo (O)</v>
      </c>
      <c r="I89" t="str">
        <v>Overijssel</v>
      </c>
      <c r="J89" t="str">
        <v>Oost-Nederland</v>
      </c>
      <c r="K89" t="str">
        <v>Te koop</v>
      </c>
      <c r="L89" t="str">
        <v>Onbekend</v>
      </c>
      <c r="M89" t="str">
        <v>Onbekend</v>
      </c>
      <c r="N89">
        <v>267250</v>
      </c>
      <c r="O89" t="str">
        <v>v.o.n.</v>
      </c>
      <c r="P89">
        <v>59</v>
      </c>
      <c r="Q89">
        <v>4530</v>
      </c>
      <c r="R89" t="str">
        <v>Onbekend</v>
      </c>
      <c r="S89" t="str">
        <v>A+++</v>
      </c>
      <c r="T89">
        <v>2</v>
      </c>
      <c r="U89">
        <v>1</v>
      </c>
      <c r="V89" t="str">
        <v>Appartement</v>
      </c>
      <c r="W89" t="str">
        <v>Appartement</v>
      </c>
      <c r="X89" t="str">
        <v>Appartement 50-75 m²</v>
      </c>
      <c r="Y89" t="str">
        <v>Ja</v>
      </c>
      <c r="Z89" t="str">
        <v>eigen parkeerplaats</v>
      </c>
      <c r="AA89" t="str">
        <v>Na 2020</v>
      </c>
      <c r="AB89" t="str">
        <v>Nee</v>
      </c>
      <c r="AC89" t="str">
        <v>NEE</v>
      </c>
      <c r="AD89" t="str">
        <v>JA</v>
      </c>
    </row>
    <row r="90">
      <c r="A90" t="str">
        <v>44427358</v>
      </c>
      <c r="B90" t="str">
        <v>https://www.funda.nl/detail/koop/hengelo-ov/appartement-de-leerling-bouwnr-17/44427358/</v>
      </c>
      <c r="C90" t="str">
        <v>De Concurrent Hengelo</v>
      </c>
      <c r="D90" t="str">
        <v>De Leerling</v>
      </c>
      <c r="E90" t="str">
        <v>17</v>
      </c>
      <c r="F90" t="str">
        <v>7553 JT</v>
      </c>
      <c r="G90" t="str">
        <v>Hengelo (OV)</v>
      </c>
      <c r="H90" t="str">
        <v>Hengelo (O)</v>
      </c>
      <c r="I90" t="str">
        <v>Overijssel</v>
      </c>
      <c r="J90" t="str">
        <v>Oost-Nederland</v>
      </c>
      <c r="K90" t="str">
        <v>Te koop</v>
      </c>
      <c r="L90" t="str">
        <v>Onbekend</v>
      </c>
      <c r="M90" t="str">
        <v>Onbekend</v>
      </c>
      <c r="N90">
        <v>227750</v>
      </c>
      <c r="O90" t="str">
        <v>v.o.n.</v>
      </c>
      <c r="P90">
        <v>48</v>
      </c>
      <c r="Q90">
        <v>4745</v>
      </c>
      <c r="R90" t="str">
        <v>Onbekend</v>
      </c>
      <c r="S90" t="str">
        <v>A+++</v>
      </c>
      <c r="T90">
        <v>2</v>
      </c>
      <c r="U90">
        <v>1</v>
      </c>
      <c r="V90" t="str">
        <v>Appartement</v>
      </c>
      <c r="W90" t="str">
        <v>Appartement</v>
      </c>
      <c r="X90" t="str">
        <v>Appartement &lt;50 m²</v>
      </c>
      <c r="Y90" t="str">
        <v>Ja</v>
      </c>
      <c r="Z90" t="str">
        <v>eigen parkeerplaats</v>
      </c>
      <c r="AA90" t="str">
        <v>Na 2020</v>
      </c>
      <c r="AB90" t="str">
        <v>Nee</v>
      </c>
      <c r="AC90" t="str">
        <v>NEE</v>
      </c>
      <c r="AD90" t="str">
        <v>JA</v>
      </c>
    </row>
    <row r="91">
      <c r="A91" t="str">
        <v>44427357</v>
      </c>
      <c r="B91" t="str">
        <v>https://www.funda.nl/detail/koop/hengelo-ov/appartement-de-leerling-bouwnr-19/44427357/</v>
      </c>
      <c r="C91" t="str">
        <v>De Concurrent Hengelo</v>
      </c>
      <c r="D91" t="str">
        <v>De Leerling</v>
      </c>
      <c r="E91" t="str">
        <v>19</v>
      </c>
      <c r="F91" t="str">
        <v>7553 JT</v>
      </c>
      <c r="G91" t="str">
        <v>Hengelo (OV)</v>
      </c>
      <c r="H91" t="str">
        <v>Hengelo (O)</v>
      </c>
      <c r="I91" t="str">
        <v>Overijssel</v>
      </c>
      <c r="J91" t="str">
        <v>Oost-Nederland</v>
      </c>
      <c r="K91" t="str">
        <v>Te koop</v>
      </c>
      <c r="L91" t="str">
        <v>Onbekend</v>
      </c>
      <c r="M91" t="str">
        <v>Onbekend</v>
      </c>
      <c r="N91">
        <v>229000</v>
      </c>
      <c r="O91" t="str">
        <v>v.o.n.</v>
      </c>
      <c r="P91">
        <v>50</v>
      </c>
      <c r="Q91">
        <v>4580</v>
      </c>
      <c r="R91" t="str">
        <v>Onbekend</v>
      </c>
      <c r="S91" t="str">
        <v>A+++</v>
      </c>
      <c r="T91">
        <v>2</v>
      </c>
      <c r="U91">
        <v>1</v>
      </c>
      <c r="V91" t="str">
        <v>Appartement</v>
      </c>
      <c r="W91" t="str">
        <v>Appartement</v>
      </c>
      <c r="X91" t="str">
        <v>Appartement 50-75 m²</v>
      </c>
      <c r="Y91" t="str">
        <v>Ja</v>
      </c>
      <c r="Z91" t="str">
        <v>eigen parkeerplaats</v>
      </c>
      <c r="AA91" t="str">
        <v>Na 2020</v>
      </c>
      <c r="AB91" t="str">
        <v>Nee</v>
      </c>
      <c r="AC91" t="str">
        <v>NEE</v>
      </c>
      <c r="AD91" t="str">
        <v>JA</v>
      </c>
    </row>
    <row r="92">
      <c r="A92" t="str">
        <v>44427356</v>
      </c>
      <c r="B92" t="str">
        <v>https://www.funda.nl/detail/koop/hengelo-ov/appartement-de-leerling-bouwnr-20/44427356/</v>
      </c>
      <c r="C92" t="str">
        <v>De Concurrent Hengelo</v>
      </c>
      <c r="D92" t="str">
        <v>De Leerling</v>
      </c>
      <c r="E92" t="str">
        <v>20</v>
      </c>
      <c r="F92" t="str">
        <v>7553 JT</v>
      </c>
      <c r="G92" t="str">
        <v>Hengelo (OV)</v>
      </c>
      <c r="H92" t="str">
        <v>Hengelo (O)</v>
      </c>
      <c r="I92" t="str">
        <v>Overijssel</v>
      </c>
      <c r="J92" t="str">
        <v>Oost-Nederland</v>
      </c>
      <c r="K92" t="str">
        <v>Te koop</v>
      </c>
      <c r="L92" t="str">
        <v>Onbekend</v>
      </c>
      <c r="M92" t="str">
        <v>Onbekend</v>
      </c>
      <c r="N92">
        <v>267500</v>
      </c>
      <c r="O92" t="str">
        <v>v.o.n.</v>
      </c>
      <c r="P92">
        <v>59</v>
      </c>
      <c r="Q92">
        <v>4534</v>
      </c>
      <c r="R92" t="str">
        <v>Onbekend</v>
      </c>
      <c r="S92" t="str">
        <v>A+++</v>
      </c>
      <c r="T92">
        <v>2</v>
      </c>
      <c r="U92">
        <v>1</v>
      </c>
      <c r="V92" t="str">
        <v>Appartement</v>
      </c>
      <c r="W92" t="str">
        <v>Appartement</v>
      </c>
      <c r="X92" t="str">
        <v>Appartement 50-75 m²</v>
      </c>
      <c r="Y92" t="str">
        <v>Ja</v>
      </c>
      <c r="Z92" t="str">
        <v>eigen parkeerplaats</v>
      </c>
      <c r="AA92" t="str">
        <v>Na 2020</v>
      </c>
      <c r="AB92" t="str">
        <v>Nee</v>
      </c>
      <c r="AC92" t="str">
        <v>NEE</v>
      </c>
      <c r="AD92" t="str">
        <v>JA</v>
      </c>
    </row>
    <row r="93">
      <c r="A93" t="str">
        <v>44427355</v>
      </c>
      <c r="B93" t="str">
        <v>https://www.funda.nl/detail/koop/hengelo-ov/appartement-de-leerling-bouwnr-07/44427355/</v>
      </c>
      <c r="C93" t="str">
        <v>De Concurrent Hengelo</v>
      </c>
      <c r="D93" t="str">
        <v>De Leerling</v>
      </c>
      <c r="E93" t="str">
        <v>07</v>
      </c>
      <c r="F93" t="str">
        <v>7553 JT</v>
      </c>
      <c r="G93" t="str">
        <v>Hengelo (OV)</v>
      </c>
      <c r="H93" t="str">
        <v>Hengelo (O)</v>
      </c>
      <c r="I93" t="str">
        <v>Overijssel</v>
      </c>
      <c r="J93" t="str">
        <v>Oost-Nederland</v>
      </c>
      <c r="K93" t="str">
        <v>Te koop</v>
      </c>
      <c r="L93" t="str">
        <v>2026-07-05</v>
      </c>
      <c r="M93">
        <v>8</v>
      </c>
      <c r="N93">
        <v>235250</v>
      </c>
      <c r="O93" t="str">
        <v>v.o.n.</v>
      </c>
      <c r="P93">
        <v>50</v>
      </c>
      <c r="Q93">
        <v>4705</v>
      </c>
      <c r="R93" t="str">
        <v>Onbekend</v>
      </c>
      <c r="S93" t="str">
        <v>A+++</v>
      </c>
      <c r="T93">
        <v>1</v>
      </c>
      <c r="U93">
        <v>1</v>
      </c>
      <c r="V93" t="str">
        <v>Appartement</v>
      </c>
      <c r="W93" t="str">
        <v>Appartement</v>
      </c>
      <c r="X93" t="str">
        <v>Appartement 50-75 m²</v>
      </c>
      <c r="Y93" t="str">
        <v>Ja</v>
      </c>
      <c r="Z93" t="str">
        <v>eigen parkeerplaats</v>
      </c>
      <c r="AA93" t="str">
        <v>Na 2020</v>
      </c>
      <c r="AB93" t="str">
        <v>Nee</v>
      </c>
      <c r="AC93" t="str">
        <v>NEE</v>
      </c>
      <c r="AD93" t="str">
        <v>JA</v>
      </c>
    </row>
    <row r="94">
      <c r="A94" t="str">
        <v>44428478</v>
      </c>
      <c r="B94" t="str">
        <v>https://www.funda.nl/detail/koop/hengelo-ov/appartement-de-meester-bouwnr-06/44428478/</v>
      </c>
      <c r="C94" t="str">
        <v>De Concurrent Hengelo</v>
      </c>
      <c r="D94" t="str">
        <v>De Meester</v>
      </c>
      <c r="E94" t="str">
        <v>06</v>
      </c>
      <c r="F94" t="str">
        <v>7553 JT</v>
      </c>
      <c r="G94" t="str">
        <v>Hengelo (OV)</v>
      </c>
      <c r="H94" t="str">
        <v>Hengelo (O)</v>
      </c>
      <c r="I94" t="str">
        <v>Overijssel</v>
      </c>
      <c r="J94" t="str">
        <v>Oost-Nederland</v>
      </c>
      <c r="K94" t="str">
        <v>Te koop</v>
      </c>
      <c r="L94" t="str">
        <v>Onbekend</v>
      </c>
      <c r="M94" t="str">
        <v>Onbekend</v>
      </c>
      <c r="N94">
        <v>495500</v>
      </c>
      <c r="O94" t="str">
        <v>v.o.n.</v>
      </c>
      <c r="P94">
        <v>98</v>
      </c>
      <c r="Q94">
        <v>5056</v>
      </c>
      <c r="R94" t="str">
        <v>Onbekend</v>
      </c>
      <c r="S94" t="str">
        <v>A+++</v>
      </c>
      <c r="T94">
        <v>4</v>
      </c>
      <c r="U94">
        <v>3</v>
      </c>
      <c r="V94" t="str">
        <v>Appartement</v>
      </c>
      <c r="W94" t="str">
        <v>Appartement</v>
      </c>
      <c r="X94" t="str">
        <v>Appartement 75-100 m²</v>
      </c>
      <c r="Y94" t="str">
        <v>Ja</v>
      </c>
      <c r="Z94" t="str">
        <v>eigen parkeerplaats</v>
      </c>
      <c r="AA94" t="str">
        <v>Na 2020</v>
      </c>
      <c r="AB94" t="str">
        <v>Nee</v>
      </c>
      <c r="AC94" t="str">
        <v>NEE</v>
      </c>
      <c r="AD94" t="str">
        <v>JA</v>
      </c>
    </row>
    <row r="95">
      <c r="A95" t="str">
        <v>44428476</v>
      </c>
      <c r="B95" t="str">
        <v>https://www.funda.nl/detail/koop/hengelo-ov/appartement-de-bakker-bouwnr-23/44428476/</v>
      </c>
      <c r="C95" t="str">
        <v>De Concurrent Hengelo</v>
      </c>
      <c r="D95" t="str">
        <v>De Bakker</v>
      </c>
      <c r="E95" t="str">
        <v>23</v>
      </c>
      <c r="F95" t="str">
        <v>7553 JT</v>
      </c>
      <c r="G95" t="str">
        <v>Hengelo (OV)</v>
      </c>
      <c r="H95" t="str">
        <v>Hengelo (O)</v>
      </c>
      <c r="I95" t="str">
        <v>Overijssel</v>
      </c>
      <c r="J95" t="str">
        <v>Oost-Nederland</v>
      </c>
      <c r="K95" t="str">
        <v>Te koop</v>
      </c>
      <c r="L95" t="str">
        <v>Onbekend</v>
      </c>
      <c r="M95" t="str">
        <v>Onbekend</v>
      </c>
      <c r="N95">
        <v>332000</v>
      </c>
      <c r="O95" t="str">
        <v>v.o.n.</v>
      </c>
      <c r="P95">
        <v>77</v>
      </c>
      <c r="Q95">
        <v>4312</v>
      </c>
      <c r="R95" t="str">
        <v>Onbekend</v>
      </c>
      <c r="S95" t="str">
        <v>A+++</v>
      </c>
      <c r="T95">
        <v>3</v>
      </c>
      <c r="U95">
        <v>2</v>
      </c>
      <c r="V95" t="str">
        <v>Appartement</v>
      </c>
      <c r="W95" t="str">
        <v>Appartement</v>
      </c>
      <c r="X95" t="str">
        <v>Appartement 75-100 m²</v>
      </c>
      <c r="Y95" t="str">
        <v>Ja</v>
      </c>
      <c r="Z95" t="str">
        <v>eigen parkeerplaats</v>
      </c>
      <c r="AA95" t="str">
        <v>Na 2020</v>
      </c>
      <c r="AB95" t="str">
        <v>Nee</v>
      </c>
      <c r="AC95" t="str">
        <v>NEE</v>
      </c>
      <c r="AD95" t="str">
        <v>JA</v>
      </c>
    </row>
    <row r="96">
      <c r="A96" t="str">
        <v>44428469</v>
      </c>
      <c r="B96" t="str">
        <v>https://www.funda.nl/detail/koop/hengelo-ov/appartement-de-bakker-bouwnr-11/44428469/</v>
      </c>
      <c r="C96" t="str">
        <v>De Concurrent Hengelo</v>
      </c>
      <c r="D96" t="str">
        <v>De Bakker</v>
      </c>
      <c r="E96" t="str">
        <v>11</v>
      </c>
      <c r="F96" t="str">
        <v>7553 JT</v>
      </c>
      <c r="G96" t="str">
        <v>Hengelo (OV)</v>
      </c>
      <c r="H96" t="str">
        <v>Hengelo (O)</v>
      </c>
      <c r="I96" t="str">
        <v>Overijssel</v>
      </c>
      <c r="J96" t="str">
        <v>Oost-Nederland</v>
      </c>
      <c r="K96" t="str">
        <v>Te koop</v>
      </c>
      <c r="L96" t="str">
        <v>Onbekend</v>
      </c>
      <c r="M96" t="str">
        <v>Onbekend</v>
      </c>
      <c r="N96">
        <v>327750</v>
      </c>
      <c r="O96" t="str">
        <v>v.o.n.</v>
      </c>
      <c r="P96">
        <v>77</v>
      </c>
      <c r="Q96">
        <v>4256</v>
      </c>
      <c r="R96" t="str">
        <v>Onbekend</v>
      </c>
      <c r="S96" t="str">
        <v>A+++</v>
      </c>
      <c r="T96">
        <v>3</v>
      </c>
      <c r="U96">
        <v>2</v>
      </c>
      <c r="V96" t="str">
        <v>Appartement</v>
      </c>
      <c r="W96" t="str">
        <v>Appartement</v>
      </c>
      <c r="X96" t="str">
        <v>Appartement 75-100 m²</v>
      </c>
      <c r="Y96" t="str">
        <v>Ja</v>
      </c>
      <c r="Z96" t="str">
        <v>eigen parkeerplaats</v>
      </c>
      <c r="AA96" t="str">
        <v>Na 2020</v>
      </c>
      <c r="AB96" t="str">
        <v>Nee</v>
      </c>
      <c r="AC96" t="str">
        <v>NEE</v>
      </c>
      <c r="AD96" t="str">
        <v>JA</v>
      </c>
    </row>
    <row r="97">
      <c r="A97" t="str">
        <v>44428468</v>
      </c>
      <c r="B97" t="str">
        <v>https://www.funda.nl/detail/koop/hengelo-ov/appartement-de-bakker-bouwnr-03/44428468/</v>
      </c>
      <c r="C97" t="str">
        <v>De Concurrent Hengelo</v>
      </c>
      <c r="D97" t="str">
        <v>De Bakker</v>
      </c>
      <c r="E97" t="str">
        <v>03</v>
      </c>
      <c r="F97" t="str">
        <v>7553 JT</v>
      </c>
      <c r="G97" t="str">
        <v>Hengelo (OV)</v>
      </c>
      <c r="H97" t="str">
        <v>Hengelo (O)</v>
      </c>
      <c r="I97" t="str">
        <v>Overijssel</v>
      </c>
      <c r="J97" t="str">
        <v>Oost-Nederland</v>
      </c>
      <c r="K97" t="str">
        <v>Te koop</v>
      </c>
      <c r="L97" t="str">
        <v>Onbekend</v>
      </c>
      <c r="M97" t="str">
        <v>Onbekend</v>
      </c>
      <c r="N97">
        <v>437250</v>
      </c>
      <c r="O97" t="str">
        <v>v.o.n.</v>
      </c>
      <c r="P97">
        <v>85</v>
      </c>
      <c r="Q97">
        <v>5144</v>
      </c>
      <c r="R97" t="str">
        <v>Onbekend</v>
      </c>
      <c r="S97" t="str">
        <v>A+++</v>
      </c>
      <c r="T97">
        <v>3</v>
      </c>
      <c r="U97">
        <v>2</v>
      </c>
      <c r="V97" t="str">
        <v>Appartement</v>
      </c>
      <c r="W97" t="str">
        <v>Appartement</v>
      </c>
      <c r="X97" t="str">
        <v>Appartement 75-100 m²</v>
      </c>
      <c r="Y97" t="str">
        <v>Ja</v>
      </c>
      <c r="Z97" t="str">
        <v>eigen parkeerplaats</v>
      </c>
      <c r="AA97" t="str">
        <v>Na 2020</v>
      </c>
      <c r="AB97" t="str">
        <v>Nee</v>
      </c>
      <c r="AC97" t="str">
        <v>NEE</v>
      </c>
      <c r="AD97" t="str">
        <v>JA</v>
      </c>
    </row>
  </sheetData>
  <autoFilter ref="A27:AD97"/>
  <ignoredErrors>
    <ignoredError numberStoredAsText="1" sqref="A1:AD97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AD39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Hoogeveen</v>
      </c>
    </row>
    <row r="3">
      <c r="A3" t="str">
        <v>Samenvatting</v>
      </c>
    </row>
    <row r="4">
      <c r="A4" t="str">
        <v>Aantal woningen</v>
      </c>
      <c r="B4">
        <v>16</v>
      </c>
    </row>
    <row r="5">
      <c r="A5" t="str">
        <v>Aantal te koop</v>
      </c>
      <c r="B5">
        <v>12</v>
      </c>
    </row>
    <row r="6">
      <c r="A6" t="str">
        <v>Aantal verkocht</v>
      </c>
      <c r="B6">
        <v>0</v>
      </c>
    </row>
    <row r="7">
      <c r="A7" t="str">
        <v>Aantal V.O.V.</v>
      </c>
      <c r="B7">
        <v>4</v>
      </c>
    </row>
    <row r="8">
      <c r="A8" t="str">
        <v>Gemiddelde VON-prijs (€)</v>
      </c>
      <c r="B8">
        <v>705000</v>
      </c>
    </row>
    <row r="9">
      <c r="A9" t="str">
        <v>Mediaan VON-prijs (€)</v>
      </c>
      <c r="B9">
        <v>675000</v>
      </c>
    </row>
    <row r="10">
      <c r="A10" t="str">
        <v>Gemiddelde VON-prijs per m² (€)</v>
      </c>
      <c r="B10">
        <v>6143</v>
      </c>
    </row>
    <row r="11">
      <c r="A11" t="str">
        <v>Mediaan VON-prijs per m² (€)</v>
      </c>
      <c r="B11">
        <v>6168</v>
      </c>
    </row>
    <row r="12">
      <c r="A12" t="str">
        <v>Gemiddelde GBO (m²)</v>
      </c>
      <c r="B12">
        <v>115</v>
      </c>
    </row>
    <row r="13">
      <c r="A13" t="str">
        <v>Gemiddelde looptijd (dagen)</v>
      </c>
      <c r="B13">
        <v>8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75-100 m²</v>
      </c>
      <c r="B19">
        <v>4</v>
      </c>
    </row>
    <row r="20">
      <c r="A20" t="str">
        <v>Appartement &gt;100 m²</v>
      </c>
      <c r="B20">
        <v>12</v>
      </c>
    </row>
    <row r="22">
      <c r="A22" t="str">
        <v>Alle woningen in Hoogeveen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44428194</v>
      </c>
      <c r="B24" t="str">
        <v>https://www.funda.nl/detail/koop/hoogeveen/appartement-type-d-bouwnr-8/44428194/</v>
      </c>
      <c r="C24" t="str">
        <v>De Rechters van Park Dwingeland</v>
      </c>
      <c r="D24" t="str">
        <v>Type D</v>
      </c>
      <c r="E24" t="str">
        <v>8</v>
      </c>
      <c r="F24" t="str">
        <v>7902 HM</v>
      </c>
      <c r="G24" t="str">
        <v>Hoogeveen</v>
      </c>
      <c r="H24" t="str">
        <v>Hoogeveen</v>
      </c>
      <c r="I24" t="str">
        <v>Drenthe</v>
      </c>
      <c r="J24" t="str">
        <v>Noord-Nederland</v>
      </c>
      <c r="K24" t="str">
        <v>Te koop</v>
      </c>
      <c r="L24" t="str">
        <v>Onbekend</v>
      </c>
      <c r="M24" t="str">
        <v>Onbekend</v>
      </c>
      <c r="N24">
        <v>935000</v>
      </c>
      <c r="O24" t="str">
        <v>v.o.n.</v>
      </c>
      <c r="P24">
        <v>147</v>
      </c>
      <c r="Q24">
        <v>6361</v>
      </c>
      <c r="R24" t="str">
        <v>Onbekend</v>
      </c>
      <c r="S24" t="str">
        <v>A+++</v>
      </c>
      <c r="T24">
        <v>4</v>
      </c>
      <c r="U24">
        <v>3</v>
      </c>
      <c r="V24" t="str">
        <v>Appartement</v>
      </c>
      <c r="W24" t="str">
        <v>Appartement</v>
      </c>
      <c r="X24" t="str">
        <v>Appartement &gt;100 m²</v>
      </c>
      <c r="Y24" t="str">
        <v>Ja</v>
      </c>
      <c r="Z24" t="str">
        <v>garage</v>
      </c>
      <c r="AA24" t="str">
        <v>2027</v>
      </c>
      <c r="AB24" t="str">
        <v>Nee</v>
      </c>
      <c r="AC24" t="str">
        <v>NEE</v>
      </c>
      <c r="AD24" t="str">
        <v>JA</v>
      </c>
    </row>
    <row r="25">
      <c r="A25" t="str">
        <v>44428193</v>
      </c>
      <c r="B25" t="str">
        <v>https://www.funda.nl/detail/koop/hoogeveen/appartement-type-b-bouwnr-1/44428193/</v>
      </c>
      <c r="C25" t="str">
        <v>De Rechters van Park Dwingeland</v>
      </c>
      <c r="D25" t="str">
        <v>Type B</v>
      </c>
      <c r="E25" t="str">
        <v>1</v>
      </c>
      <c r="F25" t="str">
        <v>7902 HM</v>
      </c>
      <c r="G25" t="str">
        <v>Hoogeveen</v>
      </c>
      <c r="H25" t="str">
        <v>Hoogeveen</v>
      </c>
      <c r="I25" t="str">
        <v>Drenthe</v>
      </c>
      <c r="J25" t="str">
        <v>Noord-Nederland</v>
      </c>
      <c r="K25" t="str">
        <v>Te koop</v>
      </c>
      <c r="L25" t="str">
        <v>Onbekend</v>
      </c>
      <c r="M25" t="str">
        <v>Onbekend</v>
      </c>
      <c r="N25">
        <v>675000</v>
      </c>
      <c r="O25" t="str">
        <v>v.o.n.</v>
      </c>
      <c r="P25">
        <v>112</v>
      </c>
      <c r="Q25">
        <v>6027</v>
      </c>
      <c r="R25" t="str">
        <v>Onbekend</v>
      </c>
      <c r="S25" t="str">
        <v>A+++</v>
      </c>
      <c r="T25">
        <v>3</v>
      </c>
      <c r="U25">
        <v>2</v>
      </c>
      <c r="V25" t="str">
        <v>Appartement</v>
      </c>
      <c r="W25" t="str">
        <v>Appartement</v>
      </c>
      <c r="X25" t="str">
        <v>Appartement &gt;100 m²</v>
      </c>
      <c r="Y25" t="str">
        <v>Ja</v>
      </c>
      <c r="Z25" t="str">
        <v>garage</v>
      </c>
      <c r="AA25" t="str">
        <v>2027</v>
      </c>
      <c r="AB25" t="str">
        <v>Nee</v>
      </c>
      <c r="AC25" t="str">
        <v>NEE</v>
      </c>
      <c r="AD25" t="str">
        <v>JA</v>
      </c>
    </row>
    <row r="26">
      <c r="A26" t="str">
        <v>44428181</v>
      </c>
      <c r="B26" t="str">
        <v>https://www.funda.nl/detail/koop/hoogeveen/appartement-type-b-bouwnr-12/44428181/</v>
      </c>
      <c r="C26" t="str">
        <v>De Rechters van Park Dwingeland</v>
      </c>
      <c r="D26" t="str">
        <v>Type B</v>
      </c>
      <c r="E26" t="str">
        <v>12</v>
      </c>
      <c r="F26" t="str">
        <v>7902 HM</v>
      </c>
      <c r="G26" t="str">
        <v>Hoogeveen</v>
      </c>
      <c r="H26" t="str">
        <v>Hoogeveen</v>
      </c>
      <c r="I26" t="str">
        <v>Drenthe</v>
      </c>
      <c r="J26" t="str">
        <v>Noord-Nederland</v>
      </c>
      <c r="K26" t="str">
        <v>Te koop</v>
      </c>
      <c r="L26" t="str">
        <v>Onbekend</v>
      </c>
      <c r="M26" t="str">
        <v>Onbekend</v>
      </c>
      <c r="N26">
        <v>695000</v>
      </c>
      <c r="O26" t="str">
        <v>v.o.n.</v>
      </c>
      <c r="P26">
        <v>112</v>
      </c>
      <c r="Q26">
        <v>6205</v>
      </c>
      <c r="R26" t="str">
        <v>Onbekend</v>
      </c>
      <c r="S26" t="str">
        <v>A+++</v>
      </c>
      <c r="T26">
        <v>3</v>
      </c>
      <c r="U26">
        <v>2</v>
      </c>
      <c r="V26" t="str">
        <v>Appartement</v>
      </c>
      <c r="W26" t="str">
        <v>Appartement</v>
      </c>
      <c r="X26" t="str">
        <v>Appartement &gt;100 m²</v>
      </c>
      <c r="Y26" t="str">
        <v>Ja</v>
      </c>
      <c r="Z26" t="str">
        <v>garage</v>
      </c>
      <c r="AA26" t="str">
        <v>2027</v>
      </c>
      <c r="AB26" t="str">
        <v>Nee</v>
      </c>
      <c r="AC26" t="str">
        <v>NEE</v>
      </c>
      <c r="AD26" t="str">
        <v>JA</v>
      </c>
    </row>
    <row r="27">
      <c r="A27" t="str">
        <v>44428184</v>
      </c>
      <c r="B27" t="str">
        <v>https://www.funda.nl/detail/koop/hoogeveen/appartement-type-b-bouwnr-9/44428184/</v>
      </c>
      <c r="C27" t="str">
        <v>De Rechters van Park Dwingeland</v>
      </c>
      <c r="D27" t="str">
        <v>Type B</v>
      </c>
      <c r="E27" t="str">
        <v>9</v>
      </c>
      <c r="F27" t="str">
        <v>7902 HM</v>
      </c>
      <c r="G27" t="str">
        <v>Hoogeveen</v>
      </c>
      <c r="H27" t="str">
        <v>Hoogeveen</v>
      </c>
      <c r="I27" t="str">
        <v>Drenthe</v>
      </c>
      <c r="J27" t="str">
        <v>Noord-Nederland</v>
      </c>
      <c r="K27" t="str">
        <v>Te koop</v>
      </c>
      <c r="L27" t="str">
        <v>Onbekend</v>
      </c>
      <c r="M27" t="str">
        <v>Onbekend</v>
      </c>
      <c r="N27">
        <v>675000</v>
      </c>
      <c r="O27" t="str">
        <v>v.o.n.</v>
      </c>
      <c r="P27">
        <v>112</v>
      </c>
      <c r="Q27">
        <v>6027</v>
      </c>
      <c r="R27" t="str">
        <v>Onbekend</v>
      </c>
      <c r="S27" t="str">
        <v>A+++</v>
      </c>
      <c r="T27">
        <v>3</v>
      </c>
      <c r="U27">
        <v>2</v>
      </c>
      <c r="V27" t="str">
        <v>Appartement</v>
      </c>
      <c r="W27" t="str">
        <v>Appartement</v>
      </c>
      <c r="X27" t="str">
        <v>Appartement &gt;100 m²</v>
      </c>
      <c r="Y27" t="str">
        <v>Ja</v>
      </c>
      <c r="Z27" t="str">
        <v>garage</v>
      </c>
      <c r="AA27" t="str">
        <v>2027</v>
      </c>
      <c r="AB27" t="str">
        <v>Nee</v>
      </c>
      <c r="AC27" t="str">
        <v>NEE</v>
      </c>
      <c r="AD27" t="str">
        <v>JA</v>
      </c>
    </row>
    <row r="28">
      <c r="A28" t="str">
        <v>44428171</v>
      </c>
      <c r="B28" t="str">
        <v>https://www.funda.nl/detail/koop/hoogeveen/appartement-type-d-bouwnr-16/44428171/</v>
      </c>
      <c r="C28" t="str">
        <v>De Rechters van Park Dwingeland</v>
      </c>
      <c r="D28" t="str">
        <v>Type D</v>
      </c>
      <c r="E28" t="str">
        <v>16</v>
      </c>
      <c r="F28" t="str">
        <v>7902 HM</v>
      </c>
      <c r="G28" t="str">
        <v>Hoogeveen</v>
      </c>
      <c r="H28" t="str">
        <v>Hoogeveen</v>
      </c>
      <c r="I28" t="str">
        <v>Drenthe</v>
      </c>
      <c r="J28" t="str">
        <v>Noord-Nederland</v>
      </c>
      <c r="K28" t="str">
        <v>Te koop</v>
      </c>
      <c r="L28" t="str">
        <v>2026-07-05</v>
      </c>
      <c r="M28">
        <v>8</v>
      </c>
      <c r="N28">
        <v>935000</v>
      </c>
      <c r="O28" t="str">
        <v>v.o.n.</v>
      </c>
      <c r="P28">
        <v>147</v>
      </c>
      <c r="Q28">
        <v>6361</v>
      </c>
      <c r="R28" t="str">
        <v>Onbekend</v>
      </c>
      <c r="S28" t="str">
        <v>A+++</v>
      </c>
      <c r="T28">
        <v>4</v>
      </c>
      <c r="U28">
        <v>3</v>
      </c>
      <c r="V28" t="str">
        <v>Appartement</v>
      </c>
      <c r="W28" t="str">
        <v>Appartement</v>
      </c>
      <c r="X28" t="str">
        <v>Appartement &gt;100 m²</v>
      </c>
      <c r="Y28" t="str">
        <v>Ja</v>
      </c>
      <c r="Z28" t="str">
        <v>garage</v>
      </c>
      <c r="AA28" t="str">
        <v>2027</v>
      </c>
      <c r="AB28" t="str">
        <v>Nee</v>
      </c>
      <c r="AC28" t="str">
        <v>NEE</v>
      </c>
      <c r="AD28" t="str">
        <v>JA</v>
      </c>
    </row>
    <row r="29">
      <c r="A29" t="str">
        <v>44428173</v>
      </c>
      <c r="B29" t="str">
        <v>https://www.funda.nl/detail/koop/hoogeveen/appartement-type-a-bouwnr-a6/44428173/</v>
      </c>
      <c r="C29" t="str">
        <v>De Rechters van Park Dwingeland</v>
      </c>
      <c r="D29" t="str">
        <v>Type A</v>
      </c>
      <c r="E29" t="str">
        <v>A6</v>
      </c>
      <c r="F29" t="str">
        <v>7902 HM</v>
      </c>
      <c r="G29" t="str">
        <v>Hoogeveen</v>
      </c>
      <c r="H29" t="str">
        <v>Hoogeveen</v>
      </c>
      <c r="I29" t="str">
        <v>Drenthe</v>
      </c>
      <c r="J29" t="str">
        <v>Noord-Nederland</v>
      </c>
      <c r="K29" t="str">
        <v>Te koop</v>
      </c>
      <c r="L29" t="str">
        <v>Onbekend</v>
      </c>
      <c r="M29" t="str">
        <v>Onbekend</v>
      </c>
      <c r="N29">
        <v>585000</v>
      </c>
      <c r="O29" t="str">
        <v>v.o.n.</v>
      </c>
      <c r="P29">
        <v>98</v>
      </c>
      <c r="Q29">
        <v>5969</v>
      </c>
      <c r="R29" t="str">
        <v>Onbekend</v>
      </c>
      <c r="S29" t="str">
        <v>A+++</v>
      </c>
      <c r="T29">
        <v>3</v>
      </c>
      <c r="U29">
        <v>2</v>
      </c>
      <c r="V29" t="str">
        <v>Appartement</v>
      </c>
      <c r="W29" t="str">
        <v>Appartement</v>
      </c>
      <c r="X29" t="str">
        <v>Appartement 75-100 m²</v>
      </c>
      <c r="Y29" t="str">
        <v>Ja</v>
      </c>
      <c r="Z29" t="str">
        <v>garage</v>
      </c>
      <c r="AA29" t="str">
        <v>2027</v>
      </c>
      <c r="AB29" t="str">
        <v>Nee</v>
      </c>
      <c r="AC29" t="str">
        <v>NEE</v>
      </c>
      <c r="AD29" t="str">
        <v>JA</v>
      </c>
    </row>
    <row r="30">
      <c r="A30" t="str">
        <v>44428162</v>
      </c>
      <c r="B30" t="str">
        <v>https://www.funda.nl/detail/koop/hoogeveen/appartement-type-a-bouwnr-a14/44428162/</v>
      </c>
      <c r="C30" t="str">
        <v>De Rechters van Park Dwingeland</v>
      </c>
      <c r="D30" t="str">
        <v>Type A</v>
      </c>
      <c r="E30" t="str">
        <v>A14</v>
      </c>
      <c r="F30" t="str">
        <v>7902 HM</v>
      </c>
      <c r="G30" t="str">
        <v>Hoogeveen</v>
      </c>
      <c r="H30" t="str">
        <v>Hoogeveen</v>
      </c>
      <c r="I30" t="str">
        <v>Drenthe</v>
      </c>
      <c r="J30" t="str">
        <v>Noord-Nederland</v>
      </c>
      <c r="K30" t="str">
        <v>V.O.V.</v>
      </c>
      <c r="L30" t="str">
        <v>Onbekend</v>
      </c>
      <c r="M30" t="str">
        <v>Onbekend</v>
      </c>
      <c r="N30">
        <v>585000</v>
      </c>
      <c r="O30" t="str">
        <v>v.o.n.</v>
      </c>
      <c r="P30">
        <v>98</v>
      </c>
      <c r="Q30">
        <v>5969</v>
      </c>
      <c r="R30" t="str">
        <v>Onbekend</v>
      </c>
      <c r="S30" t="str">
        <v>A+++</v>
      </c>
      <c r="T30">
        <v>3</v>
      </c>
      <c r="U30">
        <v>2</v>
      </c>
      <c r="V30" t="str">
        <v>Appartement</v>
      </c>
      <c r="W30" t="str">
        <v>Appartement</v>
      </c>
      <c r="X30" t="str">
        <v>Appartement 75-100 m²</v>
      </c>
      <c r="Y30" t="str">
        <v>Ja</v>
      </c>
      <c r="Z30" t="str">
        <v>garage</v>
      </c>
      <c r="AA30" t="str">
        <v>2027</v>
      </c>
      <c r="AB30" t="str">
        <v>Nee</v>
      </c>
      <c r="AC30" t="str">
        <v>NEE</v>
      </c>
      <c r="AD30" t="str">
        <v>JA</v>
      </c>
    </row>
    <row r="31">
      <c r="A31" t="str">
        <v>44428161</v>
      </c>
      <c r="B31" t="str">
        <v>https://www.funda.nl/detail/koop/hoogeveen/appartement-type-a-bouwnr-a11/44428161/</v>
      </c>
      <c r="C31" t="str">
        <v>De Rechters van Park Dwingeland</v>
      </c>
      <c r="D31" t="str">
        <v>Type A</v>
      </c>
      <c r="E31" t="str">
        <v>A11</v>
      </c>
      <c r="F31" t="str">
        <v>7902 HM</v>
      </c>
      <c r="G31" t="str">
        <v>Hoogeveen</v>
      </c>
      <c r="H31" t="str">
        <v>Hoogeveen</v>
      </c>
      <c r="I31" t="str">
        <v>Drenthe</v>
      </c>
      <c r="J31" t="str">
        <v>Noord-Nederland</v>
      </c>
      <c r="K31" t="str">
        <v>Te koop</v>
      </c>
      <c r="L31" t="str">
        <v>Onbekend</v>
      </c>
      <c r="M31" t="str">
        <v>Onbekend</v>
      </c>
      <c r="N31">
        <v>575000</v>
      </c>
      <c r="O31" t="str">
        <v>v.o.n.</v>
      </c>
      <c r="P31">
        <v>98</v>
      </c>
      <c r="Q31">
        <v>5867</v>
      </c>
      <c r="R31" t="str">
        <v>Onbekend</v>
      </c>
      <c r="S31" t="str">
        <v>A+++</v>
      </c>
      <c r="T31">
        <v>3</v>
      </c>
      <c r="U31">
        <v>2</v>
      </c>
      <c r="V31" t="str">
        <v>Appartement</v>
      </c>
      <c r="W31" t="str">
        <v>Appartement</v>
      </c>
      <c r="X31" t="str">
        <v>Appartement 75-100 m²</v>
      </c>
      <c r="Y31" t="str">
        <v>Ja</v>
      </c>
      <c r="Z31" t="str">
        <v>garage</v>
      </c>
      <c r="AA31" t="str">
        <v>2027</v>
      </c>
      <c r="AB31" t="str">
        <v>Nee</v>
      </c>
      <c r="AC31" t="str">
        <v>NEE</v>
      </c>
      <c r="AD31" t="str">
        <v>JA</v>
      </c>
    </row>
    <row r="32">
      <c r="A32" t="str">
        <v>44428188</v>
      </c>
      <c r="B32" t="str">
        <v>https://www.funda.nl/detail/koop/hoogeveen/appartement-type-b-bouwnr-4/44428188/</v>
      </c>
      <c r="C32" t="str">
        <v>De Rechters van Park Dwingeland</v>
      </c>
      <c r="D32" t="str">
        <v>Type B</v>
      </c>
      <c r="E32" t="str">
        <v>4</v>
      </c>
      <c r="F32" t="str">
        <v>7902 HM</v>
      </c>
      <c r="G32" t="str">
        <v>Hoogeveen</v>
      </c>
      <c r="H32" t="str">
        <v>Hoogeveen</v>
      </c>
      <c r="I32" t="str">
        <v>Drenthe</v>
      </c>
      <c r="J32" t="str">
        <v>Noord-Nederland</v>
      </c>
      <c r="K32" t="str">
        <v>Te koop</v>
      </c>
      <c r="L32" t="str">
        <v>Onbekend</v>
      </c>
      <c r="M32" t="str">
        <v>Onbekend</v>
      </c>
      <c r="N32">
        <v>685000</v>
      </c>
      <c r="O32" t="str">
        <v>v.o.n.</v>
      </c>
      <c r="P32">
        <v>112</v>
      </c>
      <c r="Q32">
        <v>6116</v>
      </c>
      <c r="R32" t="str">
        <v>Onbekend</v>
      </c>
      <c r="S32" t="str">
        <v>A+++</v>
      </c>
      <c r="T32">
        <v>3</v>
      </c>
      <c r="U32">
        <v>2</v>
      </c>
      <c r="V32" t="str">
        <v>Appartement</v>
      </c>
      <c r="W32" t="str">
        <v>Appartement</v>
      </c>
      <c r="X32" t="str">
        <v>Appartement &gt;100 m²</v>
      </c>
      <c r="Y32" t="str">
        <v>Ja</v>
      </c>
      <c r="Z32" t="str">
        <v>garage</v>
      </c>
      <c r="AA32" t="str">
        <v>2027</v>
      </c>
      <c r="AB32" t="str">
        <v>Nee</v>
      </c>
      <c r="AC32" t="str">
        <v>NEE</v>
      </c>
      <c r="AD32" t="str">
        <v>JA</v>
      </c>
    </row>
    <row r="33">
      <c r="A33" t="str">
        <v>44428186</v>
      </c>
      <c r="B33" t="str">
        <v>https://www.funda.nl/detail/koop/hoogeveen/appartement-type-e-bouwnr-15/44428186/</v>
      </c>
      <c r="C33" t="str">
        <v>De Rechters van Park Dwingeland</v>
      </c>
      <c r="D33" t="str">
        <v>Type E</v>
      </c>
      <c r="E33" t="str">
        <v>15</v>
      </c>
      <c r="F33" t="str">
        <v>7902 HM</v>
      </c>
      <c r="G33" t="str">
        <v>Hoogeveen</v>
      </c>
      <c r="H33" t="str">
        <v>Hoogeveen</v>
      </c>
      <c r="I33" t="str">
        <v>Drenthe</v>
      </c>
      <c r="J33" t="str">
        <v>Noord-Nederland</v>
      </c>
      <c r="K33" t="str">
        <v>Te koop</v>
      </c>
      <c r="L33" t="str">
        <v>Onbekend</v>
      </c>
      <c r="M33" t="str">
        <v>Onbekend</v>
      </c>
      <c r="N33">
        <v>850000</v>
      </c>
      <c r="O33" t="str">
        <v>v.o.n.</v>
      </c>
      <c r="P33">
        <v>137</v>
      </c>
      <c r="Q33">
        <v>6204</v>
      </c>
      <c r="R33" t="str">
        <v>Onbekend</v>
      </c>
      <c r="S33" t="str">
        <v>A+++</v>
      </c>
      <c r="T33">
        <v>4</v>
      </c>
      <c r="U33">
        <v>3</v>
      </c>
      <c r="V33" t="str">
        <v>Appartement</v>
      </c>
      <c r="W33" t="str">
        <v>Appartement</v>
      </c>
      <c r="X33" t="str">
        <v>Appartement &gt;100 m²</v>
      </c>
      <c r="Y33" t="str">
        <v>Ja</v>
      </c>
      <c r="Z33" t="str">
        <v>garage</v>
      </c>
      <c r="AA33" t="str">
        <v>2027</v>
      </c>
      <c r="AB33" t="str">
        <v>Nee</v>
      </c>
      <c r="AC33" t="str">
        <v>NEE</v>
      </c>
      <c r="AD33" t="str">
        <v>JA</v>
      </c>
    </row>
    <row r="34">
      <c r="A34" t="str">
        <v>44428185</v>
      </c>
      <c r="B34" t="str">
        <v>https://www.funda.nl/detail/koop/hoogeveen/appartement-type-e-bouwnr-7/44428185/</v>
      </c>
      <c r="C34" t="str">
        <v>De Rechters van Park Dwingeland</v>
      </c>
      <c r="D34" t="str">
        <v>Type E</v>
      </c>
      <c r="E34" t="str">
        <v>7</v>
      </c>
      <c r="F34" t="str">
        <v>7902 HM</v>
      </c>
      <c r="G34" t="str">
        <v>Hoogeveen</v>
      </c>
      <c r="H34" t="str">
        <v>Hoogeveen</v>
      </c>
      <c r="I34" t="str">
        <v>Drenthe</v>
      </c>
      <c r="J34" t="str">
        <v>Noord-Nederland</v>
      </c>
      <c r="K34" t="str">
        <v>Te koop</v>
      </c>
      <c r="L34" t="str">
        <v>Onbekend</v>
      </c>
      <c r="M34" t="str">
        <v>Onbekend</v>
      </c>
      <c r="N34">
        <v>840000</v>
      </c>
      <c r="O34" t="str">
        <v>v.o.n.</v>
      </c>
      <c r="P34">
        <v>137</v>
      </c>
      <c r="Q34">
        <v>6131</v>
      </c>
      <c r="R34" t="str">
        <v>Onbekend</v>
      </c>
      <c r="S34" t="str">
        <v>A+++</v>
      </c>
      <c r="T34">
        <v>4</v>
      </c>
      <c r="U34">
        <v>3</v>
      </c>
      <c r="V34" t="str">
        <v>Appartement</v>
      </c>
      <c r="W34" t="str">
        <v>Appartement</v>
      </c>
      <c r="X34" t="str">
        <v>Appartement &gt;100 m²</v>
      </c>
      <c r="Y34" t="str">
        <v>Ja</v>
      </c>
      <c r="Z34" t="str">
        <v>garage</v>
      </c>
      <c r="AA34" t="str">
        <v>2027</v>
      </c>
      <c r="AB34" t="str">
        <v>Nee</v>
      </c>
      <c r="AC34" t="str">
        <v>NEE</v>
      </c>
      <c r="AD34" t="str">
        <v>JA</v>
      </c>
    </row>
    <row r="35">
      <c r="A35" t="str">
        <v>44428168</v>
      </c>
      <c r="B35" t="str">
        <v>https://www.funda.nl/detail/koop/hoogeveen/appartement-type-a-bouwnr-a3/44428168/</v>
      </c>
      <c r="C35" t="str">
        <v>De Rechters van Park Dwingeland</v>
      </c>
      <c r="D35" t="str">
        <v>Type A</v>
      </c>
      <c r="E35" t="str">
        <v>A3</v>
      </c>
      <c r="F35" t="str">
        <v>7902 HM</v>
      </c>
      <c r="G35" t="str">
        <v>Hoogeveen</v>
      </c>
      <c r="H35" t="str">
        <v>Hoogeveen</v>
      </c>
      <c r="I35" t="str">
        <v>Drenthe</v>
      </c>
      <c r="J35" t="str">
        <v>Noord-Nederland</v>
      </c>
      <c r="K35" t="str">
        <v>Te koop</v>
      </c>
      <c r="L35" t="str">
        <v>Onbekend</v>
      </c>
      <c r="M35" t="str">
        <v>Onbekend</v>
      </c>
      <c r="N35">
        <v>575000</v>
      </c>
      <c r="O35" t="str">
        <v>v.o.n.</v>
      </c>
      <c r="P35">
        <v>98</v>
      </c>
      <c r="Q35">
        <v>5867</v>
      </c>
      <c r="R35" t="str">
        <v>Onbekend</v>
      </c>
      <c r="S35" t="str">
        <v>A+++</v>
      </c>
      <c r="T35">
        <v>3</v>
      </c>
      <c r="U35">
        <v>2</v>
      </c>
      <c r="V35" t="str">
        <v>Appartement</v>
      </c>
      <c r="W35" t="str">
        <v>Appartement</v>
      </c>
      <c r="X35" t="str">
        <v>Appartement 75-100 m²</v>
      </c>
      <c r="Y35" t="str">
        <v>Ja</v>
      </c>
      <c r="Z35" t="str">
        <v>garage</v>
      </c>
      <c r="AA35" t="str">
        <v>2027</v>
      </c>
      <c r="AB35" t="str">
        <v>Nee</v>
      </c>
      <c r="AC35" t="str">
        <v>NEE</v>
      </c>
      <c r="AD35" t="str">
        <v>JA</v>
      </c>
    </row>
    <row r="36">
      <c r="A36" t="str">
        <v>44428195</v>
      </c>
      <c r="B36" t="str">
        <v>https://www.funda.nl/detail/koop/hoogeveen/appartement-type-c-bouwnr-13/44428195/</v>
      </c>
      <c r="C36" t="str">
        <v>De Rechters van Park Dwingeland</v>
      </c>
      <c r="D36" t="str">
        <v>Type C</v>
      </c>
      <c r="E36" t="str">
        <v>13</v>
      </c>
      <c r="F36" t="str">
        <v>7902 HM</v>
      </c>
      <c r="G36" t="str">
        <v>Hoogeveen</v>
      </c>
      <c r="H36" t="str">
        <v>Hoogeveen</v>
      </c>
      <c r="I36" t="str">
        <v>Drenthe</v>
      </c>
      <c r="J36" t="str">
        <v>Noord-Nederland</v>
      </c>
      <c r="K36" t="str">
        <v>V.O.V.</v>
      </c>
      <c r="L36" t="str">
        <v>Onbekend</v>
      </c>
      <c r="M36" t="str">
        <v>Onbekend</v>
      </c>
      <c r="N36">
        <v>680000</v>
      </c>
      <c r="O36" t="str">
        <v>v.o.n.</v>
      </c>
      <c r="P36">
        <v>106</v>
      </c>
      <c r="Q36">
        <v>6415</v>
      </c>
      <c r="R36" t="str">
        <v>Onbekend</v>
      </c>
      <c r="S36" t="str">
        <v>A+++</v>
      </c>
      <c r="T36">
        <v>3</v>
      </c>
      <c r="U36">
        <v>2</v>
      </c>
      <c r="V36" t="str">
        <v>Appartement</v>
      </c>
      <c r="W36" t="str">
        <v>Appartement</v>
      </c>
      <c r="X36" t="str">
        <v>Appartement &gt;100 m²</v>
      </c>
      <c r="Y36" t="str">
        <v>Ja</v>
      </c>
      <c r="Z36" t="str">
        <v>garage</v>
      </c>
      <c r="AA36" t="str">
        <v>2027</v>
      </c>
      <c r="AB36" t="str">
        <v>Nee</v>
      </c>
      <c r="AC36" t="str">
        <v>NEE</v>
      </c>
      <c r="AD36" t="str">
        <v>JA</v>
      </c>
    </row>
    <row r="37">
      <c r="A37" t="str">
        <v>44428182</v>
      </c>
      <c r="B37" t="str">
        <v>https://www.funda.nl/detail/koop/hoogeveen/appartement-type-c-bouwnr-5/44428182/</v>
      </c>
      <c r="C37" t="str">
        <v>De Rechters van Park Dwingeland</v>
      </c>
      <c r="D37" t="str">
        <v>Type C</v>
      </c>
      <c r="E37" t="str">
        <v>5</v>
      </c>
      <c r="F37" t="str">
        <v>7902 HM</v>
      </c>
      <c r="G37" t="str">
        <v>Hoogeveen</v>
      </c>
      <c r="H37" t="str">
        <v>Hoogeveen</v>
      </c>
      <c r="I37" t="str">
        <v>Drenthe</v>
      </c>
      <c r="J37" t="str">
        <v>Noord-Nederland</v>
      </c>
      <c r="K37" t="str">
        <v>V.O.V.</v>
      </c>
      <c r="L37" t="str">
        <v>Onbekend</v>
      </c>
      <c r="M37" t="str">
        <v>Onbekend</v>
      </c>
      <c r="N37">
        <v>670000</v>
      </c>
      <c r="O37" t="str">
        <v>v.o.n.</v>
      </c>
      <c r="P37">
        <v>106</v>
      </c>
      <c r="Q37">
        <v>6321</v>
      </c>
      <c r="R37" t="str">
        <v>Onbekend</v>
      </c>
      <c r="S37" t="str">
        <v>A+++</v>
      </c>
      <c r="T37">
        <v>3</v>
      </c>
      <c r="U37">
        <v>2</v>
      </c>
      <c r="V37" t="str">
        <v>Appartement</v>
      </c>
      <c r="W37" t="str">
        <v>Appartement</v>
      </c>
      <c r="X37" t="str">
        <v>Appartement &gt;100 m²</v>
      </c>
      <c r="Y37" t="str">
        <v>Ja</v>
      </c>
      <c r="Z37" t="str">
        <v>garage</v>
      </c>
      <c r="AA37" t="str">
        <v>2027</v>
      </c>
      <c r="AB37" t="str">
        <v>Nee</v>
      </c>
      <c r="AC37" t="str">
        <v>NEE</v>
      </c>
      <c r="AD37" t="str">
        <v>JA</v>
      </c>
    </row>
    <row r="38">
      <c r="A38" t="str">
        <v>44428180</v>
      </c>
      <c r="B38" t="str">
        <v>https://www.funda.nl/detail/koop/hoogeveen/appartement-type-c-bouwnr-2/44428180/</v>
      </c>
      <c r="C38" t="str">
        <v>De Rechters van Park Dwingeland</v>
      </c>
      <c r="D38" t="str">
        <v>Type C</v>
      </c>
      <c r="E38" t="str">
        <v>2</v>
      </c>
      <c r="F38" t="str">
        <v>7902 HM</v>
      </c>
      <c r="G38" t="str">
        <v>Hoogeveen</v>
      </c>
      <c r="H38" t="str">
        <v>Hoogeveen</v>
      </c>
      <c r="I38" t="str">
        <v>Drenthe</v>
      </c>
      <c r="J38" t="str">
        <v>Noord-Nederland</v>
      </c>
      <c r="K38" t="str">
        <v>Te koop</v>
      </c>
      <c r="L38" t="str">
        <v>Onbekend</v>
      </c>
      <c r="M38" t="str">
        <v>Onbekend</v>
      </c>
      <c r="N38">
        <v>660000</v>
      </c>
      <c r="O38" t="str">
        <v>v.o.n.</v>
      </c>
      <c r="P38">
        <v>106</v>
      </c>
      <c r="Q38">
        <v>6226</v>
      </c>
      <c r="R38" t="str">
        <v>Onbekend</v>
      </c>
      <c r="S38" t="str">
        <v>A+++</v>
      </c>
      <c r="T38">
        <v>3</v>
      </c>
      <c r="U38">
        <v>2</v>
      </c>
      <c r="V38" t="str">
        <v>Appartement</v>
      </c>
      <c r="W38" t="str">
        <v>Appartement</v>
      </c>
      <c r="X38" t="str">
        <v>Appartement &gt;100 m²</v>
      </c>
      <c r="Y38" t="str">
        <v>Ja</v>
      </c>
      <c r="Z38" t="str">
        <v>garage</v>
      </c>
      <c r="AA38" t="str">
        <v>2027</v>
      </c>
      <c r="AB38" t="str">
        <v>Nee</v>
      </c>
      <c r="AC38" t="str">
        <v>NEE</v>
      </c>
      <c r="AD38" t="str">
        <v>JA</v>
      </c>
    </row>
    <row r="39">
      <c r="A39" t="str">
        <v>44428183</v>
      </c>
      <c r="B39" t="str">
        <v>https://www.funda.nl/detail/koop/hoogeveen/appartement-type-c-bouwnr-10/44428183/</v>
      </c>
      <c r="C39" t="str">
        <v>De Rechters van Park Dwingeland</v>
      </c>
      <c r="D39" t="str">
        <v>Type C</v>
      </c>
      <c r="E39" t="str">
        <v>10</v>
      </c>
      <c r="F39" t="str">
        <v>7902 HM</v>
      </c>
      <c r="G39" t="str">
        <v>Hoogeveen</v>
      </c>
      <c r="H39" t="str">
        <v>Hoogeveen</v>
      </c>
      <c r="I39" t="str">
        <v>Drenthe</v>
      </c>
      <c r="J39" t="str">
        <v>Noord-Nederland</v>
      </c>
      <c r="K39" t="str">
        <v>V.O.V.</v>
      </c>
      <c r="L39" t="str">
        <v>Onbekend</v>
      </c>
      <c r="M39" t="str">
        <v>Onbekend</v>
      </c>
      <c r="N39">
        <v>660000</v>
      </c>
      <c r="O39" t="str">
        <v>v.o.n.</v>
      </c>
      <c r="P39">
        <v>106</v>
      </c>
      <c r="Q39">
        <v>6226</v>
      </c>
      <c r="R39" t="str">
        <v>Onbekend</v>
      </c>
      <c r="S39" t="str">
        <v>A+++</v>
      </c>
      <c r="T39">
        <v>3</v>
      </c>
      <c r="U39">
        <v>2</v>
      </c>
      <c r="V39" t="str">
        <v>Appartement</v>
      </c>
      <c r="W39" t="str">
        <v>Appartement</v>
      </c>
      <c r="X39" t="str">
        <v>Appartement &gt;100 m²</v>
      </c>
      <c r="Y39" t="str">
        <v>Ja</v>
      </c>
      <c r="Z39" t="str">
        <v>garage</v>
      </c>
      <c r="AA39" t="str">
        <v>2027</v>
      </c>
      <c r="AB39" t="str">
        <v>Nee</v>
      </c>
      <c r="AC39" t="str">
        <v>NEE</v>
      </c>
      <c r="AD39" t="str">
        <v>JA</v>
      </c>
    </row>
  </sheetData>
  <autoFilter ref="A23:AD39"/>
  <ignoredErrors>
    <ignoredError numberStoredAsText="1" sqref="A1:AD39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Hoorn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434250</v>
      </c>
    </row>
    <row r="9">
      <c r="A9" t="str">
        <v>Mediaan VON-prijs (€)</v>
      </c>
      <c r="B9">
        <v>434250</v>
      </c>
    </row>
    <row r="10">
      <c r="A10" t="str">
        <v>Gemiddelde VON-prijs per m² (€)</v>
      </c>
      <c r="B10">
        <v>5428</v>
      </c>
    </row>
    <row r="11">
      <c r="A11" t="str">
        <v>Mediaan VON-prijs per m² (€)</v>
      </c>
      <c r="B11">
        <v>5428</v>
      </c>
    </row>
    <row r="12">
      <c r="A12" t="str">
        <v>Gemiddelde GBO (m²)</v>
      </c>
      <c r="B12">
        <v>80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75-100 m²</v>
      </c>
      <c r="B19">
        <v>1</v>
      </c>
    </row>
    <row r="21">
      <c r="A21" t="str">
        <v>Alle woningen in Hoorn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44427099</v>
      </c>
      <c r="B23" t="str">
        <v>https://www.funda.nl/detail/koop/hoorn-nh/appartement-trigallezhof-7/44427099/</v>
      </c>
      <c r="C23" t="str">
        <v>Onbekend</v>
      </c>
      <c r="D23" t="str">
        <v>Trigallezhof 7</v>
      </c>
      <c r="E23" t="str">
        <v>Onbekend</v>
      </c>
      <c r="F23" t="str">
        <v>1622 NN</v>
      </c>
      <c r="G23" t="str">
        <v>Hoorn (NH)</v>
      </c>
      <c r="H23" t="str">
        <v>Hoorn</v>
      </c>
      <c r="I23" t="str">
        <v>Noord-Holland</v>
      </c>
      <c r="J23" t="str">
        <v>West-Nederland</v>
      </c>
      <c r="K23" t="str">
        <v>Te koop</v>
      </c>
      <c r="L23" t="str">
        <v>Onbekend</v>
      </c>
      <c r="M23" t="str">
        <v>Onbekend</v>
      </c>
      <c r="N23">
        <v>434250</v>
      </c>
      <c r="O23" t="str">
        <v>v.o.n.</v>
      </c>
      <c r="P23">
        <v>80</v>
      </c>
      <c r="Q23">
        <v>5428</v>
      </c>
      <c r="R23" t="str">
        <v>Onbekend</v>
      </c>
      <c r="S23" t="str">
        <v>A+++</v>
      </c>
      <c r="T23">
        <v>3</v>
      </c>
      <c r="U23">
        <v>2</v>
      </c>
      <c r="V23" t="str">
        <v>Appartement</v>
      </c>
      <c r="W23" t="str">
        <v>Appartement</v>
      </c>
      <c r="X23" t="str">
        <v>Appartement 75-100 m²</v>
      </c>
      <c r="Y23" t="str">
        <v>Ja</v>
      </c>
      <c r="Z23" t="str">
        <v>garage</v>
      </c>
      <c r="AA23" t="str">
        <v>Na 2020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AD29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Hulst</v>
      </c>
    </row>
    <row r="3">
      <c r="A3" t="str">
        <v>Samenvatting</v>
      </c>
    </row>
    <row r="4">
      <c r="A4" t="str">
        <v>Aantal woningen</v>
      </c>
      <c r="B4">
        <v>6</v>
      </c>
    </row>
    <row r="5">
      <c r="A5" t="str">
        <v>Aantal te koop</v>
      </c>
      <c r="B5">
        <v>6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433233</v>
      </c>
    </row>
    <row r="9">
      <c r="A9" t="str">
        <v>Mediaan VON-prijs (€)</v>
      </c>
      <c r="B9">
        <v>429900</v>
      </c>
    </row>
    <row r="10">
      <c r="A10" t="str">
        <v>Gemiddelde VON-prijs per m² (€)</v>
      </c>
      <c r="B10">
        <v>4332</v>
      </c>
    </row>
    <row r="11">
      <c r="A11" t="str">
        <v>Mediaan VON-prijs per m² (€)</v>
      </c>
      <c r="B11">
        <v>4299</v>
      </c>
    </row>
    <row r="12">
      <c r="A12" t="str">
        <v>Gemiddelde GBO (m²)</v>
      </c>
      <c r="B12">
        <v>100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Hoekwoning</v>
      </c>
      <c r="B17">
        <v>4</v>
      </c>
    </row>
    <row r="18">
      <c r="A18" t="str">
        <v>Tussenwoning</v>
      </c>
      <c r="B18">
        <v>2</v>
      </c>
    </row>
    <row r="20">
      <c r="A20" t="str">
        <v>Uitsplitsing appartementcategorieen</v>
      </c>
      <c r="B20" t="str">
        <v>Aantal</v>
      </c>
    </row>
    <row r="22">
      <c r="A22" t="str">
        <v>Alle woningen in Hulst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80886137</v>
      </c>
      <c r="B24" t="str">
        <v>https://www.funda.nl/detail/koop/hulst/huis-jo-ivenshof-bouwnr-12/80886137/</v>
      </c>
      <c r="C24" t="str">
        <v>Zoetevaart | Hulst</v>
      </c>
      <c r="D24" t="str">
        <v>Jo Ivenshof</v>
      </c>
      <c r="E24" t="str">
        <v>12</v>
      </c>
      <c r="F24" t="str">
        <v>4561 TW</v>
      </c>
      <c r="G24" t="str">
        <v>Hulst</v>
      </c>
      <c r="H24" t="str">
        <v>Hulst</v>
      </c>
      <c r="I24" t="str">
        <v>Zeeland</v>
      </c>
      <c r="J24" t="str">
        <v>West-Nederland</v>
      </c>
      <c r="K24" t="str">
        <v>Te koop</v>
      </c>
      <c r="L24" t="str">
        <v>Onbekend</v>
      </c>
      <c r="M24" t="str">
        <v>Onbekend</v>
      </c>
      <c r="N24">
        <v>449900</v>
      </c>
      <c r="O24" t="str">
        <v>v.o.n.</v>
      </c>
      <c r="P24">
        <v>100</v>
      </c>
      <c r="Q24">
        <v>4499</v>
      </c>
      <c r="R24" t="str">
        <v>Onbekend</v>
      </c>
      <c r="S24" t="str">
        <v>A+++</v>
      </c>
      <c r="T24">
        <v>3</v>
      </c>
      <c r="U24">
        <v>2</v>
      </c>
      <c r="V24" t="str">
        <v>Grondgebonden</v>
      </c>
      <c r="W24" t="str">
        <v>Hoekwoning</v>
      </c>
      <c r="X24" t="str">
        <v>N.v.t.</v>
      </c>
      <c r="Y24" t="str">
        <v>Ja</v>
      </c>
      <c r="Z24" t="str">
        <v>openbare parkeerplaats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80886135</v>
      </c>
      <c r="B25" t="str">
        <v>https://www.funda.nl/detail/koop/hulst/huis-jo-ivenshof-bouwnr-11/80886135/</v>
      </c>
      <c r="C25" t="str">
        <v>Zoetevaart | Hulst</v>
      </c>
      <c r="D25" t="str">
        <v>Jo Ivenshof</v>
      </c>
      <c r="E25" t="str">
        <v>11</v>
      </c>
      <c r="F25" t="str">
        <v>4561 TW</v>
      </c>
      <c r="G25" t="str">
        <v>Hulst</v>
      </c>
      <c r="H25" t="str">
        <v>Hulst</v>
      </c>
      <c r="I25" t="str">
        <v>Zeeland</v>
      </c>
      <c r="J25" t="str">
        <v>West-Nederland</v>
      </c>
      <c r="K25" t="str">
        <v>Te koop</v>
      </c>
      <c r="L25" t="str">
        <v>Onbekend</v>
      </c>
      <c r="M25" t="str">
        <v>Onbekend</v>
      </c>
      <c r="N25">
        <v>409900</v>
      </c>
      <c r="O25" t="str">
        <v>v.o.n.</v>
      </c>
      <c r="P25">
        <v>100</v>
      </c>
      <c r="Q25">
        <v>4099</v>
      </c>
      <c r="R25" t="str">
        <v>Onbekend</v>
      </c>
      <c r="S25" t="str">
        <v>A+++</v>
      </c>
      <c r="T25">
        <v>3</v>
      </c>
      <c r="U25">
        <v>2</v>
      </c>
      <c r="V25" t="str">
        <v>Grondgebonden</v>
      </c>
      <c r="W25" t="str">
        <v>Hoekwoning</v>
      </c>
      <c r="X25" t="str">
        <v>N.v.t.</v>
      </c>
      <c r="Y25" t="str">
        <v>Ja</v>
      </c>
      <c r="Z25" t="str">
        <v>openbare parkeerplaats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80886124</v>
      </c>
      <c r="B26" t="str">
        <v>https://www.funda.nl/detail/koop/hulst/huis-jo-ivenshof-bouwnr-10/80886124/</v>
      </c>
      <c r="C26" t="str">
        <v>Zoetevaart | Hulst</v>
      </c>
      <c r="D26" t="str">
        <v>Jo Ivenshof</v>
      </c>
      <c r="E26" t="str">
        <v>10</v>
      </c>
      <c r="F26" t="str">
        <v>4561 TW</v>
      </c>
      <c r="G26" t="str">
        <v>Hulst</v>
      </c>
      <c r="H26" t="str">
        <v>Hulst</v>
      </c>
      <c r="I26" t="str">
        <v>Zeeland</v>
      </c>
      <c r="J26" t="str">
        <v>West-Nederland</v>
      </c>
      <c r="K26" t="str">
        <v>Te koop</v>
      </c>
      <c r="L26" t="str">
        <v>Onbekend</v>
      </c>
      <c r="M26" t="str">
        <v>Onbekend</v>
      </c>
      <c r="N26">
        <v>469900</v>
      </c>
      <c r="O26" t="str">
        <v>v.o.n.</v>
      </c>
      <c r="P26">
        <v>100</v>
      </c>
      <c r="Q26">
        <v>4699</v>
      </c>
      <c r="R26" t="str">
        <v>Onbekend</v>
      </c>
      <c r="S26" t="str">
        <v>A+++</v>
      </c>
      <c r="T26">
        <v>3</v>
      </c>
      <c r="U26">
        <v>2</v>
      </c>
      <c r="V26" t="str">
        <v>Grondgebonden</v>
      </c>
      <c r="W26" t="str">
        <v>Hoekwoning</v>
      </c>
      <c r="X26" t="str">
        <v>N.v.t.</v>
      </c>
      <c r="Y26" t="str">
        <v>Ja</v>
      </c>
      <c r="Z26" t="str">
        <v>openbare parkeerplaats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80886120</v>
      </c>
      <c r="B27" t="str">
        <v>https://www.funda.nl/detail/koop/hulst/huis-jo-ivenshof-bouwnr-9/80886120/</v>
      </c>
      <c r="C27" t="str">
        <v>Zoetevaart | Hulst</v>
      </c>
      <c r="D27" t="str">
        <v>Jo Ivenshof</v>
      </c>
      <c r="E27" t="str">
        <v>9</v>
      </c>
      <c r="F27" t="str">
        <v>4561 TW</v>
      </c>
      <c r="G27" t="str">
        <v>Hulst</v>
      </c>
      <c r="H27" t="str">
        <v>Hulst</v>
      </c>
      <c r="I27" t="str">
        <v>Zeeland</v>
      </c>
      <c r="J27" t="str">
        <v>West-Nederland</v>
      </c>
      <c r="K27" t="str">
        <v>Te koop</v>
      </c>
      <c r="L27" t="str">
        <v>Onbekend</v>
      </c>
      <c r="M27" t="str">
        <v>Onbekend</v>
      </c>
      <c r="N27">
        <v>409900</v>
      </c>
      <c r="O27" t="str">
        <v>v.o.n.</v>
      </c>
      <c r="P27">
        <v>100</v>
      </c>
      <c r="Q27">
        <v>4099</v>
      </c>
      <c r="R27" t="str">
        <v>Onbekend</v>
      </c>
      <c r="S27" t="str">
        <v>A+++</v>
      </c>
      <c r="T27">
        <v>3</v>
      </c>
      <c r="U27">
        <v>2</v>
      </c>
      <c r="V27" t="str">
        <v>Grondgebonden</v>
      </c>
      <c r="W27" t="str">
        <v>Tussenwoning</v>
      </c>
      <c r="X27" t="str">
        <v>N.v.t.</v>
      </c>
      <c r="Y27" t="str">
        <v>Ja</v>
      </c>
      <c r="Z27" t="str">
        <v>openbare parkeerplaats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80886117</v>
      </c>
      <c r="B28" t="str">
        <v>https://www.funda.nl/detail/koop/hulst/huis-jo-ivenshof-bouwnr-8/80886117/</v>
      </c>
      <c r="C28" t="str">
        <v>Zoetevaart | Hulst</v>
      </c>
      <c r="D28" t="str">
        <v>Jo Ivenshof</v>
      </c>
      <c r="E28" t="str">
        <v>8</v>
      </c>
      <c r="F28" t="str">
        <v>4561 TW</v>
      </c>
      <c r="G28" t="str">
        <v>Hulst</v>
      </c>
      <c r="H28" t="str">
        <v>Hulst</v>
      </c>
      <c r="I28" t="str">
        <v>Zeeland</v>
      </c>
      <c r="J28" t="str">
        <v>West-Nederland</v>
      </c>
      <c r="K28" t="str">
        <v>Te koop</v>
      </c>
      <c r="L28" t="str">
        <v>Onbekend</v>
      </c>
      <c r="M28" t="str">
        <v>Onbekend</v>
      </c>
      <c r="N28">
        <v>409900</v>
      </c>
      <c r="O28" t="str">
        <v>v.o.n.</v>
      </c>
      <c r="P28">
        <v>100</v>
      </c>
      <c r="Q28">
        <v>4099</v>
      </c>
      <c r="R28" t="str">
        <v>Onbekend</v>
      </c>
      <c r="S28" t="str">
        <v>A+++</v>
      </c>
      <c r="T28">
        <v>3</v>
      </c>
      <c r="U28">
        <v>2</v>
      </c>
      <c r="V28" t="str">
        <v>Grondgebonden</v>
      </c>
      <c r="W28" t="str">
        <v>Tussenwoning</v>
      </c>
      <c r="X28" t="str">
        <v>N.v.t.</v>
      </c>
      <c r="Y28" t="str">
        <v>Ja</v>
      </c>
      <c r="Z28" t="str">
        <v>openbare parkeerplaats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80886119</v>
      </c>
      <c r="B29" t="str">
        <v>https://www.funda.nl/detail/koop/hulst/huis-jo-ivenshof-bouwnr-7/80886119/</v>
      </c>
      <c r="C29" t="str">
        <v>Zoetevaart | Hulst</v>
      </c>
      <c r="D29" t="str">
        <v>Jo Ivenshof</v>
      </c>
      <c r="E29" t="str">
        <v>7</v>
      </c>
      <c r="F29" t="str">
        <v>4561 TW</v>
      </c>
      <c r="G29" t="str">
        <v>Hulst</v>
      </c>
      <c r="H29" t="str">
        <v>Hulst</v>
      </c>
      <c r="I29" t="str">
        <v>Zeeland</v>
      </c>
      <c r="J29" t="str">
        <v>West-Nederland</v>
      </c>
      <c r="K29" t="str">
        <v>Te koop</v>
      </c>
      <c r="L29" t="str">
        <v>Onbekend</v>
      </c>
      <c r="M29" t="str">
        <v>Onbekend</v>
      </c>
      <c r="N29">
        <v>449900</v>
      </c>
      <c r="O29" t="str">
        <v>v.o.n.</v>
      </c>
      <c r="P29">
        <v>100</v>
      </c>
      <c r="Q29">
        <v>4499</v>
      </c>
      <c r="R29" t="str">
        <v>Onbekend</v>
      </c>
      <c r="S29" t="str">
        <v>A+++</v>
      </c>
      <c r="T29">
        <v>3</v>
      </c>
      <c r="U29">
        <v>2</v>
      </c>
      <c r="V29" t="str">
        <v>Grondgebonden</v>
      </c>
      <c r="W29" t="str">
        <v>Hoekwoning</v>
      </c>
      <c r="X29" t="str">
        <v>N.v.t.</v>
      </c>
      <c r="Y29" t="str">
        <v>Ja</v>
      </c>
      <c r="Z29" t="str">
        <v>openbare parkeerplaats</v>
      </c>
      <c r="AA29" t="str">
        <v>2026</v>
      </c>
      <c r="AB29" t="str">
        <v>Nee</v>
      </c>
      <c r="AC29" t="str">
        <v>NEE</v>
      </c>
      <c r="AD29" t="str">
        <v>JA</v>
      </c>
    </row>
  </sheetData>
  <autoFilter ref="A23:AD29"/>
  <ignoredErrors>
    <ignoredError numberStoredAsText="1" sqref="A1:AD29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AD36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Landgraaf</v>
      </c>
    </row>
    <row r="3">
      <c r="A3" t="str">
        <v>Samenvatting</v>
      </c>
    </row>
    <row r="4">
      <c r="A4" t="str">
        <v>Aantal woningen</v>
      </c>
      <c r="B4">
        <v>13</v>
      </c>
    </row>
    <row r="5">
      <c r="A5" t="str">
        <v>Aantal te koop</v>
      </c>
      <c r="B5">
        <v>13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367315</v>
      </c>
    </row>
    <row r="9">
      <c r="A9" t="str">
        <v>Mediaan VON-prijs (€)</v>
      </c>
      <c r="B9">
        <v>378450</v>
      </c>
    </row>
    <row r="10">
      <c r="A10" t="str">
        <v>Gemiddelde VON-prijs per m² (€)</v>
      </c>
      <c r="B10">
        <v>4368</v>
      </c>
    </row>
    <row r="11">
      <c r="A11" t="str">
        <v>Mediaan VON-prijs per m² (€)</v>
      </c>
      <c r="B11">
        <v>4335</v>
      </c>
    </row>
    <row r="12">
      <c r="A12" t="str">
        <v>Gemiddelde GBO (m²)</v>
      </c>
      <c r="B12">
        <v>84</v>
      </c>
    </row>
    <row r="13">
      <c r="A13" t="str">
        <v>Gemiddelde looptijd (dagen)</v>
      </c>
      <c r="B13">
        <v>7</v>
      </c>
    </row>
    <row r="14">
      <c r="A14" t="str">
        <v>Aandeel met parkeerplaats (%)</v>
      </c>
      <c r="B14">
        <v>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50-75 m²</v>
      </c>
      <c r="B19">
        <v>1</v>
      </c>
    </row>
    <row r="20">
      <c r="A20" t="str">
        <v>Appartement 75-100 m²</v>
      </c>
      <c r="B20">
        <v>12</v>
      </c>
    </row>
    <row r="22">
      <c r="A22" t="str">
        <v>Alle woningen in Landgraaf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44429964</v>
      </c>
      <c r="B24" t="str">
        <v>https://www.funda.nl/detail/koop/landgraaf/appartement-d-r-hof-bouwnr-10/44429964/</v>
      </c>
      <c r="C24" t="str">
        <v>Hof va Woabich</v>
      </c>
      <c r="D24" t="str">
        <v>D'r Hof</v>
      </c>
      <c r="E24" t="str">
        <v>10</v>
      </c>
      <c r="F24" t="str">
        <v>6374 EN</v>
      </c>
      <c r="G24" t="str">
        <v>Landgraaf</v>
      </c>
      <c r="H24" t="str">
        <v>Landgraaf</v>
      </c>
      <c r="I24" t="str">
        <v>Limburg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395000</v>
      </c>
      <c r="O24" t="str">
        <v>v.o.n.</v>
      </c>
      <c r="P24">
        <v>88</v>
      </c>
      <c r="Q24">
        <v>4489</v>
      </c>
      <c r="R24" t="str">
        <v>Onbekend</v>
      </c>
      <c r="S24" t="str">
        <v>A+++</v>
      </c>
      <c r="T24">
        <v>3</v>
      </c>
      <c r="U24">
        <v>2</v>
      </c>
      <c r="V24" t="str">
        <v>Appartement</v>
      </c>
      <c r="W24" t="str">
        <v>Appartement</v>
      </c>
      <c r="X24" t="str">
        <v>Appartement 75-100 m²</v>
      </c>
      <c r="Y24" t="str">
        <v>Onbekend</v>
      </c>
      <c r="Z24" t="str">
        <v>onbekend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44429963</v>
      </c>
      <c r="B25" t="str">
        <v>https://www.funda.nl/detail/koop/landgraaf/appartement-d-r-hof-bouwnr-13/44429963/</v>
      </c>
      <c r="C25" t="str">
        <v>Hof va Woabich</v>
      </c>
      <c r="D25" t="str">
        <v>D'r Hof</v>
      </c>
      <c r="E25" t="str">
        <v>13</v>
      </c>
      <c r="F25" t="str">
        <v>6374 EN</v>
      </c>
      <c r="G25" t="str">
        <v>Landgraaf</v>
      </c>
      <c r="H25" t="str">
        <v>Landgraaf</v>
      </c>
      <c r="I25" t="str">
        <v>Limburg</v>
      </c>
      <c r="J25" t="str">
        <v>Zuid-Nederland</v>
      </c>
      <c r="K25" t="str">
        <v>Te koop</v>
      </c>
      <c r="L25" t="str">
        <v>Onbekend</v>
      </c>
      <c r="M25" t="str">
        <v>Onbekend</v>
      </c>
      <c r="N25">
        <v>403150</v>
      </c>
      <c r="O25" t="str">
        <v>v.o.n.</v>
      </c>
      <c r="P25">
        <v>93</v>
      </c>
      <c r="Q25">
        <v>4335</v>
      </c>
      <c r="R25" t="str">
        <v>Onbekend</v>
      </c>
      <c r="S25" t="str">
        <v>A+++</v>
      </c>
      <c r="T25">
        <v>3</v>
      </c>
      <c r="U25">
        <v>2</v>
      </c>
      <c r="V25" t="str">
        <v>Appartement</v>
      </c>
      <c r="W25" t="str">
        <v>Appartement</v>
      </c>
      <c r="X25" t="str">
        <v>Appartement 75-100 m²</v>
      </c>
      <c r="Y25" t="str">
        <v>Onbekend</v>
      </c>
      <c r="Z25" t="str">
        <v>onbekend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44429852</v>
      </c>
      <c r="B26" t="str">
        <v>https://www.funda.nl/detail/koop/landgraaf/appartement-kloosterstraat-bouwnr-07/44429852/</v>
      </c>
      <c r="C26" t="str">
        <v>Hof va Woabich</v>
      </c>
      <c r="D26" t="str">
        <v>Kloosterstraat</v>
      </c>
      <c r="E26" t="str">
        <v>07</v>
      </c>
      <c r="F26" t="str">
        <v>6374 EN</v>
      </c>
      <c r="G26" t="str">
        <v>Landgraaf</v>
      </c>
      <c r="H26" t="str">
        <v>Landgraaf</v>
      </c>
      <c r="I26" t="str">
        <v>Limburg</v>
      </c>
      <c r="J26" t="str">
        <v>Zuid-Nederland</v>
      </c>
      <c r="K26" t="str">
        <v>Te koop</v>
      </c>
      <c r="L26" t="str">
        <v>Onbekend</v>
      </c>
      <c r="M26" t="str">
        <v>Onbekend</v>
      </c>
      <c r="N26">
        <v>369750</v>
      </c>
      <c r="O26" t="str">
        <v>v.o.n.</v>
      </c>
      <c r="P26">
        <v>85</v>
      </c>
      <c r="Q26">
        <v>4350</v>
      </c>
      <c r="R26" t="str">
        <v>Onbekend</v>
      </c>
      <c r="S26" t="str">
        <v>A+++</v>
      </c>
      <c r="T26">
        <v>3</v>
      </c>
      <c r="U26">
        <v>2</v>
      </c>
      <c r="V26" t="str">
        <v>Appartement</v>
      </c>
      <c r="W26" t="str">
        <v>Appartement</v>
      </c>
      <c r="X26" t="str">
        <v>Appartement 75-100 m²</v>
      </c>
      <c r="Y26" t="str">
        <v>Onbekend</v>
      </c>
      <c r="Z26" t="str">
        <v>onbekend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44429851</v>
      </c>
      <c r="B27" t="str">
        <v>https://www.funda.nl/detail/koop/landgraaf/appartement-d-r-hof-bouwnr-12/44429851/</v>
      </c>
      <c r="C27" t="str">
        <v>Hof va Woabich</v>
      </c>
      <c r="D27" t="str">
        <v>D'r Hof</v>
      </c>
      <c r="E27" t="str">
        <v>12</v>
      </c>
      <c r="F27" t="str">
        <v>6374 EN</v>
      </c>
      <c r="G27" t="str">
        <v>Landgraaf</v>
      </c>
      <c r="H27" t="str">
        <v>Landgraaf</v>
      </c>
      <c r="I27" t="str">
        <v>Limburg</v>
      </c>
      <c r="J27" t="str">
        <v>Zuid-Nederland</v>
      </c>
      <c r="K27" t="str">
        <v>Te koop</v>
      </c>
      <c r="L27" t="str">
        <v>Onbekend</v>
      </c>
      <c r="M27" t="str">
        <v>Onbekend</v>
      </c>
      <c r="N27">
        <v>381500</v>
      </c>
      <c r="O27" t="str">
        <v>v.o.n.</v>
      </c>
      <c r="P27">
        <v>88</v>
      </c>
      <c r="Q27">
        <v>4335</v>
      </c>
      <c r="R27" t="str">
        <v>Onbekend</v>
      </c>
      <c r="S27" t="str">
        <v>A+++</v>
      </c>
      <c r="T27">
        <v>3</v>
      </c>
      <c r="U27">
        <v>2</v>
      </c>
      <c r="V27" t="str">
        <v>Appartement</v>
      </c>
      <c r="W27" t="str">
        <v>Appartement</v>
      </c>
      <c r="X27" t="str">
        <v>Appartement 75-100 m²</v>
      </c>
      <c r="Y27" t="str">
        <v>Onbekend</v>
      </c>
      <c r="Z27" t="str">
        <v>onbekend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44429850</v>
      </c>
      <c r="B28" t="str">
        <v>https://www.funda.nl/detail/koop/landgraaf/appartement-kloosterstraat-bouwnr-06/44429850/</v>
      </c>
      <c r="C28" t="str">
        <v>Hof va Woabich</v>
      </c>
      <c r="D28" t="str">
        <v>Kloosterstraat</v>
      </c>
      <c r="E28" t="str">
        <v>06</v>
      </c>
      <c r="F28" t="str">
        <v>6374 EN</v>
      </c>
      <c r="G28" t="str">
        <v>Landgraaf</v>
      </c>
      <c r="H28" t="str">
        <v>Landgraaf</v>
      </c>
      <c r="I28" t="str">
        <v>Limburg</v>
      </c>
      <c r="J28" t="str">
        <v>Zuid-Nederland</v>
      </c>
      <c r="K28" t="str">
        <v>Te koop</v>
      </c>
      <c r="L28" t="str">
        <v>Onbekend</v>
      </c>
      <c r="M28" t="str">
        <v>Onbekend</v>
      </c>
      <c r="N28">
        <v>395000</v>
      </c>
      <c r="O28" t="str">
        <v>v.o.n.</v>
      </c>
      <c r="P28">
        <v>87</v>
      </c>
      <c r="Q28">
        <v>4540</v>
      </c>
      <c r="R28" t="str">
        <v>Onbekend</v>
      </c>
      <c r="S28" t="str">
        <v>A+++</v>
      </c>
      <c r="T28">
        <v>3</v>
      </c>
      <c r="U28">
        <v>2</v>
      </c>
      <c r="V28" t="str">
        <v>Appartement</v>
      </c>
      <c r="W28" t="str">
        <v>Appartement</v>
      </c>
      <c r="X28" t="str">
        <v>Appartement 75-100 m²</v>
      </c>
      <c r="Y28" t="str">
        <v>Onbekend</v>
      </c>
      <c r="Z28" t="str">
        <v>onbekend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44429859</v>
      </c>
      <c r="B29" t="str">
        <v>https://www.funda.nl/detail/koop/landgraaf/appartement-d-r-hof-bouwnr-09/44429859/</v>
      </c>
      <c r="C29" t="str">
        <v>Hof va Woabich</v>
      </c>
      <c r="D29" t="str">
        <v>D'r Hof</v>
      </c>
      <c r="E29" t="str">
        <v>09</v>
      </c>
      <c r="F29" t="str">
        <v>6374 EN</v>
      </c>
      <c r="G29" t="str">
        <v>Landgraaf</v>
      </c>
      <c r="H29" t="str">
        <v>Landgraaf</v>
      </c>
      <c r="I29" t="str">
        <v>Limburg</v>
      </c>
      <c r="J29" t="str">
        <v>Zuid-Nederland</v>
      </c>
      <c r="K29" t="str">
        <v>Te koop</v>
      </c>
      <c r="L29" t="str">
        <v>Onbekend</v>
      </c>
      <c r="M29" t="str">
        <v>Onbekend</v>
      </c>
      <c r="N29">
        <v>352750</v>
      </c>
      <c r="O29" t="str">
        <v>v.o.n.</v>
      </c>
      <c r="P29">
        <v>83</v>
      </c>
      <c r="Q29">
        <v>4250</v>
      </c>
      <c r="R29" t="str">
        <v>Onbekend</v>
      </c>
      <c r="S29" t="str">
        <v>A+++</v>
      </c>
      <c r="T29">
        <v>3</v>
      </c>
      <c r="U29">
        <v>2</v>
      </c>
      <c r="V29" t="str">
        <v>Appartement</v>
      </c>
      <c r="W29" t="str">
        <v>Appartement</v>
      </c>
      <c r="X29" t="str">
        <v>Appartement 75-100 m²</v>
      </c>
      <c r="Y29" t="str">
        <v>Onbekend</v>
      </c>
      <c r="Z29" t="str">
        <v>onbekend</v>
      </c>
      <c r="AA29" t="str">
        <v>2026</v>
      </c>
      <c r="AB29" t="str">
        <v>Nee</v>
      </c>
      <c r="AC29" t="str">
        <v>NEE</v>
      </c>
      <c r="AD29" t="str">
        <v>JA</v>
      </c>
    </row>
    <row r="30">
      <c r="A30" t="str">
        <v>44429858</v>
      </c>
      <c r="B30" t="str">
        <v>https://www.funda.nl/detail/koop/landgraaf/appartement-d-r-hof-bouwnr-11/44429858/</v>
      </c>
      <c r="C30" t="str">
        <v>Hof va Woabich</v>
      </c>
      <c r="D30" t="str">
        <v>D'r Hof</v>
      </c>
      <c r="E30" t="str">
        <v>11</v>
      </c>
      <c r="F30" t="str">
        <v>6374 EN</v>
      </c>
      <c r="G30" t="str">
        <v>Landgraaf</v>
      </c>
      <c r="H30" t="str">
        <v>Landgraaf</v>
      </c>
      <c r="I30" t="str">
        <v>Limburg</v>
      </c>
      <c r="J30" t="str">
        <v>Zuid-Nederland</v>
      </c>
      <c r="K30" t="str">
        <v>Te koop</v>
      </c>
      <c r="L30" t="str">
        <v>Onbekend</v>
      </c>
      <c r="M30" t="str">
        <v>Onbekend</v>
      </c>
      <c r="N30">
        <v>395250</v>
      </c>
      <c r="O30" t="str">
        <v>v.o.n.</v>
      </c>
      <c r="P30">
        <v>93</v>
      </c>
      <c r="Q30">
        <v>4250</v>
      </c>
      <c r="R30" t="str">
        <v>Onbekend</v>
      </c>
      <c r="S30" t="str">
        <v>A+++</v>
      </c>
      <c r="T30">
        <v>3</v>
      </c>
      <c r="U30">
        <v>2</v>
      </c>
      <c r="V30" t="str">
        <v>Appartement</v>
      </c>
      <c r="W30" t="str">
        <v>Appartement</v>
      </c>
      <c r="X30" t="str">
        <v>Appartement 75-100 m²</v>
      </c>
      <c r="Y30" t="str">
        <v>Onbekend</v>
      </c>
      <c r="Z30" t="str">
        <v>onbekend</v>
      </c>
      <c r="AA30" t="str">
        <v>2026</v>
      </c>
      <c r="AB30" t="str">
        <v>Nee</v>
      </c>
      <c r="AC30" t="str">
        <v>NEE</v>
      </c>
      <c r="AD30" t="str">
        <v>JA</v>
      </c>
    </row>
    <row r="31">
      <c r="A31" t="str">
        <v>44429857</v>
      </c>
      <c r="B31" t="str">
        <v>https://www.funda.nl/detail/koop/landgraaf/appartement-kloosterstraat-bouwnr-08/44429857/</v>
      </c>
      <c r="C31" t="str">
        <v>Hof va Woabich</v>
      </c>
      <c r="D31" t="str">
        <v>Kloosterstraat</v>
      </c>
      <c r="E31" t="str">
        <v>08</v>
      </c>
      <c r="F31" t="str">
        <v>6374 EN</v>
      </c>
      <c r="G31" t="str">
        <v>Landgraaf</v>
      </c>
      <c r="H31" t="str">
        <v>Landgraaf</v>
      </c>
      <c r="I31" t="str">
        <v>Limburg</v>
      </c>
      <c r="J31" t="str">
        <v>Zuid-Nederland</v>
      </c>
      <c r="K31" t="str">
        <v>Te koop</v>
      </c>
      <c r="L31" t="str">
        <v>Onbekend</v>
      </c>
      <c r="M31" t="str">
        <v>Onbekend</v>
      </c>
      <c r="N31">
        <v>378450</v>
      </c>
      <c r="O31" t="str">
        <v>v.o.n.</v>
      </c>
      <c r="P31">
        <v>87</v>
      </c>
      <c r="Q31">
        <v>4350</v>
      </c>
      <c r="R31" t="str">
        <v>Onbekend</v>
      </c>
      <c r="S31" t="str">
        <v>A+++</v>
      </c>
      <c r="T31">
        <v>3</v>
      </c>
      <c r="U31">
        <v>2</v>
      </c>
      <c r="V31" t="str">
        <v>Appartement</v>
      </c>
      <c r="W31" t="str">
        <v>Appartement</v>
      </c>
      <c r="X31" t="str">
        <v>Appartement 75-100 m²</v>
      </c>
      <c r="Y31" t="str">
        <v>Onbekend</v>
      </c>
      <c r="Z31" t="str">
        <v>onbekend</v>
      </c>
      <c r="AA31" t="str">
        <v>2026</v>
      </c>
      <c r="AB31" t="str">
        <v>Nee</v>
      </c>
      <c r="AC31" t="str">
        <v>NEE</v>
      </c>
      <c r="AD31" t="str">
        <v>JA</v>
      </c>
    </row>
    <row r="32">
      <c r="A32" t="str">
        <v>44429856</v>
      </c>
      <c r="B32" t="str">
        <v>https://www.funda.nl/detail/koop/landgraaf/appartement-kloosterstraat-bouwnr-04/44429856/</v>
      </c>
      <c r="C32" t="str">
        <v>Hof va Woabich</v>
      </c>
      <c r="D32" t="str">
        <v>Kloosterstraat</v>
      </c>
      <c r="E32" t="str">
        <v>04</v>
      </c>
      <c r="F32" t="str">
        <v>6374 EN</v>
      </c>
      <c r="G32" t="str">
        <v>Landgraaf</v>
      </c>
      <c r="H32" t="str">
        <v>Landgraaf</v>
      </c>
      <c r="I32" t="str">
        <v>Limburg</v>
      </c>
      <c r="J32" t="str">
        <v>Zuid-Nederland</v>
      </c>
      <c r="K32" t="str">
        <v>Te koop</v>
      </c>
      <c r="L32" t="str">
        <v>Onbekend</v>
      </c>
      <c r="M32" t="str">
        <v>Onbekend</v>
      </c>
      <c r="N32">
        <v>361250</v>
      </c>
      <c r="O32" t="str">
        <v>v.o.n.</v>
      </c>
      <c r="P32">
        <v>85</v>
      </c>
      <c r="Q32">
        <v>4250</v>
      </c>
      <c r="R32" t="str">
        <v>Onbekend</v>
      </c>
      <c r="S32" t="str">
        <v>A+++</v>
      </c>
      <c r="T32">
        <v>3</v>
      </c>
      <c r="U32">
        <v>2</v>
      </c>
      <c r="V32" t="str">
        <v>Appartement</v>
      </c>
      <c r="W32" t="str">
        <v>Appartement</v>
      </c>
      <c r="X32" t="str">
        <v>Appartement 75-100 m²</v>
      </c>
      <c r="Y32" t="str">
        <v>Onbekend</v>
      </c>
      <c r="Z32" t="str">
        <v>onbekend</v>
      </c>
      <c r="AA32" t="str">
        <v>2026</v>
      </c>
      <c r="AB32" t="str">
        <v>Nee</v>
      </c>
      <c r="AC32" t="str">
        <v>NEE</v>
      </c>
      <c r="AD32" t="str">
        <v>JA</v>
      </c>
    </row>
    <row r="33">
      <c r="A33" t="str">
        <v>44429855</v>
      </c>
      <c r="B33" t="str">
        <v>https://www.funda.nl/detail/koop/landgraaf/appartement-kloosterstraat-bouwnr-05/44429855/</v>
      </c>
      <c r="C33" t="str">
        <v>Hof va Woabich</v>
      </c>
      <c r="D33" t="str">
        <v>Kloosterstraat</v>
      </c>
      <c r="E33" t="str">
        <v>05</v>
      </c>
      <c r="F33" t="str">
        <v>6374 EN</v>
      </c>
      <c r="G33" t="str">
        <v>Landgraaf</v>
      </c>
      <c r="H33" t="str">
        <v>Landgraaf</v>
      </c>
      <c r="I33" t="str">
        <v>Limburg</v>
      </c>
      <c r="J33" t="str">
        <v>Zuid-Nederland</v>
      </c>
      <c r="K33" t="str">
        <v>Te koop</v>
      </c>
      <c r="L33" t="str">
        <v>Onbekend</v>
      </c>
      <c r="M33" t="str">
        <v>Onbekend</v>
      </c>
      <c r="N33">
        <v>348500</v>
      </c>
      <c r="O33" t="str">
        <v>v.o.n.</v>
      </c>
      <c r="P33">
        <v>82</v>
      </c>
      <c r="Q33">
        <v>4250</v>
      </c>
      <c r="R33" t="str">
        <v>Onbekend</v>
      </c>
      <c r="S33" t="str">
        <v>A+++</v>
      </c>
      <c r="T33">
        <v>3</v>
      </c>
      <c r="U33">
        <v>2</v>
      </c>
      <c r="V33" t="str">
        <v>Appartement</v>
      </c>
      <c r="W33" t="str">
        <v>Appartement</v>
      </c>
      <c r="X33" t="str">
        <v>Appartement 75-100 m²</v>
      </c>
      <c r="Y33" t="str">
        <v>Onbekend</v>
      </c>
      <c r="Z33" t="str">
        <v>onbekend</v>
      </c>
      <c r="AA33" t="str">
        <v>2026</v>
      </c>
      <c r="AB33" t="str">
        <v>Nee</v>
      </c>
      <c r="AC33" t="str">
        <v>NEE</v>
      </c>
      <c r="AD33" t="str">
        <v>JA</v>
      </c>
    </row>
    <row r="34">
      <c r="A34" t="str">
        <v>44429854</v>
      </c>
      <c r="B34" t="str">
        <v>https://www.funda.nl/detail/koop/landgraaf/appartement-kloosterstraat-bouwnr-03/44429854/</v>
      </c>
      <c r="C34" t="str">
        <v>Hof va Woabich</v>
      </c>
      <c r="D34" t="str">
        <v>Kloosterstraat</v>
      </c>
      <c r="E34" t="str">
        <v>03</v>
      </c>
      <c r="F34" t="str">
        <v>6374 EN</v>
      </c>
      <c r="G34" t="str">
        <v>Landgraaf</v>
      </c>
      <c r="H34" t="str">
        <v>Landgraaf</v>
      </c>
      <c r="I34" t="str">
        <v>Limburg</v>
      </c>
      <c r="J34" t="str">
        <v>Zuid-Nederland</v>
      </c>
      <c r="K34" t="str">
        <v>Te koop</v>
      </c>
      <c r="L34" t="str">
        <v>Onbekend</v>
      </c>
      <c r="M34" t="str">
        <v>Onbekend</v>
      </c>
      <c r="N34">
        <v>402500</v>
      </c>
      <c r="O34" t="str">
        <v>v.o.n.</v>
      </c>
      <c r="P34">
        <v>85</v>
      </c>
      <c r="Q34">
        <v>4735</v>
      </c>
      <c r="R34" t="str">
        <v>Onbekend</v>
      </c>
      <c r="S34" t="str">
        <v>A+++</v>
      </c>
      <c r="T34">
        <v>3</v>
      </c>
      <c r="U34">
        <v>2</v>
      </c>
      <c r="V34" t="str">
        <v>Appartement</v>
      </c>
      <c r="W34" t="str">
        <v>Appartement</v>
      </c>
      <c r="X34" t="str">
        <v>Appartement 75-100 m²</v>
      </c>
      <c r="Y34" t="str">
        <v>Onbekend</v>
      </c>
      <c r="Z34" t="str">
        <v>onbekend</v>
      </c>
      <c r="AA34" t="str">
        <v>2026</v>
      </c>
      <c r="AB34" t="str">
        <v>Nee</v>
      </c>
      <c r="AC34" t="str">
        <v>NEE</v>
      </c>
      <c r="AD34" t="str">
        <v>JA</v>
      </c>
    </row>
    <row r="35">
      <c r="A35" t="str">
        <v>44429853</v>
      </c>
      <c r="B35" t="str">
        <v>https://www.funda.nl/detail/koop/landgraaf/appartement-kloosterstraat-bouwnr-02/44429853/</v>
      </c>
      <c r="C35" t="str">
        <v>Hof va Woabich</v>
      </c>
      <c r="D35" t="str">
        <v>Kloosterstraat</v>
      </c>
      <c r="E35" t="str">
        <v>02</v>
      </c>
      <c r="F35" t="str">
        <v>6374 EN</v>
      </c>
      <c r="G35" t="str">
        <v>Landgraaf</v>
      </c>
      <c r="H35" t="str">
        <v>Landgraaf</v>
      </c>
      <c r="I35" t="str">
        <v>Limburg</v>
      </c>
      <c r="J35" t="str">
        <v>Zuid-Nederland</v>
      </c>
      <c r="K35" t="str">
        <v>Te koop</v>
      </c>
      <c r="L35" t="str">
        <v>2026-07-06</v>
      </c>
      <c r="M35">
        <v>7</v>
      </c>
      <c r="N35">
        <v>374500</v>
      </c>
      <c r="O35" t="str">
        <v>v.o.n.</v>
      </c>
      <c r="P35">
        <v>87</v>
      </c>
      <c r="Q35">
        <v>4305</v>
      </c>
      <c r="R35" t="str">
        <v>Onbekend</v>
      </c>
      <c r="S35" t="str">
        <v>A+++</v>
      </c>
      <c r="T35">
        <v>3</v>
      </c>
      <c r="U35">
        <v>2</v>
      </c>
      <c r="V35" t="str">
        <v>Appartement</v>
      </c>
      <c r="W35" t="str">
        <v>Appartement</v>
      </c>
      <c r="X35" t="str">
        <v>Appartement 75-100 m²</v>
      </c>
      <c r="Y35" t="str">
        <v>Onbekend</v>
      </c>
      <c r="Z35" t="str">
        <v>onbekend</v>
      </c>
      <c r="AA35" t="str">
        <v>2026</v>
      </c>
      <c r="AB35" t="str">
        <v>Nee</v>
      </c>
      <c r="AC35" t="str">
        <v>NEE</v>
      </c>
      <c r="AD35" t="str">
        <v>JA</v>
      </c>
    </row>
    <row r="36">
      <c r="A36" t="str">
        <v>44429842</v>
      </c>
      <c r="B36" t="str">
        <v>https://www.funda.nl/detail/koop/landgraaf/appartement-kloosterstraat-bouwnr-01/44429842/</v>
      </c>
      <c r="C36" t="str">
        <v>Hof va Woabich</v>
      </c>
      <c r="D36" t="str">
        <v>Kloosterstraat</v>
      </c>
      <c r="E36" t="str">
        <v>01</v>
      </c>
      <c r="F36" t="str">
        <v>6374 EN</v>
      </c>
      <c r="G36" t="str">
        <v>Landgraaf</v>
      </c>
      <c r="H36" t="str">
        <v>Landgraaf</v>
      </c>
      <c r="I36" t="str">
        <v>Limburg</v>
      </c>
      <c r="J36" t="str">
        <v>Zuid-Nederland</v>
      </c>
      <c r="K36" t="str">
        <v>Te koop</v>
      </c>
      <c r="L36" t="str">
        <v>Onbekend</v>
      </c>
      <c r="M36" t="str">
        <v>Onbekend</v>
      </c>
      <c r="N36">
        <v>217500</v>
      </c>
      <c r="O36" t="str">
        <v>v.o.n.</v>
      </c>
      <c r="P36">
        <v>50</v>
      </c>
      <c r="Q36">
        <v>4350</v>
      </c>
      <c r="R36" t="str">
        <v>Onbekend</v>
      </c>
      <c r="S36" t="str">
        <v>A+++</v>
      </c>
      <c r="T36">
        <v>2</v>
      </c>
      <c r="U36">
        <v>1</v>
      </c>
      <c r="V36" t="str">
        <v>Appartement</v>
      </c>
      <c r="W36" t="str">
        <v>Appartement</v>
      </c>
      <c r="X36" t="str">
        <v>Appartement 50-75 m²</v>
      </c>
      <c r="Y36" t="str">
        <v>Onbekend</v>
      </c>
      <c r="Z36" t="str">
        <v>onbekend</v>
      </c>
      <c r="AA36" t="str">
        <v>2026</v>
      </c>
      <c r="AB36" t="str">
        <v>Nee</v>
      </c>
      <c r="AC36" t="str">
        <v>NEE</v>
      </c>
      <c r="AD36" t="str">
        <v>JA</v>
      </c>
    </row>
  </sheetData>
  <autoFilter ref="A23:AD36"/>
  <ignoredErrors>
    <ignoredError numberStoredAsText="1" sqref="A1:AD36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Lingewaard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398000</v>
      </c>
    </row>
    <row r="9">
      <c r="A9" t="str">
        <v>Mediaan VON-prijs (€)</v>
      </c>
      <c r="B9">
        <v>398000</v>
      </c>
    </row>
    <row r="10">
      <c r="A10" t="str">
        <v>Gemiddelde VON-prijs per m² (€)</v>
      </c>
      <c r="B10">
        <v>5686</v>
      </c>
    </row>
    <row r="11">
      <c r="A11" t="str">
        <v>Mediaan VON-prijs per m² (€)</v>
      </c>
      <c r="B11">
        <v>5686</v>
      </c>
    </row>
    <row r="12">
      <c r="A12" t="str">
        <v>Gemiddelde GBO (m²)</v>
      </c>
      <c r="B12">
        <v>70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50-75 m²</v>
      </c>
      <c r="B19">
        <v>1</v>
      </c>
    </row>
    <row r="21">
      <c r="A21" t="str">
        <v>Alle woningen in Lingewaard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44429432</v>
      </c>
      <c r="B23" t="str">
        <v>https://www.funda.nl/detail/koop/gendt/appartement-dorpstraat-58-m/44429432/</v>
      </c>
      <c r="C23" t="str">
        <v>Onbekend</v>
      </c>
      <c r="D23" t="str">
        <v>Dorpstraat 58-m</v>
      </c>
      <c r="E23" t="str">
        <v>Onbekend</v>
      </c>
      <c r="F23" t="str">
        <v>6691 BA</v>
      </c>
      <c r="G23" t="str">
        <v>Gendt</v>
      </c>
      <c r="H23" t="str">
        <v>Lingewaard</v>
      </c>
      <c r="I23" t="str">
        <v>Gelderland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398000</v>
      </c>
      <c r="O23" t="str">
        <v>v.o.n.</v>
      </c>
      <c r="P23">
        <v>70</v>
      </c>
      <c r="Q23">
        <v>5686</v>
      </c>
      <c r="R23" t="str">
        <v>Onbekend</v>
      </c>
      <c r="S23" t="str">
        <v>A+++</v>
      </c>
      <c r="T23">
        <v>3</v>
      </c>
      <c r="U23">
        <v>2</v>
      </c>
      <c r="V23" t="str">
        <v>Appartement</v>
      </c>
      <c r="W23" t="str">
        <v>Appartement</v>
      </c>
      <c r="X23" t="str">
        <v>Appartement 50-75 m²</v>
      </c>
      <c r="Y23" t="str">
        <v>Onbekend</v>
      </c>
      <c r="Z23" t="str">
        <v>onbekend</v>
      </c>
      <c r="AA23" t="str">
        <v>2027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AD29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Lochem</v>
      </c>
    </row>
    <row r="3">
      <c r="A3" t="str">
        <v>Samenvatting</v>
      </c>
    </row>
    <row r="4">
      <c r="A4" t="str">
        <v>Aantal woningen</v>
      </c>
      <c r="B4">
        <v>6</v>
      </c>
    </row>
    <row r="5">
      <c r="A5" t="str">
        <v>Aantal te koop</v>
      </c>
      <c r="B5">
        <v>6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484817</v>
      </c>
    </row>
    <row r="9">
      <c r="A9" t="str">
        <v>Mediaan VON-prijs (€)</v>
      </c>
      <c r="B9">
        <v>484500</v>
      </c>
    </row>
    <row r="10">
      <c r="A10" t="str">
        <v>Gemiddelde VON-prijs per m² (€)</v>
      </c>
      <c r="B10">
        <v>5950</v>
      </c>
    </row>
    <row r="11">
      <c r="A11" t="str">
        <v>Mediaan VON-prijs per m² (€)</v>
      </c>
      <c r="B11">
        <v>5961</v>
      </c>
    </row>
    <row r="12">
      <c r="A12" t="str">
        <v>Gemiddelde GBO (m²)</v>
      </c>
      <c r="B12">
        <v>81</v>
      </c>
    </row>
    <row r="13">
      <c r="A13" t="str">
        <v>Gemiddelde looptijd (dagen)</v>
      </c>
      <c r="B13">
        <v>7</v>
      </c>
    </row>
    <row r="14">
      <c r="A14" t="str">
        <v>Aandeel met parkeerplaats (%)</v>
      </c>
      <c r="B14">
        <v>83.3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3</v>
      </c>
    </row>
    <row r="19">
      <c r="A19" t="str">
        <v>Uitsplitsing appartementcategorieen</v>
      </c>
      <c r="B19" t="str">
        <v>Aantal</v>
      </c>
    </row>
    <row r="20">
      <c r="A20" t="str">
        <v>Appartement &lt;50 m²</v>
      </c>
      <c r="B20">
        <v>3</v>
      </c>
    </row>
    <row r="22">
      <c r="A22" t="str">
        <v>Alle woningen in Lochem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44421039</v>
      </c>
      <c r="B24" t="str">
        <v>https://www.funda.nl/detail/koop/harfsen/appartement-bouwnummer-18-bouwnr-0/44421039/</v>
      </c>
      <c r="C24" t="str">
        <v>Harfsens Hart</v>
      </c>
      <c r="D24" t="str">
        <v>Bouwnummer 18</v>
      </c>
      <c r="E24" t="str">
        <v>0</v>
      </c>
      <c r="F24" t="str">
        <v>7217</v>
      </c>
      <c r="G24" t="str">
        <v>Harfsen</v>
      </c>
      <c r="H24" t="str">
        <v>Lochem</v>
      </c>
      <c r="I24" t="str">
        <v>Gelderland</v>
      </c>
      <c r="J24" t="str">
        <v>Oost-Nederland</v>
      </c>
      <c r="K24" t="str">
        <v>Te koop</v>
      </c>
      <c r="L24" t="str">
        <v>2026-07-07</v>
      </c>
      <c r="M24">
        <v>6</v>
      </c>
      <c r="N24">
        <v>260400</v>
      </c>
      <c r="O24" t="str">
        <v>v.o.n.</v>
      </c>
      <c r="P24">
        <v>48</v>
      </c>
      <c r="Q24">
        <v>5425</v>
      </c>
      <c r="R24" t="str">
        <v>Onbekend</v>
      </c>
      <c r="S24" t="str">
        <v>A+++</v>
      </c>
      <c r="T24">
        <v>2</v>
      </c>
      <c r="U24">
        <v>1</v>
      </c>
      <c r="V24" t="str">
        <v>Appartement</v>
      </c>
      <c r="W24" t="str">
        <v>Appartement</v>
      </c>
      <c r="X24" t="str">
        <v>Appartement &lt;50 m²</v>
      </c>
      <c r="Y24" t="str">
        <v>Ja</v>
      </c>
      <c r="Z24" t="str">
        <v>eigen parkeerplaats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80883614</v>
      </c>
      <c r="B25" t="str">
        <v>https://www.funda.nl/detail/koop/lochem/appartement-nieuwstad-33-d/80883614/</v>
      </c>
      <c r="C25" t="str">
        <v>Onbekend</v>
      </c>
      <c r="D25" t="str">
        <v>Nieuwstad 33-d</v>
      </c>
      <c r="E25" t="str">
        <v>Onbekend</v>
      </c>
      <c r="F25" t="str">
        <v>7241 DM</v>
      </c>
      <c r="G25" t="str">
        <v>Lochem</v>
      </c>
      <c r="H25" t="str">
        <v>Lochem</v>
      </c>
      <c r="I25" t="str">
        <v>Gelderland</v>
      </c>
      <c r="J25" t="str">
        <v>Oost-Nederland</v>
      </c>
      <c r="K25" t="str">
        <v>Te koop</v>
      </c>
      <c r="L25" t="str">
        <v>2026-07-06</v>
      </c>
      <c r="M25">
        <v>7</v>
      </c>
      <c r="N25">
        <v>289500</v>
      </c>
      <c r="O25" t="str">
        <v>v.o.n.</v>
      </c>
      <c r="P25">
        <v>47</v>
      </c>
      <c r="Q25">
        <v>6160</v>
      </c>
      <c r="R25" t="str">
        <v>Onbekend</v>
      </c>
      <c r="S25" t="str">
        <v>A+++</v>
      </c>
      <c r="T25">
        <v>2</v>
      </c>
      <c r="U25">
        <v>1</v>
      </c>
      <c r="V25" t="str">
        <v>Appartement</v>
      </c>
      <c r="W25" t="str">
        <v>Appartement</v>
      </c>
      <c r="X25" t="str">
        <v>Appartement &lt;50 m²</v>
      </c>
      <c r="Y25" t="str">
        <v>Onbekend</v>
      </c>
      <c r="Z25" t="str">
        <v>onbekend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80883615</v>
      </c>
      <c r="B26" t="str">
        <v>https://www.funda.nl/detail/koop/lochem/appartement-nieuwstad-29-h/80883615/</v>
      </c>
      <c r="C26" t="str">
        <v>Onbekend</v>
      </c>
      <c r="D26" t="str">
        <v>Nieuwstad 29-h</v>
      </c>
      <c r="E26" t="str">
        <v>Onbekend</v>
      </c>
      <c r="F26" t="str">
        <v>7241 DM</v>
      </c>
      <c r="G26" t="str">
        <v>Lochem</v>
      </c>
      <c r="H26" t="str">
        <v>Lochem</v>
      </c>
      <c r="I26" t="str">
        <v>Gelderland</v>
      </c>
      <c r="J26" t="str">
        <v>Oost-Nederland</v>
      </c>
      <c r="K26" t="str">
        <v>Te koop</v>
      </c>
      <c r="L26" t="str">
        <v>Onbekend</v>
      </c>
      <c r="M26" t="str">
        <v>Onbekend</v>
      </c>
      <c r="N26">
        <v>294000</v>
      </c>
      <c r="O26" t="str">
        <v>v.o.n.</v>
      </c>
      <c r="P26">
        <v>49</v>
      </c>
      <c r="Q26">
        <v>6000</v>
      </c>
      <c r="R26" t="str">
        <v>Onbekend</v>
      </c>
      <c r="S26" t="str">
        <v>A+++</v>
      </c>
      <c r="T26">
        <v>2</v>
      </c>
      <c r="U26">
        <v>1</v>
      </c>
      <c r="V26" t="str">
        <v>Appartement</v>
      </c>
      <c r="W26" t="str">
        <v>Appartement</v>
      </c>
      <c r="X26" t="str">
        <v>Appartement &lt;50 m²</v>
      </c>
      <c r="Y26" t="str">
        <v>Ja</v>
      </c>
      <c r="Z26" t="str">
        <v>openbare parkeerplaats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44429138</v>
      </c>
      <c r="B27" t="str">
        <v>https://www.funda.nl/detail/koop/epse/huis-het-boshuys-bouwnummer-1/44429138/</v>
      </c>
      <c r="C27" t="str">
        <v>Onbekend</v>
      </c>
      <c r="D27" t="str">
        <v>Het Boshuys bouwnummer 1</v>
      </c>
      <c r="E27" t="str">
        <v>Onbekend</v>
      </c>
      <c r="F27" t="str">
        <v>7214 PR</v>
      </c>
      <c r="G27" t="str">
        <v>Epse</v>
      </c>
      <c r="H27" t="str">
        <v>Lochem</v>
      </c>
      <c r="I27" t="str">
        <v>Gelderland</v>
      </c>
      <c r="J27" t="str">
        <v>Oost-Nederland</v>
      </c>
      <c r="K27" t="str">
        <v>Te koop</v>
      </c>
      <c r="L27" t="str">
        <v>Onbekend</v>
      </c>
      <c r="M27" t="str">
        <v>Onbekend</v>
      </c>
      <c r="N27">
        <v>675000</v>
      </c>
      <c r="O27" t="str">
        <v>v.o.n.</v>
      </c>
      <c r="P27">
        <v>114</v>
      </c>
      <c r="Q27">
        <v>5921</v>
      </c>
      <c r="R27" t="str">
        <v>Onbekend</v>
      </c>
      <c r="S27" t="str">
        <v>A+++</v>
      </c>
      <c r="T27">
        <v>3</v>
      </c>
      <c r="U27">
        <v>2</v>
      </c>
      <c r="V27" t="str">
        <v>Grondgebonden</v>
      </c>
      <c r="W27" t="str">
        <v>Vrijstaande woning</v>
      </c>
      <c r="X27" t="str">
        <v>N.v.t.</v>
      </c>
      <c r="Y27" t="str">
        <v>Ja</v>
      </c>
      <c r="Z27" t="str">
        <v>eigen parkeerplaats</v>
      </c>
      <c r="AA27" t="str">
        <v>Na 2020</v>
      </c>
      <c r="AB27" t="str">
        <v>Nee</v>
      </c>
      <c r="AC27" t="str">
        <v>NEE</v>
      </c>
      <c r="AD27" t="str">
        <v>JA</v>
      </c>
    </row>
    <row r="28">
      <c r="A28" t="str">
        <v>44429134</v>
      </c>
      <c r="B28" t="str">
        <v>https://www.funda.nl/detail/koop/epse/huis-het-boshuys-bouwnummer-2/44429134/</v>
      </c>
      <c r="C28" t="str">
        <v>Onbekend</v>
      </c>
      <c r="D28" t="str">
        <v>Het Boshuys bouwnummer 2</v>
      </c>
      <c r="E28" t="str">
        <v>Onbekend</v>
      </c>
      <c r="F28" t="str">
        <v>7214 PR</v>
      </c>
      <c r="G28" t="str">
        <v>Epse</v>
      </c>
      <c r="H28" t="str">
        <v>Lochem</v>
      </c>
      <c r="I28" t="str">
        <v>Gelderland</v>
      </c>
      <c r="J28" t="str">
        <v>Oost-Nederland</v>
      </c>
      <c r="K28" t="str">
        <v>Te koop</v>
      </c>
      <c r="L28" t="str">
        <v>Onbekend</v>
      </c>
      <c r="M28" t="str">
        <v>Onbekend</v>
      </c>
      <c r="N28">
        <v>675000</v>
      </c>
      <c r="O28" t="str">
        <v>v.o.n.</v>
      </c>
      <c r="P28">
        <v>114</v>
      </c>
      <c r="Q28">
        <v>5921</v>
      </c>
      <c r="R28" t="str">
        <v>Onbekend</v>
      </c>
      <c r="S28" t="str">
        <v>A+++</v>
      </c>
      <c r="T28">
        <v>3</v>
      </c>
      <c r="U28">
        <v>2</v>
      </c>
      <c r="V28" t="str">
        <v>Grondgebonden</v>
      </c>
      <c r="W28" t="str">
        <v>Vrijstaande woning</v>
      </c>
      <c r="X28" t="str">
        <v>N.v.t.</v>
      </c>
      <c r="Y28" t="str">
        <v>Ja</v>
      </c>
      <c r="Z28" t="str">
        <v>eigen parkeerplaats</v>
      </c>
      <c r="AA28" t="str">
        <v>Na 2020</v>
      </c>
      <c r="AB28" t="str">
        <v>Nee</v>
      </c>
      <c r="AC28" t="str">
        <v>NEE</v>
      </c>
      <c r="AD28" t="str">
        <v>JA</v>
      </c>
    </row>
    <row r="29">
      <c r="A29" t="str">
        <v>44429136</v>
      </c>
      <c r="B29" t="str">
        <v>https://www.funda.nl/detail/koop/epse/huis-het-boshuys-bouwnummer-3/44429136/</v>
      </c>
      <c r="C29" t="str">
        <v>Onbekend</v>
      </c>
      <c r="D29" t="str">
        <v>Het Boshuys bouwnummer 3</v>
      </c>
      <c r="E29" t="str">
        <v>Onbekend</v>
      </c>
      <c r="F29" t="str">
        <v>7214 PR</v>
      </c>
      <c r="G29" t="str">
        <v>Epse</v>
      </c>
      <c r="H29" t="str">
        <v>Lochem</v>
      </c>
      <c r="I29" t="str">
        <v>Gelderland</v>
      </c>
      <c r="J29" t="str">
        <v>Oost-Nederland</v>
      </c>
      <c r="K29" t="str">
        <v>Te koop</v>
      </c>
      <c r="L29" t="str">
        <v>Onbekend</v>
      </c>
      <c r="M29" t="str">
        <v>Onbekend</v>
      </c>
      <c r="N29">
        <v>715000</v>
      </c>
      <c r="O29" t="str">
        <v>v.o.n.</v>
      </c>
      <c r="P29">
        <v>114</v>
      </c>
      <c r="Q29">
        <v>6272</v>
      </c>
      <c r="R29" t="str">
        <v>Onbekend</v>
      </c>
      <c r="S29" t="str">
        <v>A+++</v>
      </c>
      <c r="T29">
        <v>3</v>
      </c>
      <c r="U29">
        <v>2</v>
      </c>
      <c r="V29" t="str">
        <v>Grondgebonden</v>
      </c>
      <c r="W29" t="str">
        <v>Vrijstaande woning</v>
      </c>
      <c r="X29" t="str">
        <v>N.v.t.</v>
      </c>
      <c r="Y29" t="str">
        <v>Ja</v>
      </c>
      <c r="Z29" t="str">
        <v>eigen parkeerplaats</v>
      </c>
      <c r="AA29" t="str">
        <v>Na 2020</v>
      </c>
      <c r="AB29" t="str">
        <v>Nee</v>
      </c>
      <c r="AC29" t="str">
        <v>NEE</v>
      </c>
      <c r="AD29" t="str">
        <v>JA</v>
      </c>
    </row>
  </sheetData>
  <autoFilter ref="A23:AD29"/>
  <ignoredErrors>
    <ignoredError numberStoredAsText="1" sqref="A1:AD29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Losser</v>
      </c>
    </row>
    <row r="3">
      <c r="A3" t="str">
        <v>Samenvatting</v>
      </c>
    </row>
    <row r="4">
      <c r="A4" t="str">
        <v>Aantal woningen</v>
      </c>
      <c r="B4">
        <v>3</v>
      </c>
    </row>
    <row r="5">
      <c r="A5" t="str">
        <v>Aantal te koop</v>
      </c>
      <c r="B5">
        <v>3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382833</v>
      </c>
    </row>
    <row r="9">
      <c r="A9" t="str">
        <v>Mediaan VON-prijs (€)</v>
      </c>
      <c r="B9">
        <v>375000</v>
      </c>
    </row>
    <row r="10">
      <c r="A10" t="str">
        <v>Gemiddelde VON-prijs per m² (€)</v>
      </c>
      <c r="B10">
        <v>3567</v>
      </c>
    </row>
    <row r="11">
      <c r="A11" t="str">
        <v>Mediaan VON-prijs per m² (€)</v>
      </c>
      <c r="B11">
        <v>3676</v>
      </c>
    </row>
    <row r="12">
      <c r="A12" t="str">
        <v>Gemiddelde GBO (m²)</v>
      </c>
      <c r="B12">
        <v>0</v>
      </c>
    </row>
    <row r="13">
      <c r="A13" t="str">
        <v>Gemiddelde looptijd (dagen)</v>
      </c>
      <c r="B13">
        <v>7</v>
      </c>
    </row>
    <row r="14">
      <c r="A14" t="str">
        <v>Aandeel met parkeerplaats (%)</v>
      </c>
      <c r="B14">
        <v>0</v>
      </c>
    </row>
    <row r="16">
      <c r="A16" t="str">
        <v>Uitsplitsing grondgebonden woningtypen</v>
      </c>
      <c r="B16" t="str">
        <v>Aantal</v>
      </c>
    </row>
    <row r="17">
      <c r="A17" t="str">
        <v>Tussenwoning</v>
      </c>
      <c r="B17">
        <v>3</v>
      </c>
    </row>
    <row r="19">
      <c r="A19" t="str">
        <v>Uitsplitsing appartementcategorieen</v>
      </c>
      <c r="B19" t="str">
        <v>Aantal</v>
      </c>
    </row>
    <row r="21">
      <c r="A21" t="str">
        <v>Alle woningen in Losser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80882252</v>
      </c>
      <c r="B23" t="str">
        <v>https://www.funda.nl/detail/koop/overdinkel/huis-schaddenven-6-kavel-b5/80882252/</v>
      </c>
      <c r="C23" t="str">
        <v>Onbekend</v>
      </c>
      <c r="D23" t="str">
        <v>Schaddenven 6 (Kavel B5)</v>
      </c>
      <c r="E23" t="str">
        <v>Onbekend</v>
      </c>
      <c r="F23" t="str">
        <v>7586 DS</v>
      </c>
      <c r="G23" t="str">
        <v>Overdinkel</v>
      </c>
      <c r="H23" t="str">
        <v>Losser</v>
      </c>
      <c r="I23" t="str">
        <v>Overijssel</v>
      </c>
      <c r="J23" t="str">
        <v>Oost-Nederland</v>
      </c>
      <c r="K23" t="str">
        <v>Te koop</v>
      </c>
      <c r="L23" t="str">
        <v>2026-07-06</v>
      </c>
      <c r="M23">
        <v>7</v>
      </c>
      <c r="N23">
        <v>375000</v>
      </c>
      <c r="O23" t="str">
        <v>v.o.n.</v>
      </c>
      <c r="P23" t="str">
        <v>Onbekend</v>
      </c>
      <c r="Q23">
        <v>3676</v>
      </c>
      <c r="R23" t="str">
        <v>Onbekend</v>
      </c>
      <c r="S23" t="str">
        <v>A++</v>
      </c>
      <c r="T23">
        <v>4</v>
      </c>
      <c r="U23">
        <v>3</v>
      </c>
      <c r="V23" t="str">
        <v>Grondgebonden</v>
      </c>
      <c r="W23" t="str">
        <v>Tussenwoning</v>
      </c>
      <c r="X23" t="str">
        <v>N.v.t.</v>
      </c>
      <c r="Y23" t="str">
        <v>Onbekend</v>
      </c>
      <c r="Z23" t="str">
        <v>onbekend</v>
      </c>
      <c r="AA23" t="str">
        <v>Na 2020</v>
      </c>
      <c r="AB23" t="str">
        <v>Nee</v>
      </c>
      <c r="AC23" t="str">
        <v>NEE</v>
      </c>
      <c r="AD23" t="str">
        <v>JA</v>
      </c>
    </row>
    <row r="24">
      <c r="A24" t="str">
        <v>80882254</v>
      </c>
      <c r="B24" t="str">
        <v>https://www.funda.nl/detail/koop/overdinkel/huis-schaddenven-12-kavel-b2/80882254/</v>
      </c>
      <c r="C24" t="str">
        <v>Onbekend</v>
      </c>
      <c r="D24" t="str">
        <v>Schaddenven 12 (Kavel B2)</v>
      </c>
      <c r="E24" t="str">
        <v>Onbekend</v>
      </c>
      <c r="F24" t="str">
        <v>7586 DS</v>
      </c>
      <c r="G24" t="str">
        <v>Overdinkel</v>
      </c>
      <c r="H24" t="str">
        <v>Losser</v>
      </c>
      <c r="I24" t="str">
        <v>Overijssel</v>
      </c>
      <c r="J24" t="str">
        <v>Oost-Nederland</v>
      </c>
      <c r="K24" t="str">
        <v>Te koop</v>
      </c>
      <c r="L24" t="str">
        <v>Onbekend</v>
      </c>
      <c r="M24" t="str">
        <v>Onbekend</v>
      </c>
      <c r="N24">
        <v>398500</v>
      </c>
      <c r="O24" t="str">
        <v>v.o.n.</v>
      </c>
      <c r="P24" t="str">
        <v>Onbekend</v>
      </c>
      <c r="Q24">
        <v>3349</v>
      </c>
      <c r="R24" t="str">
        <v>Onbekend</v>
      </c>
      <c r="S24" t="str">
        <v>A++</v>
      </c>
      <c r="T24">
        <v>4</v>
      </c>
      <c r="U24">
        <v>3</v>
      </c>
      <c r="V24" t="str">
        <v>Grondgebonden</v>
      </c>
      <c r="W24" t="str">
        <v>Tussenwoning</v>
      </c>
      <c r="X24" t="str">
        <v>N.v.t.</v>
      </c>
      <c r="Y24" t="str">
        <v>Onbekend</v>
      </c>
      <c r="Z24" t="str">
        <v>onbekend</v>
      </c>
      <c r="AA24" t="str">
        <v>Na 2020</v>
      </c>
      <c r="AB24" t="str">
        <v>Nee</v>
      </c>
      <c r="AC24" t="str">
        <v>NEE</v>
      </c>
      <c r="AD24" t="str">
        <v>JA</v>
      </c>
    </row>
    <row r="25">
      <c r="A25" t="str">
        <v>80882253</v>
      </c>
      <c r="B25" t="str">
        <v>https://www.funda.nl/detail/koop/overdinkel/huis-schaddenven-10-kavel-b3/80882253/</v>
      </c>
      <c r="C25" t="str">
        <v>Onbekend</v>
      </c>
      <c r="D25" t="str">
        <v>Schaddenven 10 (Kavel B3)</v>
      </c>
      <c r="E25" t="str">
        <v>Onbekend</v>
      </c>
      <c r="F25" t="str">
        <v>7586 DS</v>
      </c>
      <c r="G25" t="str">
        <v>Overdinkel</v>
      </c>
      <c r="H25" t="str">
        <v>Losser</v>
      </c>
      <c r="I25" t="str">
        <v>Overijssel</v>
      </c>
      <c r="J25" t="str">
        <v>Oost-Nederland</v>
      </c>
      <c r="K25" t="str">
        <v>Te koop</v>
      </c>
      <c r="L25" t="str">
        <v>Onbekend</v>
      </c>
      <c r="M25" t="str">
        <v>Onbekend</v>
      </c>
      <c r="N25">
        <v>375000</v>
      </c>
      <c r="O25" t="str">
        <v>v.o.n.</v>
      </c>
      <c r="P25" t="str">
        <v>Onbekend</v>
      </c>
      <c r="Q25">
        <v>3676</v>
      </c>
      <c r="R25" t="str">
        <v>Onbekend</v>
      </c>
      <c r="S25" t="str">
        <v>A++</v>
      </c>
      <c r="T25">
        <v>4</v>
      </c>
      <c r="U25">
        <v>3</v>
      </c>
      <c r="V25" t="str">
        <v>Grondgebonden</v>
      </c>
      <c r="W25" t="str">
        <v>Tussenwoning</v>
      </c>
      <c r="X25" t="str">
        <v>N.v.t.</v>
      </c>
      <c r="Y25" t="str">
        <v>Onbekend</v>
      </c>
      <c r="Z25" t="str">
        <v>onbekend</v>
      </c>
      <c r="AA25" t="str">
        <v>Na 2020</v>
      </c>
      <c r="AB25" t="str">
        <v>Nee</v>
      </c>
      <c r="AC25" t="str">
        <v>NEE</v>
      </c>
      <c r="AD25" t="str">
        <v>JA</v>
      </c>
    </row>
  </sheetData>
  <autoFilter ref="A22:AD25"/>
  <ignoredErrors>
    <ignoredError numberStoredAsText="1" sqref="A1:AD25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Maashorst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435000</v>
      </c>
    </row>
    <row r="9">
      <c r="A9" t="str">
        <v>Mediaan VON-prijs (€)</v>
      </c>
      <c r="B9">
        <v>435000</v>
      </c>
    </row>
    <row r="10">
      <c r="A10" t="str">
        <v>Gemiddelde VON-prijs per m² (€)</v>
      </c>
      <c r="B10">
        <v>5370</v>
      </c>
    </row>
    <row r="11">
      <c r="A11" t="str">
        <v>Mediaan VON-prijs per m² (€)</v>
      </c>
      <c r="B11">
        <v>5370</v>
      </c>
    </row>
    <row r="12">
      <c r="A12" t="str">
        <v>Gemiddelde GBO (m²)</v>
      </c>
      <c r="B12">
        <v>81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75-100 m²</v>
      </c>
      <c r="B19">
        <v>1</v>
      </c>
    </row>
    <row r="21">
      <c r="A21" t="str">
        <v>Alle woningen in Maashorst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44429200</v>
      </c>
      <c r="B23" t="str">
        <v>https://www.funda.nl/detail/koop/uden/appartement-woningtype-d-bouwnr-a82-5e/44429200/</v>
      </c>
      <c r="C23" t="str">
        <v>Connect</v>
      </c>
      <c r="D23" t="str">
        <v>Woningtype D)</v>
      </c>
      <c r="E23" t="str">
        <v>A82 (5e</v>
      </c>
      <c r="F23" t="str">
        <v>5402 XD</v>
      </c>
      <c r="G23" t="str">
        <v>Uden</v>
      </c>
      <c r="H23" t="str">
        <v>Maashorst</v>
      </c>
      <c r="I23" t="str">
        <v>Noord-Brabant</v>
      </c>
      <c r="J23" t="str">
        <v>Zuid-Nederland</v>
      </c>
      <c r="K23" t="str">
        <v>Te koop</v>
      </c>
      <c r="L23" t="str">
        <v>Onbekend</v>
      </c>
      <c r="M23" t="str">
        <v>Onbekend</v>
      </c>
      <c r="N23">
        <v>435000</v>
      </c>
      <c r="O23" t="str">
        <v>v.o.n.</v>
      </c>
      <c r="P23">
        <v>81</v>
      </c>
      <c r="Q23">
        <v>5370</v>
      </c>
      <c r="R23" t="str">
        <v>Onbekend</v>
      </c>
      <c r="S23" t="str">
        <v>A+++</v>
      </c>
      <c r="T23">
        <v>1</v>
      </c>
      <c r="U23" t="str">
        <v>Onbekend</v>
      </c>
      <c r="V23" t="str">
        <v>Appartement</v>
      </c>
      <c r="W23" t="str">
        <v>Appartement</v>
      </c>
      <c r="X23" t="str">
        <v>Appartement 75-100 m²</v>
      </c>
      <c r="Y23" t="str">
        <v>Ja</v>
      </c>
      <c r="Z23" t="str">
        <v>garage</v>
      </c>
      <c r="AA23" t="str">
        <v>2027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AD70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Maassluis</v>
      </c>
    </row>
    <row r="3">
      <c r="A3" t="str">
        <v>Samenvatting</v>
      </c>
    </row>
    <row r="4">
      <c r="A4" t="str">
        <v>Aantal woningen</v>
      </c>
      <c r="B4">
        <v>46</v>
      </c>
    </row>
    <row r="5">
      <c r="A5" t="str">
        <v>Aantal te koop</v>
      </c>
      <c r="B5">
        <v>46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702228</v>
      </c>
    </row>
    <row r="9">
      <c r="A9" t="str">
        <v>Mediaan VON-prijs (€)</v>
      </c>
      <c r="B9">
        <v>715000</v>
      </c>
    </row>
    <row r="10">
      <c r="A10" t="str">
        <v>Gemiddelde VON-prijs per m² (€)</v>
      </c>
      <c r="B10">
        <v>4720</v>
      </c>
    </row>
    <row r="11">
      <c r="A11" t="str">
        <v>Mediaan VON-prijs per m² (€)</v>
      </c>
      <c r="B11">
        <v>4647</v>
      </c>
    </row>
    <row r="12">
      <c r="A12" t="str">
        <v>Gemiddelde GBO (m²)</v>
      </c>
      <c r="B12">
        <v>149</v>
      </c>
    </row>
    <row r="13">
      <c r="A13" t="str">
        <v>Gemiddelde looptijd (dagen)</v>
      </c>
      <c r="B13">
        <v>7</v>
      </c>
    </row>
    <row r="14">
      <c r="A14" t="str">
        <v>Aandeel met parkeerplaats (%)</v>
      </c>
      <c r="B14">
        <v>87</v>
      </c>
    </row>
    <row r="16">
      <c r="A16" t="str">
        <v>Uitsplitsing grondgebonden woningtypen</v>
      </c>
      <c r="B16" t="str">
        <v>Aantal</v>
      </c>
    </row>
    <row r="17">
      <c r="A17" t="str">
        <v>2-onder-1-kapwoning</v>
      </c>
      <c r="B17">
        <v>9</v>
      </c>
    </row>
    <row r="18">
      <c r="A18" t="str">
        <v>Hoekwoning</v>
      </c>
      <c r="B18">
        <v>18</v>
      </c>
    </row>
    <row r="19">
      <c r="A19" t="str">
        <v>Tussenwoning</v>
      </c>
      <c r="B19">
        <v>19</v>
      </c>
    </row>
    <row r="21">
      <c r="A21" t="str">
        <v>Uitsplitsing appartementcategorieen</v>
      </c>
      <c r="B21" t="str">
        <v>Aantal</v>
      </c>
    </row>
    <row r="23">
      <c r="A23" t="str">
        <v>Alle woningen in Maassluis</v>
      </c>
    </row>
    <row r="24">
      <c r="A24" t="str">
        <v>Funda ID</v>
      </c>
      <c r="B24" t="str">
        <v>Funda URL</v>
      </c>
      <c r="C24" t="str">
        <v>Projectnaam</v>
      </c>
      <c r="D24" t="str">
        <v>Adres</v>
      </c>
      <c r="E24" t="str">
        <v>Bouwnummer</v>
      </c>
      <c r="F24" t="str">
        <v>Postcode</v>
      </c>
      <c r="G24" t="str">
        <v>Plaats</v>
      </c>
      <c r="H24" t="str">
        <v>Gemeente</v>
      </c>
      <c r="I24" t="str">
        <v>Provincie</v>
      </c>
      <c r="J24" t="str">
        <v>Regio</v>
      </c>
      <c r="K24" t="str">
        <v>Status</v>
      </c>
      <c r="L24" t="str">
        <v>Datum plaatsing</v>
      </c>
      <c r="M24" t="str">
        <v>Looptijd (dagen)</v>
      </c>
      <c r="N24" t="str">
        <v>Vraagprijs (€)</v>
      </c>
      <c r="O24" t="str">
        <v>Kostenlabel</v>
      </c>
      <c r="P24" t="str">
        <v>GBO (m²)</v>
      </c>
      <c r="Q24" t="str">
        <v>VON-prijs per m² (€)</v>
      </c>
      <c r="R24" t="str">
        <v>Perceeloppervlakte (m²)</v>
      </c>
      <c r="S24" t="str">
        <v>Energielabel</v>
      </c>
      <c r="T24" t="str">
        <v>Aantal kamers</v>
      </c>
      <c r="U24" t="str">
        <v>Aantal slaapkamers</v>
      </c>
      <c r="V24" t="str">
        <v>Woningcategorie</v>
      </c>
      <c r="W24" t="str">
        <v>Woningtype</v>
      </c>
      <c r="X24" t="str">
        <v>Appartement categorie</v>
      </c>
      <c r="Y24" t="str">
        <v>Parkeerplaats</v>
      </c>
      <c r="Z24" t="str">
        <v>Type parkeerplaats</v>
      </c>
      <c r="AA24" t="str">
        <v>Bouwjaar</v>
      </c>
      <c r="AB24" t="str">
        <v>Prijs op aanvraag</v>
      </c>
      <c r="AC24" t="str">
        <v>Outlier flag</v>
      </c>
      <c r="AD24" t="str">
        <v>GemeenteOK</v>
      </c>
    </row>
    <row r="25">
      <c r="A25" t="str">
        <v>44429807</v>
      </c>
      <c r="B25" t="str">
        <v>https://www.funda.nl/detail/koop/maassluis/huis-hoekwoning-type-1-bouwnr-25/44429807/</v>
      </c>
      <c r="C25" t="str">
        <v>De Oevers - Wilgenrijk | IN VERKOOP</v>
      </c>
      <c r="D25" t="str">
        <v>Hoekwoning type 1</v>
      </c>
      <c r="E25" t="str">
        <v>25</v>
      </c>
      <c r="F25" t="str">
        <v>3147 NA</v>
      </c>
      <c r="G25" t="str">
        <v>Maassluis</v>
      </c>
      <c r="H25" t="str">
        <v>Maassluis</v>
      </c>
      <c r="I25" t="str">
        <v>Zuid-Holland</v>
      </c>
      <c r="J25" t="str">
        <v>West-Nederland</v>
      </c>
      <c r="K25" t="str">
        <v>Te koop</v>
      </c>
      <c r="L25" t="str">
        <v>Onbekend</v>
      </c>
      <c r="M25" t="str">
        <v>Onbekend</v>
      </c>
      <c r="N25">
        <v>677500</v>
      </c>
      <c r="O25" t="str">
        <v>v.o.n.</v>
      </c>
      <c r="P25">
        <v>138</v>
      </c>
      <c r="Q25">
        <v>4909</v>
      </c>
      <c r="R25">
        <v>337</v>
      </c>
      <c r="S25" t="str">
        <v>A+++</v>
      </c>
      <c r="T25">
        <v>6</v>
      </c>
      <c r="U25">
        <v>5</v>
      </c>
      <c r="V25" t="str">
        <v>Grondgebonden</v>
      </c>
      <c r="W25" t="str">
        <v>Hoekwoning</v>
      </c>
      <c r="X25" t="str">
        <v>N.v.t.</v>
      </c>
      <c r="Y25" t="str">
        <v>Ja</v>
      </c>
      <c r="Z25" t="str">
        <v>eigen parkeerplaats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44429806</v>
      </c>
      <c r="B26" t="str">
        <v>https://www.funda.nl/detail/koop/maassluis/huis-twee-onder-een-kapwoning-type-1-bouwnr-49/44429806/</v>
      </c>
      <c r="C26" t="str">
        <v>De Oevers - Wilgenrijk | IN VERKOOP</v>
      </c>
      <c r="D26" t="str">
        <v>Twee-onder-een-kapwoning type 1</v>
      </c>
      <c r="E26" t="str">
        <v>49</v>
      </c>
      <c r="F26" t="str">
        <v>3147 NA</v>
      </c>
      <c r="G26" t="str">
        <v>Maassluis</v>
      </c>
      <c r="H26" t="str">
        <v>Maassluis</v>
      </c>
      <c r="I26" t="str">
        <v>Zuid-Holland</v>
      </c>
      <c r="J26" t="str">
        <v>West-Nederland</v>
      </c>
      <c r="K26" t="str">
        <v>Te koop</v>
      </c>
      <c r="L26" t="str">
        <v>Onbekend</v>
      </c>
      <c r="M26" t="str">
        <v>Onbekend</v>
      </c>
      <c r="N26">
        <v>799500</v>
      </c>
      <c r="O26" t="str">
        <v>v.o.n.</v>
      </c>
      <c r="P26">
        <v>153</v>
      </c>
      <c r="Q26">
        <v>5225</v>
      </c>
      <c r="R26">
        <v>365</v>
      </c>
      <c r="S26" t="str">
        <v>A+++</v>
      </c>
      <c r="T26">
        <v>6</v>
      </c>
      <c r="U26">
        <v>5</v>
      </c>
      <c r="V26" t="str">
        <v>Grondgebonden</v>
      </c>
      <c r="W26" t="str">
        <v>2-onder-1-kapwoning</v>
      </c>
      <c r="X26" t="str">
        <v>N.v.t.</v>
      </c>
      <c r="Y26" t="str">
        <v>Ja</v>
      </c>
      <c r="Z26" t="str">
        <v>eigen parkeerplaats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44429805</v>
      </c>
      <c r="B27" t="str">
        <v>https://www.funda.nl/detail/koop/maassluis/huis-hoekwoning-type-1-bouwnr-7/44429805/</v>
      </c>
      <c r="C27" t="str">
        <v>De Oevers - Wilgenrijk | IN VERKOOP</v>
      </c>
      <c r="D27" t="str">
        <v>Hoekwoning type 1</v>
      </c>
      <c r="E27" t="str">
        <v>7</v>
      </c>
      <c r="F27" t="str">
        <v>3147 NA</v>
      </c>
      <c r="G27" t="str">
        <v>Maassluis</v>
      </c>
      <c r="H27" t="str">
        <v>Maassluis</v>
      </c>
      <c r="I27" t="str">
        <v>Zuid-Holland</v>
      </c>
      <c r="J27" t="str">
        <v>West-Nederland</v>
      </c>
      <c r="K27" t="str">
        <v>Te koop</v>
      </c>
      <c r="L27" t="str">
        <v>Onbekend</v>
      </c>
      <c r="M27" t="str">
        <v>Onbekend</v>
      </c>
      <c r="N27">
        <v>660000</v>
      </c>
      <c r="O27" t="str">
        <v>v.o.n.</v>
      </c>
      <c r="P27">
        <v>138</v>
      </c>
      <c r="Q27">
        <v>4783</v>
      </c>
      <c r="R27">
        <v>290</v>
      </c>
      <c r="S27" t="str">
        <v>A+++</v>
      </c>
      <c r="T27">
        <v>6</v>
      </c>
      <c r="U27">
        <v>5</v>
      </c>
      <c r="V27" t="str">
        <v>Grondgebonden</v>
      </c>
      <c r="W27" t="str">
        <v>Hoekwoning</v>
      </c>
      <c r="X27" t="str">
        <v>N.v.t.</v>
      </c>
      <c r="Y27" t="str">
        <v>Ja</v>
      </c>
      <c r="Z27" t="str">
        <v>eigen parkeerplaats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44429803</v>
      </c>
      <c r="B28" t="str">
        <v>https://www.funda.nl/detail/koop/maassluis/huis-tussenwoning-bouwnr-36/44429803/</v>
      </c>
      <c r="C28" t="str">
        <v>De Oevers - Wilgenrijk | IN VERKOOP</v>
      </c>
      <c r="D28" t="str">
        <v>Tussenwoning</v>
      </c>
      <c r="E28" t="str">
        <v>36</v>
      </c>
      <c r="F28" t="str">
        <v>3147 NA</v>
      </c>
      <c r="G28" t="str">
        <v>Maassluis</v>
      </c>
      <c r="H28" t="str">
        <v>Maassluis</v>
      </c>
      <c r="I28" t="str">
        <v>Zuid-Holland</v>
      </c>
      <c r="J28" t="str">
        <v>West-Nederland</v>
      </c>
      <c r="K28" t="str">
        <v>Te koop</v>
      </c>
      <c r="L28" t="str">
        <v>Onbekend</v>
      </c>
      <c r="M28" t="str">
        <v>Onbekend</v>
      </c>
      <c r="N28">
        <v>595000</v>
      </c>
      <c r="O28" t="str">
        <v>v.o.n.</v>
      </c>
      <c r="P28">
        <v>129</v>
      </c>
      <c r="Q28">
        <v>4612</v>
      </c>
      <c r="R28">
        <v>171</v>
      </c>
      <c r="S28" t="str">
        <v>A+++</v>
      </c>
      <c r="T28">
        <v>6</v>
      </c>
      <c r="U28">
        <v>5</v>
      </c>
      <c r="V28" t="str">
        <v>Grondgebonden</v>
      </c>
      <c r="W28" t="str">
        <v>Tussenwoning</v>
      </c>
      <c r="X28" t="str">
        <v>N.v.t.</v>
      </c>
      <c r="Y28" t="str">
        <v>Ja</v>
      </c>
      <c r="Z28" t="str">
        <v>eigen parkeerplaats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44429892</v>
      </c>
      <c r="B29" t="str">
        <v>https://www.funda.nl/detail/koop/maassluis/huis-twee-onder-een-kapwoning-type-1-bouwnr-48/44429892/</v>
      </c>
      <c r="C29" t="str">
        <v>De Oevers - Wilgenrijk | IN VERKOOP</v>
      </c>
      <c r="D29" t="str">
        <v>Twee-onder-een-kapwoning type 1</v>
      </c>
      <c r="E29" t="str">
        <v>48</v>
      </c>
      <c r="F29" t="str">
        <v>3147 NA</v>
      </c>
      <c r="G29" t="str">
        <v>Maassluis</v>
      </c>
      <c r="H29" t="str">
        <v>Maassluis</v>
      </c>
      <c r="I29" t="str">
        <v>Zuid-Holland</v>
      </c>
      <c r="J29" t="str">
        <v>West-Nederland</v>
      </c>
      <c r="K29" t="str">
        <v>Te koop</v>
      </c>
      <c r="L29" t="str">
        <v>Onbekend</v>
      </c>
      <c r="M29" t="str">
        <v>Onbekend</v>
      </c>
      <c r="N29">
        <v>792500</v>
      </c>
      <c r="O29" t="str">
        <v>v.o.n.</v>
      </c>
      <c r="P29">
        <v>153</v>
      </c>
      <c r="Q29">
        <v>5180</v>
      </c>
      <c r="R29">
        <v>331</v>
      </c>
      <c r="S29" t="str">
        <v>A+++</v>
      </c>
      <c r="T29">
        <v>6</v>
      </c>
      <c r="U29">
        <v>5</v>
      </c>
      <c r="V29" t="str">
        <v>Grondgebonden</v>
      </c>
      <c r="W29" t="str">
        <v>2-onder-1-kapwoning</v>
      </c>
      <c r="X29" t="str">
        <v>N.v.t.</v>
      </c>
      <c r="Y29" t="str">
        <v>Ja</v>
      </c>
      <c r="Z29" t="str">
        <v>eigen parkeerplaats</v>
      </c>
      <c r="AA29" t="str">
        <v>2026</v>
      </c>
      <c r="AB29" t="str">
        <v>Nee</v>
      </c>
      <c r="AC29" t="str">
        <v>NEE</v>
      </c>
      <c r="AD29" t="str">
        <v>JA</v>
      </c>
    </row>
    <row r="30">
      <c r="A30" t="str">
        <v>44429891</v>
      </c>
      <c r="B30" t="str">
        <v>https://www.funda.nl/detail/koop/maassluis/huis-hoekwoning-type-1-bouwnr-24/44429891/</v>
      </c>
      <c r="C30" t="str">
        <v>De Oevers - Wilgenrijk | IN VERKOOP</v>
      </c>
      <c r="D30" t="str">
        <v>Hoekwoning type 1</v>
      </c>
      <c r="E30" t="str">
        <v>24</v>
      </c>
      <c r="F30" t="str">
        <v>3147 NA</v>
      </c>
      <c r="G30" t="str">
        <v>Maassluis</v>
      </c>
      <c r="H30" t="str">
        <v>Maassluis</v>
      </c>
      <c r="I30" t="str">
        <v>Zuid-Holland</v>
      </c>
      <c r="J30" t="str">
        <v>West-Nederland</v>
      </c>
      <c r="K30" t="str">
        <v>Te koop</v>
      </c>
      <c r="L30" t="str">
        <v>Onbekend</v>
      </c>
      <c r="M30" t="str">
        <v>Onbekend</v>
      </c>
      <c r="N30">
        <v>677500</v>
      </c>
      <c r="O30" t="str">
        <v>v.o.n.</v>
      </c>
      <c r="P30">
        <v>138</v>
      </c>
      <c r="Q30">
        <v>4909</v>
      </c>
      <c r="R30">
        <v>348</v>
      </c>
      <c r="S30" t="str">
        <v>A+++</v>
      </c>
      <c r="T30">
        <v>6</v>
      </c>
      <c r="U30">
        <v>5</v>
      </c>
      <c r="V30" t="str">
        <v>Grondgebonden</v>
      </c>
      <c r="W30" t="str">
        <v>Hoekwoning</v>
      </c>
      <c r="X30" t="str">
        <v>N.v.t.</v>
      </c>
      <c r="Y30" t="str">
        <v>Ja</v>
      </c>
      <c r="Z30" t="str">
        <v>eigen parkeerplaats</v>
      </c>
      <c r="AA30" t="str">
        <v>2026</v>
      </c>
      <c r="AB30" t="str">
        <v>Nee</v>
      </c>
      <c r="AC30" t="str">
        <v>NEE</v>
      </c>
      <c r="AD30" t="str">
        <v>JA</v>
      </c>
    </row>
    <row r="31">
      <c r="A31" t="str">
        <v>44429890</v>
      </c>
      <c r="B31" t="str">
        <v>https://www.funda.nl/detail/koop/maassluis/huis-tussenwoning-bouwnr-39/44429890/</v>
      </c>
      <c r="C31" t="str">
        <v>De Oevers - Wilgenrijk | IN VERKOOP</v>
      </c>
      <c r="D31" t="str">
        <v>Tussenwoning</v>
      </c>
      <c r="E31" t="str">
        <v>39</v>
      </c>
      <c r="F31" t="str">
        <v>3147 NA</v>
      </c>
      <c r="G31" t="str">
        <v>Maassluis</v>
      </c>
      <c r="H31" t="str">
        <v>Maassluis</v>
      </c>
      <c r="I31" t="str">
        <v>Zuid-Holland</v>
      </c>
      <c r="J31" t="str">
        <v>West-Nederland</v>
      </c>
      <c r="K31" t="str">
        <v>Te koop</v>
      </c>
      <c r="L31" t="str">
        <v>Onbekend</v>
      </c>
      <c r="M31" t="str">
        <v>Onbekend</v>
      </c>
      <c r="N31">
        <v>595000</v>
      </c>
      <c r="O31" t="str">
        <v>v.o.n.</v>
      </c>
      <c r="P31">
        <v>129</v>
      </c>
      <c r="Q31">
        <v>4612</v>
      </c>
      <c r="R31">
        <v>172</v>
      </c>
      <c r="S31" t="str">
        <v>A+++</v>
      </c>
      <c r="T31">
        <v>6</v>
      </c>
      <c r="U31">
        <v>5</v>
      </c>
      <c r="V31" t="str">
        <v>Grondgebonden</v>
      </c>
      <c r="W31" t="str">
        <v>Tussenwoning</v>
      </c>
      <c r="X31" t="str">
        <v>N.v.t.</v>
      </c>
      <c r="Y31" t="str">
        <v>Ja</v>
      </c>
      <c r="Z31" t="str">
        <v>eigen parkeerplaats</v>
      </c>
      <c r="AA31" t="str">
        <v>2026</v>
      </c>
      <c r="AB31" t="str">
        <v>Nee</v>
      </c>
      <c r="AC31" t="str">
        <v>NEE</v>
      </c>
      <c r="AD31" t="str">
        <v>JA</v>
      </c>
    </row>
    <row r="32">
      <c r="A32" t="str">
        <v>44429898</v>
      </c>
      <c r="B32" t="str">
        <v>https://www.funda.nl/detail/koop/maassluis/huis-twee-onder-een-kapwoning-type-1-bouwnr-44/44429898/</v>
      </c>
      <c r="C32" t="str">
        <v>De Oevers - Wilgenrijk | IN VERKOOP</v>
      </c>
      <c r="D32" t="str">
        <v>Twee-onder-een-kapwoning type 1</v>
      </c>
      <c r="E32" t="str">
        <v>44</v>
      </c>
      <c r="F32" t="str">
        <v>3147 NA</v>
      </c>
      <c r="G32" t="str">
        <v>Maassluis</v>
      </c>
      <c r="H32" t="str">
        <v>Maassluis</v>
      </c>
      <c r="I32" t="str">
        <v>Zuid-Holland</v>
      </c>
      <c r="J32" t="str">
        <v>West-Nederland</v>
      </c>
      <c r="K32" t="str">
        <v>Te koop</v>
      </c>
      <c r="L32" t="str">
        <v>Onbekend</v>
      </c>
      <c r="M32" t="str">
        <v>Onbekend</v>
      </c>
      <c r="N32">
        <v>799500</v>
      </c>
      <c r="O32" t="str">
        <v>v.o.n.</v>
      </c>
      <c r="P32">
        <v>153</v>
      </c>
      <c r="Q32">
        <v>5225</v>
      </c>
      <c r="R32">
        <v>379</v>
      </c>
      <c r="S32" t="str">
        <v>A+++</v>
      </c>
      <c r="T32">
        <v>6</v>
      </c>
      <c r="U32">
        <v>5</v>
      </c>
      <c r="V32" t="str">
        <v>Grondgebonden</v>
      </c>
      <c r="W32" t="str">
        <v>2-onder-1-kapwoning</v>
      </c>
      <c r="X32" t="str">
        <v>N.v.t.</v>
      </c>
      <c r="Y32" t="str">
        <v>Ja</v>
      </c>
      <c r="Z32" t="str">
        <v>eigen parkeerplaats</v>
      </c>
      <c r="AA32" t="str">
        <v>2026</v>
      </c>
      <c r="AB32" t="str">
        <v>Nee</v>
      </c>
      <c r="AC32" t="str">
        <v>NEE</v>
      </c>
      <c r="AD32" t="str">
        <v>JA</v>
      </c>
    </row>
    <row r="33">
      <c r="A33" t="str">
        <v>44429897</v>
      </c>
      <c r="B33" t="str">
        <v>https://www.funda.nl/detail/koop/maassluis/huis-tussenwoning-bouwnr-26/44429897/</v>
      </c>
      <c r="C33" t="str">
        <v>De Oevers - Wilgenrijk | IN VERKOOP</v>
      </c>
      <c r="D33" t="str">
        <v>Tussenwoning</v>
      </c>
      <c r="E33" t="str">
        <v>26</v>
      </c>
      <c r="F33" t="str">
        <v>3147 NA</v>
      </c>
      <c r="G33" t="str">
        <v>Maassluis</v>
      </c>
      <c r="H33" t="str">
        <v>Maassluis</v>
      </c>
      <c r="I33" t="str">
        <v>Zuid-Holland</v>
      </c>
      <c r="J33" t="str">
        <v>West-Nederland</v>
      </c>
      <c r="K33" t="str">
        <v>Te koop</v>
      </c>
      <c r="L33" t="str">
        <v>Onbekend</v>
      </c>
      <c r="M33" t="str">
        <v>Onbekend</v>
      </c>
      <c r="N33">
        <v>597500</v>
      </c>
      <c r="O33" t="str">
        <v>v.o.n.</v>
      </c>
      <c r="P33">
        <v>129</v>
      </c>
      <c r="Q33">
        <v>4632</v>
      </c>
      <c r="R33">
        <v>197</v>
      </c>
      <c r="S33" t="str">
        <v>A+++</v>
      </c>
      <c r="T33">
        <v>6</v>
      </c>
      <c r="U33">
        <v>5</v>
      </c>
      <c r="V33" t="str">
        <v>Grondgebonden</v>
      </c>
      <c r="W33" t="str">
        <v>Tussenwoning</v>
      </c>
      <c r="X33" t="str">
        <v>N.v.t.</v>
      </c>
      <c r="Y33" t="str">
        <v>Ja</v>
      </c>
      <c r="Z33" t="str">
        <v>eigen parkeerplaats</v>
      </c>
      <c r="AA33" t="str">
        <v>2026</v>
      </c>
      <c r="AB33" t="str">
        <v>Nee</v>
      </c>
      <c r="AC33" t="str">
        <v>NEE</v>
      </c>
      <c r="AD33" t="str">
        <v>JA</v>
      </c>
    </row>
    <row r="34">
      <c r="A34" t="str">
        <v>44429896</v>
      </c>
      <c r="B34" t="str">
        <v>https://www.funda.nl/detail/koop/maassluis/huis-tussenwoning-bouwnr-27/44429896/</v>
      </c>
      <c r="C34" t="str">
        <v>De Oevers - Wilgenrijk | IN VERKOOP</v>
      </c>
      <c r="D34" t="str">
        <v>Tussenwoning</v>
      </c>
      <c r="E34" t="str">
        <v>27</v>
      </c>
      <c r="F34" t="str">
        <v>3147 NA</v>
      </c>
      <c r="G34" t="str">
        <v>Maassluis</v>
      </c>
      <c r="H34" t="str">
        <v>Maassluis</v>
      </c>
      <c r="I34" t="str">
        <v>Zuid-Holland</v>
      </c>
      <c r="J34" t="str">
        <v>West-Nederland</v>
      </c>
      <c r="K34" t="str">
        <v>Te koop</v>
      </c>
      <c r="L34" t="str">
        <v>Onbekend</v>
      </c>
      <c r="M34" t="str">
        <v>Onbekend</v>
      </c>
      <c r="N34">
        <v>597500</v>
      </c>
      <c r="O34" t="str">
        <v>v.o.n.</v>
      </c>
      <c r="P34">
        <v>129</v>
      </c>
      <c r="Q34">
        <v>4632</v>
      </c>
      <c r="R34">
        <v>194</v>
      </c>
      <c r="S34" t="str">
        <v>A+++</v>
      </c>
      <c r="T34">
        <v>6</v>
      </c>
      <c r="U34">
        <v>5</v>
      </c>
      <c r="V34" t="str">
        <v>Grondgebonden</v>
      </c>
      <c r="W34" t="str">
        <v>Tussenwoning</v>
      </c>
      <c r="X34" t="str">
        <v>N.v.t.</v>
      </c>
      <c r="Y34" t="str">
        <v>Ja</v>
      </c>
      <c r="Z34" t="str">
        <v>eigen parkeerplaats</v>
      </c>
      <c r="AA34" t="str">
        <v>2026</v>
      </c>
      <c r="AB34" t="str">
        <v>Nee</v>
      </c>
      <c r="AC34" t="str">
        <v>NEE</v>
      </c>
      <c r="AD34" t="str">
        <v>JA</v>
      </c>
    </row>
    <row r="35">
      <c r="A35" t="str">
        <v>44429895</v>
      </c>
      <c r="B35" t="str">
        <v>https://www.funda.nl/detail/koop/maassluis/huis-tussenwoning-bouwnr-28/44429895/</v>
      </c>
      <c r="C35" t="str">
        <v>De Oevers - Wilgenrijk | IN VERKOOP</v>
      </c>
      <c r="D35" t="str">
        <v>Tussenwoning</v>
      </c>
      <c r="E35" t="str">
        <v>28</v>
      </c>
      <c r="F35" t="str">
        <v>3147 NA</v>
      </c>
      <c r="G35" t="str">
        <v>Maassluis</v>
      </c>
      <c r="H35" t="str">
        <v>Maassluis</v>
      </c>
      <c r="I35" t="str">
        <v>Zuid-Holland</v>
      </c>
      <c r="J35" t="str">
        <v>West-Nederland</v>
      </c>
      <c r="K35" t="str">
        <v>Te koop</v>
      </c>
      <c r="L35" t="str">
        <v>2026-07-06</v>
      </c>
      <c r="M35">
        <v>7</v>
      </c>
      <c r="N35">
        <v>597500</v>
      </c>
      <c r="O35" t="str">
        <v>v.o.n.</v>
      </c>
      <c r="P35">
        <v>129</v>
      </c>
      <c r="Q35">
        <v>4632</v>
      </c>
      <c r="R35">
        <v>192</v>
      </c>
      <c r="S35" t="str">
        <v>A+++</v>
      </c>
      <c r="T35">
        <v>6</v>
      </c>
      <c r="U35">
        <v>5</v>
      </c>
      <c r="V35" t="str">
        <v>Grondgebonden</v>
      </c>
      <c r="W35" t="str">
        <v>Tussenwoning</v>
      </c>
      <c r="X35" t="str">
        <v>N.v.t.</v>
      </c>
      <c r="Y35" t="str">
        <v>Ja</v>
      </c>
      <c r="Z35" t="str">
        <v>eigen parkeerplaats</v>
      </c>
      <c r="AA35" t="str">
        <v>2026</v>
      </c>
      <c r="AB35" t="str">
        <v>Nee</v>
      </c>
      <c r="AC35" t="str">
        <v>NEE</v>
      </c>
      <c r="AD35" t="str">
        <v>JA</v>
      </c>
    </row>
    <row r="36">
      <c r="A36" t="str">
        <v>44429894</v>
      </c>
      <c r="B36" t="str">
        <v>https://www.funda.nl/detail/koop/maassluis/huis-tussenwoning-bouwnr-18/44429894/</v>
      </c>
      <c r="C36" t="str">
        <v>De Oevers - Wilgenrijk | IN VERKOOP</v>
      </c>
      <c r="D36" t="str">
        <v>Tussenwoning</v>
      </c>
      <c r="E36" t="str">
        <v>18</v>
      </c>
      <c r="F36" t="str">
        <v>3147 NA</v>
      </c>
      <c r="G36" t="str">
        <v>Maassluis</v>
      </c>
      <c r="H36" t="str">
        <v>Maassluis</v>
      </c>
      <c r="I36" t="str">
        <v>Zuid-Holland</v>
      </c>
      <c r="J36" t="str">
        <v>West-Nederland</v>
      </c>
      <c r="K36" t="str">
        <v>Te koop</v>
      </c>
      <c r="L36" t="str">
        <v>Onbekend</v>
      </c>
      <c r="M36" t="str">
        <v>Onbekend</v>
      </c>
      <c r="N36">
        <v>605000</v>
      </c>
      <c r="O36" t="str">
        <v>v.o.n.</v>
      </c>
      <c r="P36">
        <v>129</v>
      </c>
      <c r="Q36">
        <v>4690</v>
      </c>
      <c r="R36">
        <v>171</v>
      </c>
      <c r="S36" t="str">
        <v>A+++</v>
      </c>
      <c r="T36">
        <v>6</v>
      </c>
      <c r="U36">
        <v>5</v>
      </c>
      <c r="V36" t="str">
        <v>Grondgebonden</v>
      </c>
      <c r="W36" t="str">
        <v>Tussenwoning</v>
      </c>
      <c r="X36" t="str">
        <v>N.v.t.</v>
      </c>
      <c r="Y36" t="str">
        <v>Ja</v>
      </c>
      <c r="Z36" t="str">
        <v>eigen parkeerplaats</v>
      </c>
      <c r="AA36" t="str">
        <v>2026</v>
      </c>
      <c r="AB36" t="str">
        <v>Nee</v>
      </c>
      <c r="AC36" t="str">
        <v>NEE</v>
      </c>
      <c r="AD36" t="str">
        <v>JA</v>
      </c>
    </row>
    <row r="37">
      <c r="A37" t="str">
        <v>44429893</v>
      </c>
      <c r="B37" t="str">
        <v>https://www.funda.nl/detail/koop/maassluis/huis-tussenwoning-bouwnr-22/44429893/</v>
      </c>
      <c r="C37" t="str">
        <v>De Oevers - Wilgenrijk | IN VERKOOP</v>
      </c>
      <c r="D37" t="str">
        <v>Tussenwoning</v>
      </c>
      <c r="E37" t="str">
        <v>22</v>
      </c>
      <c r="F37" t="str">
        <v>3147 NA</v>
      </c>
      <c r="G37" t="str">
        <v>Maassluis</v>
      </c>
      <c r="H37" t="str">
        <v>Maassluis</v>
      </c>
      <c r="I37" t="str">
        <v>Zuid-Holland</v>
      </c>
      <c r="J37" t="str">
        <v>West-Nederland</v>
      </c>
      <c r="K37" t="str">
        <v>Te koop</v>
      </c>
      <c r="L37" t="str">
        <v>Onbekend</v>
      </c>
      <c r="M37" t="str">
        <v>Onbekend</v>
      </c>
      <c r="N37">
        <v>599500</v>
      </c>
      <c r="O37" t="str">
        <v>v.o.n.</v>
      </c>
      <c r="P37">
        <v>129</v>
      </c>
      <c r="Q37">
        <v>4647</v>
      </c>
      <c r="R37">
        <v>212</v>
      </c>
      <c r="S37" t="str">
        <v>A+++</v>
      </c>
      <c r="T37">
        <v>6</v>
      </c>
      <c r="U37">
        <v>5</v>
      </c>
      <c r="V37" t="str">
        <v>Grondgebonden</v>
      </c>
      <c r="W37" t="str">
        <v>Tussenwoning</v>
      </c>
      <c r="X37" t="str">
        <v>N.v.t.</v>
      </c>
      <c r="Y37" t="str">
        <v>Ja</v>
      </c>
      <c r="Z37" t="str">
        <v>eigen parkeerplaats</v>
      </c>
      <c r="AA37" t="str">
        <v>2026</v>
      </c>
      <c r="AB37" t="str">
        <v>Nee</v>
      </c>
      <c r="AC37" t="str">
        <v>NEE</v>
      </c>
      <c r="AD37" t="str">
        <v>JA</v>
      </c>
    </row>
    <row r="38">
      <c r="A38" t="str">
        <v>44429882</v>
      </c>
      <c r="B38" t="str">
        <v>https://www.funda.nl/detail/koop/maassluis/huis-tussenwoning-bouwnr-21/44429882/</v>
      </c>
      <c r="C38" t="str">
        <v>De Oevers - Wilgenrijk | IN VERKOOP</v>
      </c>
      <c r="D38" t="str">
        <v>Tussenwoning</v>
      </c>
      <c r="E38" t="str">
        <v>21</v>
      </c>
      <c r="F38" t="str">
        <v>3147 NA</v>
      </c>
      <c r="G38" t="str">
        <v>Maassluis</v>
      </c>
      <c r="H38" t="str">
        <v>Maassluis</v>
      </c>
      <c r="I38" t="str">
        <v>Zuid-Holland</v>
      </c>
      <c r="J38" t="str">
        <v>West-Nederland</v>
      </c>
      <c r="K38" t="str">
        <v>Te koop</v>
      </c>
      <c r="L38" t="str">
        <v>Onbekend</v>
      </c>
      <c r="M38" t="str">
        <v>Onbekend</v>
      </c>
      <c r="N38">
        <v>599500</v>
      </c>
      <c r="O38" t="str">
        <v>v.o.n.</v>
      </c>
      <c r="P38">
        <v>129</v>
      </c>
      <c r="Q38">
        <v>4647</v>
      </c>
      <c r="R38">
        <v>214</v>
      </c>
      <c r="S38" t="str">
        <v>A+++</v>
      </c>
      <c r="T38">
        <v>6</v>
      </c>
      <c r="U38">
        <v>5</v>
      </c>
      <c r="V38" t="str">
        <v>Grondgebonden</v>
      </c>
      <c r="W38" t="str">
        <v>Tussenwoning</v>
      </c>
      <c r="X38" t="str">
        <v>N.v.t.</v>
      </c>
      <c r="Y38" t="str">
        <v>Ja</v>
      </c>
      <c r="Z38" t="str">
        <v>eigen parkeerplaats</v>
      </c>
      <c r="AA38" t="str">
        <v>2026</v>
      </c>
      <c r="AB38" t="str">
        <v>Nee</v>
      </c>
      <c r="AC38" t="str">
        <v>NEE</v>
      </c>
      <c r="AD38" t="str">
        <v>JA</v>
      </c>
    </row>
    <row r="39">
      <c r="A39" t="str">
        <v>44429881</v>
      </c>
      <c r="B39" t="str">
        <v>https://www.funda.nl/detail/koop/maassluis/huis-tussenwoning-bouwnr-23/44429881/</v>
      </c>
      <c r="C39" t="str">
        <v>De Oevers - Wilgenrijk | IN VERKOOP</v>
      </c>
      <c r="D39" t="str">
        <v>Tussenwoning</v>
      </c>
      <c r="E39" t="str">
        <v>23</v>
      </c>
      <c r="F39" t="str">
        <v>3147 NA</v>
      </c>
      <c r="G39" t="str">
        <v>Maassluis</v>
      </c>
      <c r="H39" t="str">
        <v>Maassluis</v>
      </c>
      <c r="I39" t="str">
        <v>Zuid-Holland</v>
      </c>
      <c r="J39" t="str">
        <v>West-Nederland</v>
      </c>
      <c r="K39" t="str">
        <v>Te koop</v>
      </c>
      <c r="L39" t="str">
        <v>Onbekend</v>
      </c>
      <c r="M39" t="str">
        <v>Onbekend</v>
      </c>
      <c r="N39">
        <v>599500</v>
      </c>
      <c r="O39" t="str">
        <v>v.o.n.</v>
      </c>
      <c r="P39">
        <v>129</v>
      </c>
      <c r="Q39">
        <v>4647</v>
      </c>
      <c r="R39">
        <v>209</v>
      </c>
      <c r="S39" t="str">
        <v>A+++</v>
      </c>
      <c r="T39">
        <v>6</v>
      </c>
      <c r="U39">
        <v>5</v>
      </c>
      <c r="V39" t="str">
        <v>Grondgebonden</v>
      </c>
      <c r="W39" t="str">
        <v>Tussenwoning</v>
      </c>
      <c r="X39" t="str">
        <v>N.v.t.</v>
      </c>
      <c r="Y39" t="str">
        <v>Ja</v>
      </c>
      <c r="Z39" t="str">
        <v>eigen parkeerplaats</v>
      </c>
      <c r="AA39" t="str">
        <v>2026</v>
      </c>
      <c r="AB39" t="str">
        <v>Nee</v>
      </c>
      <c r="AC39" t="str">
        <v>NEE</v>
      </c>
      <c r="AD39" t="str">
        <v>JA</v>
      </c>
    </row>
    <row r="40">
      <c r="A40" t="str">
        <v>44429889</v>
      </c>
      <c r="B40" t="str">
        <v>https://www.funda.nl/detail/koop/maassluis/huis-tussenwoning-bouwnr-5/44429889/</v>
      </c>
      <c r="C40" t="str">
        <v>De Oevers - Wilgenrijk | IN VERKOOP</v>
      </c>
      <c r="D40" t="str">
        <v>Tussenwoning</v>
      </c>
      <c r="E40" t="str">
        <v>5</v>
      </c>
      <c r="F40" t="str">
        <v>3147 NA</v>
      </c>
      <c r="G40" t="str">
        <v>Maassluis</v>
      </c>
      <c r="H40" t="str">
        <v>Maassluis</v>
      </c>
      <c r="I40" t="str">
        <v>Zuid-Holland</v>
      </c>
      <c r="J40" t="str">
        <v>West-Nederland</v>
      </c>
      <c r="K40" t="str">
        <v>Te koop</v>
      </c>
      <c r="L40" t="str">
        <v>Onbekend</v>
      </c>
      <c r="M40" t="str">
        <v>Onbekend</v>
      </c>
      <c r="N40">
        <v>609500</v>
      </c>
      <c r="O40" t="str">
        <v>v.o.n.</v>
      </c>
      <c r="P40">
        <v>129</v>
      </c>
      <c r="Q40">
        <v>4725</v>
      </c>
      <c r="R40">
        <v>199</v>
      </c>
      <c r="S40" t="str">
        <v>A+++</v>
      </c>
      <c r="T40">
        <v>6</v>
      </c>
      <c r="U40">
        <v>5</v>
      </c>
      <c r="V40" t="str">
        <v>Grondgebonden</v>
      </c>
      <c r="W40" t="str">
        <v>Tussenwoning</v>
      </c>
      <c r="X40" t="str">
        <v>N.v.t.</v>
      </c>
      <c r="Y40" t="str">
        <v>Ja</v>
      </c>
      <c r="Z40" t="str">
        <v>eigen parkeerplaats</v>
      </c>
      <c r="AA40" t="str">
        <v>2026</v>
      </c>
      <c r="AB40" t="str">
        <v>Nee</v>
      </c>
      <c r="AC40" t="str">
        <v>NEE</v>
      </c>
      <c r="AD40" t="str">
        <v>JA</v>
      </c>
    </row>
    <row r="41">
      <c r="A41" t="str">
        <v>44429887</v>
      </c>
      <c r="B41" t="str">
        <v>https://www.funda.nl/detail/koop/maassluis/huis-tussenwoning-bouwnr-9/44429887/</v>
      </c>
      <c r="C41" t="str">
        <v>De Oevers - Wilgenrijk | IN VERKOOP</v>
      </c>
      <c r="D41" t="str">
        <v>Tussenwoning</v>
      </c>
      <c r="E41" t="str">
        <v>9</v>
      </c>
      <c r="F41" t="str">
        <v>3147 NA</v>
      </c>
      <c r="G41" t="str">
        <v>Maassluis</v>
      </c>
      <c r="H41" t="str">
        <v>Maassluis</v>
      </c>
      <c r="I41" t="str">
        <v>Zuid-Holland</v>
      </c>
      <c r="J41" t="str">
        <v>West-Nederland</v>
      </c>
      <c r="K41" t="str">
        <v>Te koop</v>
      </c>
      <c r="L41" t="str">
        <v>Onbekend</v>
      </c>
      <c r="M41" t="str">
        <v>Onbekend</v>
      </c>
      <c r="N41">
        <v>607500</v>
      </c>
      <c r="O41" t="str">
        <v>v.o.n.</v>
      </c>
      <c r="P41">
        <v>129</v>
      </c>
      <c r="Q41">
        <v>4709</v>
      </c>
      <c r="R41">
        <v>186</v>
      </c>
      <c r="S41" t="str">
        <v>A+++</v>
      </c>
      <c r="T41">
        <v>6</v>
      </c>
      <c r="U41">
        <v>5</v>
      </c>
      <c r="V41" t="str">
        <v>Grondgebonden</v>
      </c>
      <c r="W41" t="str">
        <v>Tussenwoning</v>
      </c>
      <c r="X41" t="str">
        <v>N.v.t.</v>
      </c>
      <c r="Y41" t="str">
        <v>Ja</v>
      </c>
      <c r="Z41" t="str">
        <v>eigen parkeerplaats</v>
      </c>
      <c r="AA41" t="str">
        <v>2026</v>
      </c>
      <c r="AB41" t="str">
        <v>Nee</v>
      </c>
      <c r="AC41" t="str">
        <v>NEE</v>
      </c>
      <c r="AD41" t="str">
        <v>JA</v>
      </c>
    </row>
    <row r="42">
      <c r="A42" t="str">
        <v>44429886</v>
      </c>
      <c r="B42" t="str">
        <v>https://www.funda.nl/detail/koop/maassluis/huis-tussenwoning-bouwnr-10/44429886/</v>
      </c>
      <c r="C42" t="str">
        <v>De Oevers - Wilgenrijk | IN VERKOOP</v>
      </c>
      <c r="D42" t="str">
        <v>Tussenwoning</v>
      </c>
      <c r="E42" t="str">
        <v>10</v>
      </c>
      <c r="F42" t="str">
        <v>3147 NA</v>
      </c>
      <c r="G42" t="str">
        <v>Maassluis</v>
      </c>
      <c r="H42" t="str">
        <v>Maassluis</v>
      </c>
      <c r="I42" t="str">
        <v>Zuid-Holland</v>
      </c>
      <c r="J42" t="str">
        <v>West-Nederland</v>
      </c>
      <c r="K42" t="str">
        <v>Te koop</v>
      </c>
      <c r="L42" t="str">
        <v>Onbekend</v>
      </c>
      <c r="M42" t="str">
        <v>Onbekend</v>
      </c>
      <c r="N42">
        <v>607500</v>
      </c>
      <c r="O42" t="str">
        <v>v.o.n.</v>
      </c>
      <c r="P42">
        <v>129</v>
      </c>
      <c r="Q42">
        <v>4709</v>
      </c>
      <c r="R42">
        <v>187</v>
      </c>
      <c r="S42" t="str">
        <v>A+++</v>
      </c>
      <c r="T42">
        <v>6</v>
      </c>
      <c r="U42">
        <v>5</v>
      </c>
      <c r="V42" t="str">
        <v>Grondgebonden</v>
      </c>
      <c r="W42" t="str">
        <v>Tussenwoning</v>
      </c>
      <c r="X42" t="str">
        <v>N.v.t.</v>
      </c>
      <c r="Y42" t="str">
        <v>Ja</v>
      </c>
      <c r="Z42" t="str">
        <v>eigen parkeerplaats</v>
      </c>
      <c r="AA42" t="str">
        <v>2026</v>
      </c>
      <c r="AB42" t="str">
        <v>Nee</v>
      </c>
      <c r="AC42" t="str">
        <v>NEE</v>
      </c>
      <c r="AD42" t="str">
        <v>JA</v>
      </c>
    </row>
    <row r="43">
      <c r="A43" t="str">
        <v>44429885</v>
      </c>
      <c r="B43" t="str">
        <v>https://www.funda.nl/detail/koop/maassluis/huis-tussenwoning-bouwnr-6/44429885/</v>
      </c>
      <c r="C43" t="str">
        <v>De Oevers - Wilgenrijk | IN VERKOOP</v>
      </c>
      <c r="D43" t="str">
        <v>Tussenwoning</v>
      </c>
      <c r="E43" t="str">
        <v>6</v>
      </c>
      <c r="F43" t="str">
        <v>3147 NA</v>
      </c>
      <c r="G43" t="str">
        <v>Maassluis</v>
      </c>
      <c r="H43" t="str">
        <v>Maassluis</v>
      </c>
      <c r="I43" t="str">
        <v>Zuid-Holland</v>
      </c>
      <c r="J43" t="str">
        <v>West-Nederland</v>
      </c>
      <c r="K43" t="str">
        <v>Te koop</v>
      </c>
      <c r="L43" t="str">
        <v>Onbekend</v>
      </c>
      <c r="M43" t="str">
        <v>Onbekend</v>
      </c>
      <c r="N43">
        <v>609500</v>
      </c>
      <c r="O43" t="str">
        <v>v.o.n.</v>
      </c>
      <c r="P43">
        <v>129</v>
      </c>
      <c r="Q43">
        <v>4725</v>
      </c>
      <c r="R43">
        <v>195</v>
      </c>
      <c r="S43" t="str">
        <v>A+++</v>
      </c>
      <c r="T43">
        <v>6</v>
      </c>
      <c r="U43">
        <v>5</v>
      </c>
      <c r="V43" t="str">
        <v>Grondgebonden</v>
      </c>
      <c r="W43" t="str">
        <v>Tussenwoning</v>
      </c>
      <c r="X43" t="str">
        <v>N.v.t.</v>
      </c>
      <c r="Y43" t="str">
        <v>Ja</v>
      </c>
      <c r="Z43" t="str">
        <v>eigen parkeerplaats</v>
      </c>
      <c r="AA43" t="str">
        <v>2026</v>
      </c>
      <c r="AB43" t="str">
        <v>Nee</v>
      </c>
      <c r="AC43" t="str">
        <v>NEE</v>
      </c>
      <c r="AD43" t="str">
        <v>JA</v>
      </c>
    </row>
    <row r="44">
      <c r="A44" t="str">
        <v>44429883</v>
      </c>
      <c r="B44" t="str">
        <v>https://www.funda.nl/detail/koop/maassluis/huis-tussenwoning-bouwnr-16/44429883/</v>
      </c>
      <c r="C44" t="str">
        <v>De Oevers - Wilgenrijk | IN VERKOOP</v>
      </c>
      <c r="D44" t="str">
        <v>Tussenwoning</v>
      </c>
      <c r="E44" t="str">
        <v>16</v>
      </c>
      <c r="F44" t="str">
        <v>3147 NA</v>
      </c>
      <c r="G44" t="str">
        <v>Maassluis</v>
      </c>
      <c r="H44" t="str">
        <v>Maassluis</v>
      </c>
      <c r="I44" t="str">
        <v>Zuid-Holland</v>
      </c>
      <c r="J44" t="str">
        <v>West-Nederland</v>
      </c>
      <c r="K44" t="str">
        <v>Te koop</v>
      </c>
      <c r="L44" t="str">
        <v>Onbekend</v>
      </c>
      <c r="M44" t="str">
        <v>Onbekend</v>
      </c>
      <c r="N44">
        <v>605000</v>
      </c>
      <c r="O44" t="str">
        <v>v.o.n.</v>
      </c>
      <c r="P44">
        <v>129</v>
      </c>
      <c r="Q44">
        <v>4690</v>
      </c>
      <c r="R44">
        <v>172</v>
      </c>
      <c r="S44" t="str">
        <v>A+++</v>
      </c>
      <c r="T44">
        <v>6</v>
      </c>
      <c r="U44">
        <v>5</v>
      </c>
      <c r="V44" t="str">
        <v>Grondgebonden</v>
      </c>
      <c r="W44" t="str">
        <v>Tussenwoning</v>
      </c>
      <c r="X44" t="str">
        <v>N.v.t.</v>
      </c>
      <c r="Y44" t="str">
        <v>Ja</v>
      </c>
      <c r="Z44" t="str">
        <v>eigen parkeerplaats</v>
      </c>
      <c r="AA44" t="str">
        <v>2026</v>
      </c>
      <c r="AB44" t="str">
        <v>Nee</v>
      </c>
      <c r="AC44" t="str">
        <v>NEE</v>
      </c>
      <c r="AD44" t="str">
        <v>JA</v>
      </c>
    </row>
    <row r="45">
      <c r="A45" t="str">
        <v>44429872</v>
      </c>
      <c r="B45" t="str">
        <v>https://www.funda.nl/detail/koop/maassluis/huis-tussenwoning-bouwnr-17/44429872/</v>
      </c>
      <c r="C45" t="str">
        <v>De Oevers - Wilgenrijk | IN VERKOOP</v>
      </c>
      <c r="D45" t="str">
        <v>Tussenwoning</v>
      </c>
      <c r="E45" t="str">
        <v>17</v>
      </c>
      <c r="F45" t="str">
        <v>3147 NA</v>
      </c>
      <c r="G45" t="str">
        <v>Maassluis</v>
      </c>
      <c r="H45" t="str">
        <v>Maassluis</v>
      </c>
      <c r="I45" t="str">
        <v>Zuid-Holland</v>
      </c>
      <c r="J45" t="str">
        <v>West-Nederland</v>
      </c>
      <c r="K45" t="str">
        <v>Te koop</v>
      </c>
      <c r="L45" t="str">
        <v>Onbekend</v>
      </c>
      <c r="M45" t="str">
        <v>Onbekend</v>
      </c>
      <c r="N45">
        <v>605000</v>
      </c>
      <c r="O45" t="str">
        <v>v.o.n.</v>
      </c>
      <c r="P45">
        <v>129</v>
      </c>
      <c r="Q45">
        <v>4690</v>
      </c>
      <c r="R45">
        <v>172</v>
      </c>
      <c r="S45" t="str">
        <v>A+++</v>
      </c>
      <c r="T45">
        <v>6</v>
      </c>
      <c r="U45">
        <v>5</v>
      </c>
      <c r="V45" t="str">
        <v>Grondgebonden</v>
      </c>
      <c r="W45" t="str">
        <v>Tussenwoning</v>
      </c>
      <c r="X45" t="str">
        <v>N.v.t.</v>
      </c>
      <c r="Y45" t="str">
        <v>Ja</v>
      </c>
      <c r="Z45" t="str">
        <v>eigen parkeerplaats</v>
      </c>
      <c r="AA45" t="str">
        <v>2026</v>
      </c>
      <c r="AB45" t="str">
        <v>Nee</v>
      </c>
      <c r="AC45" t="str">
        <v>NEE</v>
      </c>
      <c r="AD45" t="str">
        <v>JA</v>
      </c>
    </row>
    <row r="46">
      <c r="A46" t="str">
        <v>44429821</v>
      </c>
      <c r="B46" t="str">
        <v>https://www.funda.nl/detail/koop/maassluis/huis-twee-onder-een-kapwoning-type-2-bouwnr-43/44429821/</v>
      </c>
      <c r="C46" t="str">
        <v>De Oevers - Wilgenrijk | IN VERKOOP</v>
      </c>
      <c r="D46" t="str">
        <v>Twee-onder-een-kapwoning type 2</v>
      </c>
      <c r="E46" t="str">
        <v>43</v>
      </c>
      <c r="F46" t="str">
        <v>3147 NA</v>
      </c>
      <c r="G46" t="str">
        <v>Maassluis</v>
      </c>
      <c r="H46" t="str">
        <v>Maassluis</v>
      </c>
      <c r="I46" t="str">
        <v>Zuid-Holland</v>
      </c>
      <c r="J46" t="str">
        <v>West-Nederland</v>
      </c>
      <c r="K46" t="str">
        <v>Te koop</v>
      </c>
      <c r="L46" t="str">
        <v>Onbekend</v>
      </c>
      <c r="M46" t="str">
        <v>Onbekend</v>
      </c>
      <c r="N46">
        <v>885000</v>
      </c>
      <c r="O46" t="str">
        <v>v.o.n.</v>
      </c>
      <c r="P46">
        <v>181</v>
      </c>
      <c r="Q46">
        <v>4890</v>
      </c>
      <c r="R46">
        <v>355</v>
      </c>
      <c r="S46" t="str">
        <v>A+++</v>
      </c>
      <c r="T46">
        <v>6</v>
      </c>
      <c r="U46">
        <v>5</v>
      </c>
      <c r="V46" t="str">
        <v>Grondgebonden</v>
      </c>
      <c r="W46" t="str">
        <v>2-onder-1-kapwoning</v>
      </c>
      <c r="X46" t="str">
        <v>N.v.t.</v>
      </c>
      <c r="Y46" t="str">
        <v>Ja</v>
      </c>
      <c r="Z46" t="str">
        <v>eigen parkeerplaats</v>
      </c>
      <c r="AA46" t="str">
        <v>2026</v>
      </c>
      <c r="AB46" t="str">
        <v>Nee</v>
      </c>
      <c r="AC46" t="str">
        <v>NEE</v>
      </c>
      <c r="AD46" t="str">
        <v>JA</v>
      </c>
    </row>
    <row r="47">
      <c r="A47" t="str">
        <v>44429820</v>
      </c>
      <c r="B47" t="str">
        <v>https://www.funda.nl/detail/koop/maassluis/huis-twee-onder-een-kapwoning-type-2-bouwnr-45/44429820/</v>
      </c>
      <c r="C47" t="str">
        <v>De Oevers - Wilgenrijk | IN VERKOOP</v>
      </c>
      <c r="D47" t="str">
        <v>Twee-onder-een-kapwoning type 2</v>
      </c>
      <c r="E47" t="str">
        <v>45</v>
      </c>
      <c r="F47" t="str">
        <v>3147 NA</v>
      </c>
      <c r="G47" t="str">
        <v>Maassluis</v>
      </c>
      <c r="H47" t="str">
        <v>Maassluis</v>
      </c>
      <c r="I47" t="str">
        <v>Zuid-Holland</v>
      </c>
      <c r="J47" t="str">
        <v>West-Nederland</v>
      </c>
      <c r="K47" t="str">
        <v>Te koop</v>
      </c>
      <c r="L47" t="str">
        <v>Onbekend</v>
      </c>
      <c r="M47" t="str">
        <v>Onbekend</v>
      </c>
      <c r="N47">
        <v>887500</v>
      </c>
      <c r="O47" t="str">
        <v>v.o.n.</v>
      </c>
      <c r="P47">
        <v>181</v>
      </c>
      <c r="Q47">
        <v>4903</v>
      </c>
      <c r="R47">
        <v>349</v>
      </c>
      <c r="S47" t="str">
        <v>A+++</v>
      </c>
      <c r="T47">
        <v>6</v>
      </c>
      <c r="U47">
        <v>5</v>
      </c>
      <c r="V47" t="str">
        <v>Grondgebonden</v>
      </c>
      <c r="W47" t="str">
        <v>2-onder-1-kapwoning</v>
      </c>
      <c r="X47" t="str">
        <v>N.v.t.</v>
      </c>
      <c r="Y47" t="str">
        <v>Ja</v>
      </c>
      <c r="Z47" t="str">
        <v>eigen parkeerplaats</v>
      </c>
      <c r="AA47" t="str">
        <v>2026</v>
      </c>
      <c r="AB47" t="str">
        <v>Nee</v>
      </c>
      <c r="AC47" t="str">
        <v>NEE</v>
      </c>
      <c r="AD47" t="str">
        <v>JA</v>
      </c>
    </row>
    <row r="48">
      <c r="A48" t="str">
        <v>44429829</v>
      </c>
      <c r="B48" t="str">
        <v>https://www.funda.nl/detail/koop/maassluis/huis-twee-onder-een-kapwoning-type-2-bouwnr-42/44429829/</v>
      </c>
      <c r="C48" t="str">
        <v>De Oevers - Wilgenrijk | IN VERKOOP</v>
      </c>
      <c r="D48" t="str">
        <v>Twee-onder-een-kapwoning type 2</v>
      </c>
      <c r="E48" t="str">
        <v>42</v>
      </c>
      <c r="F48" t="str">
        <v>3147 NA</v>
      </c>
      <c r="G48" t="str">
        <v>Maassluis</v>
      </c>
      <c r="H48" t="str">
        <v>Maassluis</v>
      </c>
      <c r="I48" t="str">
        <v>Zuid-Holland</v>
      </c>
      <c r="J48" t="str">
        <v>West-Nederland</v>
      </c>
      <c r="K48" t="str">
        <v>Te koop</v>
      </c>
      <c r="L48" t="str">
        <v>Onbekend</v>
      </c>
      <c r="M48" t="str">
        <v>Onbekend</v>
      </c>
      <c r="N48">
        <v>885000</v>
      </c>
      <c r="O48" t="str">
        <v>v.o.n.</v>
      </c>
      <c r="P48">
        <v>179</v>
      </c>
      <c r="Q48">
        <v>4944</v>
      </c>
      <c r="R48">
        <v>345</v>
      </c>
      <c r="S48" t="str">
        <v>A+++</v>
      </c>
      <c r="T48">
        <v>6</v>
      </c>
      <c r="U48">
        <v>5</v>
      </c>
      <c r="V48" t="str">
        <v>Grondgebonden</v>
      </c>
      <c r="W48" t="str">
        <v>2-onder-1-kapwoning</v>
      </c>
      <c r="X48" t="str">
        <v>N.v.t.</v>
      </c>
      <c r="Y48" t="str">
        <v>Ja</v>
      </c>
      <c r="Z48" t="str">
        <v>eigen parkeerplaats</v>
      </c>
      <c r="AA48" t="str">
        <v>2026</v>
      </c>
      <c r="AB48" t="str">
        <v>Nee</v>
      </c>
      <c r="AC48" t="str">
        <v>NEE</v>
      </c>
      <c r="AD48" t="str">
        <v>JA</v>
      </c>
    </row>
    <row r="49">
      <c r="A49" t="str">
        <v>44429828</v>
      </c>
      <c r="B49" t="str">
        <v>https://www.funda.nl/detail/koop/maassluis/huis-twee-onder-een-kapwoning-type-3-bouwnr-52/44429828/</v>
      </c>
      <c r="C49" t="str">
        <v>De Oevers - Wilgenrijk | IN VERKOOP</v>
      </c>
      <c r="D49" t="str">
        <v>Twee-onder-een-kapwoning type 3</v>
      </c>
      <c r="E49" t="str">
        <v>52</v>
      </c>
      <c r="F49" t="str">
        <v>3147 NA</v>
      </c>
      <c r="G49" t="str">
        <v>Maassluis</v>
      </c>
      <c r="H49" t="str">
        <v>Maassluis</v>
      </c>
      <c r="I49" t="str">
        <v>Zuid-Holland</v>
      </c>
      <c r="J49" t="str">
        <v>West-Nederland</v>
      </c>
      <c r="K49" t="str">
        <v>Te koop</v>
      </c>
      <c r="L49" t="str">
        <v>Onbekend</v>
      </c>
      <c r="M49" t="str">
        <v>Onbekend</v>
      </c>
      <c r="N49">
        <v>930000</v>
      </c>
      <c r="O49" t="str">
        <v>v.o.n.</v>
      </c>
      <c r="P49">
        <v>170</v>
      </c>
      <c r="Q49">
        <v>5471</v>
      </c>
      <c r="R49">
        <v>569</v>
      </c>
      <c r="S49" t="str">
        <v>A+++</v>
      </c>
      <c r="T49">
        <v>6</v>
      </c>
      <c r="U49">
        <v>5</v>
      </c>
      <c r="V49" t="str">
        <v>Grondgebonden</v>
      </c>
      <c r="W49" t="str">
        <v>2-onder-1-kapwoning</v>
      </c>
      <c r="X49" t="str">
        <v>N.v.t.</v>
      </c>
      <c r="Y49" t="str">
        <v>Ja</v>
      </c>
      <c r="Z49" t="str">
        <v>eigen parkeerplaats</v>
      </c>
      <c r="AA49" t="str">
        <v>2026</v>
      </c>
      <c r="AB49" t="str">
        <v>Nee</v>
      </c>
      <c r="AC49" t="str">
        <v>NEE</v>
      </c>
      <c r="AD49" t="str">
        <v>JA</v>
      </c>
    </row>
    <row r="50">
      <c r="A50" t="str">
        <v>44429825</v>
      </c>
      <c r="B50" t="str">
        <v>https://www.funda.nl/detail/koop/maassluis/huis-twee-onder-een-kapwoning-type-2-bouwnr-50/44429825/</v>
      </c>
      <c r="C50" t="str">
        <v>De Oevers - Wilgenrijk | IN VERKOOP</v>
      </c>
      <c r="D50" t="str">
        <v>Twee-onder-een-kapwoning type 2</v>
      </c>
      <c r="E50" t="str">
        <v>50</v>
      </c>
      <c r="F50" t="str">
        <v>3147 NA</v>
      </c>
      <c r="G50" t="str">
        <v>Maassluis</v>
      </c>
      <c r="H50" t="str">
        <v>Maassluis</v>
      </c>
      <c r="I50" t="str">
        <v>Zuid-Holland</v>
      </c>
      <c r="J50" t="str">
        <v>West-Nederland</v>
      </c>
      <c r="K50" t="str">
        <v>Te koop</v>
      </c>
      <c r="L50" t="str">
        <v>2026-07-06</v>
      </c>
      <c r="M50">
        <v>7</v>
      </c>
      <c r="N50">
        <v>899500</v>
      </c>
      <c r="O50" t="str">
        <v>v.o.n.</v>
      </c>
      <c r="P50">
        <v>181</v>
      </c>
      <c r="Q50">
        <v>4970</v>
      </c>
      <c r="R50">
        <v>395</v>
      </c>
      <c r="S50" t="str">
        <v>A+++</v>
      </c>
      <c r="T50">
        <v>6</v>
      </c>
      <c r="U50">
        <v>5</v>
      </c>
      <c r="V50" t="str">
        <v>Grondgebonden</v>
      </c>
      <c r="W50" t="str">
        <v>2-onder-1-kapwoning</v>
      </c>
      <c r="X50" t="str">
        <v>N.v.t.</v>
      </c>
      <c r="Y50" t="str">
        <v>Ja</v>
      </c>
      <c r="Z50" t="str">
        <v>eigen parkeerplaats</v>
      </c>
      <c r="AA50" t="str">
        <v>2026</v>
      </c>
      <c r="AB50" t="str">
        <v>Nee</v>
      </c>
      <c r="AC50" t="str">
        <v>NEE</v>
      </c>
      <c r="AD50" t="str">
        <v>JA</v>
      </c>
    </row>
    <row r="51">
      <c r="A51" t="str">
        <v>44429824</v>
      </c>
      <c r="B51" t="str">
        <v>https://www.funda.nl/detail/koop/maassluis/huis-twee-onder-een-kapwoning-type-2-bouwnr-51/44429824/</v>
      </c>
      <c r="C51" t="str">
        <v>De Oevers - Wilgenrijk | IN VERKOOP</v>
      </c>
      <c r="D51" t="str">
        <v>Twee-onder-een-kapwoning type 2</v>
      </c>
      <c r="E51" t="str">
        <v>51</v>
      </c>
      <c r="F51" t="str">
        <v>3147 NA</v>
      </c>
      <c r="G51" t="str">
        <v>Maassluis</v>
      </c>
      <c r="H51" t="str">
        <v>Maassluis</v>
      </c>
      <c r="I51" t="str">
        <v>Zuid-Holland</v>
      </c>
      <c r="J51" t="str">
        <v>West-Nederland</v>
      </c>
      <c r="K51" t="str">
        <v>Te koop</v>
      </c>
      <c r="L51" t="str">
        <v>Onbekend</v>
      </c>
      <c r="M51" t="str">
        <v>Onbekend</v>
      </c>
      <c r="N51">
        <v>910000</v>
      </c>
      <c r="O51" t="str">
        <v>v.o.n.</v>
      </c>
      <c r="P51">
        <v>179</v>
      </c>
      <c r="Q51">
        <v>5084</v>
      </c>
      <c r="R51">
        <v>474</v>
      </c>
      <c r="S51" t="str">
        <v>A+++</v>
      </c>
      <c r="T51">
        <v>6</v>
      </c>
      <c r="U51">
        <v>5</v>
      </c>
      <c r="V51" t="str">
        <v>Grondgebonden</v>
      </c>
      <c r="W51" t="str">
        <v>2-onder-1-kapwoning</v>
      </c>
      <c r="X51" t="str">
        <v>N.v.t.</v>
      </c>
      <c r="Y51" t="str">
        <v>Ja</v>
      </c>
      <c r="Z51" t="str">
        <v>eigen parkeerplaats</v>
      </c>
      <c r="AA51" t="str">
        <v>2026</v>
      </c>
      <c r="AB51" t="str">
        <v>Nee</v>
      </c>
      <c r="AC51" t="str">
        <v>NEE</v>
      </c>
      <c r="AD51" t="str">
        <v>JA</v>
      </c>
    </row>
    <row r="52">
      <c r="A52" t="str">
        <v>44429823</v>
      </c>
      <c r="B52" t="str">
        <v>https://www.funda.nl/detail/koop/maassluis/huis-hoekwoning-type-2-bouwnr-40/44429823/</v>
      </c>
      <c r="C52" t="str">
        <v>De Oevers - Wilgenrijk | IN VERKOOP</v>
      </c>
      <c r="D52" t="str">
        <v>Hoekwoning type 2</v>
      </c>
      <c r="E52" t="str">
        <v>40</v>
      </c>
      <c r="F52" t="str">
        <v>3147 NA</v>
      </c>
      <c r="G52" t="str">
        <v>Maassluis</v>
      </c>
      <c r="H52" t="str">
        <v>Maassluis</v>
      </c>
      <c r="I52" t="str">
        <v>Zuid-Holland</v>
      </c>
      <c r="J52" t="str">
        <v>West-Nederland</v>
      </c>
      <c r="K52" t="str">
        <v>Te koop</v>
      </c>
      <c r="L52" t="str">
        <v>Onbekend</v>
      </c>
      <c r="M52" t="str">
        <v>Onbekend</v>
      </c>
      <c r="N52">
        <v>715000</v>
      </c>
      <c r="O52" t="str">
        <v>v.o.n.</v>
      </c>
      <c r="P52">
        <v>159</v>
      </c>
      <c r="Q52">
        <v>4497</v>
      </c>
      <c r="R52">
        <v>242</v>
      </c>
      <c r="S52" t="str">
        <v>A+++</v>
      </c>
      <c r="T52">
        <v>6</v>
      </c>
      <c r="U52">
        <v>5</v>
      </c>
      <c r="V52" t="str">
        <v>Grondgebonden</v>
      </c>
      <c r="W52" t="str">
        <v>Hoekwoning</v>
      </c>
      <c r="X52" t="str">
        <v>N.v.t.</v>
      </c>
      <c r="Y52" t="str">
        <v>Ja</v>
      </c>
      <c r="Z52" t="str">
        <v>eigen parkeerplaats</v>
      </c>
      <c r="AA52" t="str">
        <v>2026</v>
      </c>
      <c r="AB52" t="str">
        <v>Nee</v>
      </c>
      <c r="AC52" t="str">
        <v>NEE</v>
      </c>
      <c r="AD52" t="str">
        <v>JA</v>
      </c>
    </row>
    <row r="53">
      <c r="A53" t="str">
        <v>44429812</v>
      </c>
      <c r="B53" t="str">
        <v>https://www.funda.nl/detail/koop/maassluis/huis-hoekwoning-type-2-bouwnr-35/44429812/</v>
      </c>
      <c r="C53" t="str">
        <v>De Oevers - Wilgenrijk | IN VERKOOP</v>
      </c>
      <c r="D53" t="str">
        <v>Hoekwoning type 2</v>
      </c>
      <c r="E53" t="str">
        <v>35</v>
      </c>
      <c r="F53" t="str">
        <v>3147 NA</v>
      </c>
      <c r="G53" t="str">
        <v>Maassluis</v>
      </c>
      <c r="H53" t="str">
        <v>Maassluis</v>
      </c>
      <c r="I53" t="str">
        <v>Zuid-Holland</v>
      </c>
      <c r="J53" t="str">
        <v>West-Nederland</v>
      </c>
      <c r="K53" t="str">
        <v>Te koop</v>
      </c>
      <c r="L53" t="str">
        <v>Onbekend</v>
      </c>
      <c r="M53" t="str">
        <v>Onbekend</v>
      </c>
      <c r="N53">
        <v>740000</v>
      </c>
      <c r="O53" t="str">
        <v>v.o.n.</v>
      </c>
      <c r="P53">
        <v>164</v>
      </c>
      <c r="Q53">
        <v>4512</v>
      </c>
      <c r="R53">
        <v>264</v>
      </c>
      <c r="S53" t="str">
        <v>A+++</v>
      </c>
      <c r="T53">
        <v>6</v>
      </c>
      <c r="U53">
        <v>5</v>
      </c>
      <c r="V53" t="str">
        <v>Grondgebonden</v>
      </c>
      <c r="W53" t="str">
        <v>Hoekwoning</v>
      </c>
      <c r="X53" t="str">
        <v>N.v.t.</v>
      </c>
      <c r="Y53" t="str">
        <v>Ja</v>
      </c>
      <c r="Z53" t="str">
        <v>eigen parkeerplaats</v>
      </c>
      <c r="AA53" t="str">
        <v>2026</v>
      </c>
      <c r="AB53" t="str">
        <v>Nee</v>
      </c>
      <c r="AC53" t="str">
        <v>NEE</v>
      </c>
      <c r="AD53" t="str">
        <v>JA</v>
      </c>
    </row>
    <row r="54">
      <c r="A54" t="str">
        <v>44429811</v>
      </c>
      <c r="B54" t="str">
        <v>https://www.funda.nl/detail/koop/maassluis/huis-hoekwoning-type-2-bouwnr-19/44429811/</v>
      </c>
      <c r="C54" t="str">
        <v>De Oevers - Wilgenrijk | IN VERKOOP</v>
      </c>
      <c r="D54" t="str">
        <v>Hoekwoning type 2</v>
      </c>
      <c r="E54" t="str">
        <v>19</v>
      </c>
      <c r="F54" t="str">
        <v>3147 NA</v>
      </c>
      <c r="G54" t="str">
        <v>Maassluis</v>
      </c>
      <c r="H54" t="str">
        <v>Maassluis</v>
      </c>
      <c r="I54" t="str">
        <v>Zuid-Holland</v>
      </c>
      <c r="J54" t="str">
        <v>West-Nederland</v>
      </c>
      <c r="K54" t="str">
        <v>Te koop</v>
      </c>
      <c r="L54" t="str">
        <v>Onbekend</v>
      </c>
      <c r="M54" t="str">
        <v>Onbekend</v>
      </c>
      <c r="N54">
        <v>750000</v>
      </c>
      <c r="O54" t="str">
        <v>v.o.n.</v>
      </c>
      <c r="P54">
        <v>160</v>
      </c>
      <c r="Q54">
        <v>4688</v>
      </c>
      <c r="R54">
        <v>351</v>
      </c>
      <c r="S54" t="str">
        <v>A+++</v>
      </c>
      <c r="T54">
        <v>6</v>
      </c>
      <c r="U54">
        <v>5</v>
      </c>
      <c r="V54" t="str">
        <v>Grondgebonden</v>
      </c>
      <c r="W54" t="str">
        <v>Hoekwoning</v>
      </c>
      <c r="X54" t="str">
        <v>N.v.t.</v>
      </c>
      <c r="Y54" t="str">
        <v>Ja</v>
      </c>
      <c r="Z54" t="str">
        <v>eigen parkeerplaats</v>
      </c>
      <c r="AA54" t="str">
        <v>2026</v>
      </c>
      <c r="AB54" t="str">
        <v>Nee</v>
      </c>
      <c r="AC54" t="str">
        <v>NEE</v>
      </c>
      <c r="AD54" t="str">
        <v>JA</v>
      </c>
    </row>
    <row r="55">
      <c r="A55" t="str">
        <v>44429810</v>
      </c>
      <c r="B55" t="str">
        <v>https://www.funda.nl/detail/koop/maassluis/huis-hoekwoning-type-2-bouwnr-30/44429810/</v>
      </c>
      <c r="C55" t="str">
        <v>De Oevers - Wilgenrijk | IN VERKOOP</v>
      </c>
      <c r="D55" t="str">
        <v>Hoekwoning type 2</v>
      </c>
      <c r="E55" t="str">
        <v>30</v>
      </c>
      <c r="F55" t="str">
        <v>3147 NA</v>
      </c>
      <c r="G55" t="str">
        <v>Maassluis</v>
      </c>
      <c r="H55" t="str">
        <v>Maassluis</v>
      </c>
      <c r="I55" t="str">
        <v>Zuid-Holland</v>
      </c>
      <c r="J55" t="str">
        <v>West-Nederland</v>
      </c>
      <c r="K55" t="str">
        <v>Te koop</v>
      </c>
      <c r="L55" t="str">
        <v>Onbekend</v>
      </c>
      <c r="M55" t="str">
        <v>Onbekend</v>
      </c>
      <c r="N55">
        <v>735000</v>
      </c>
      <c r="O55" t="str">
        <v>v.o.n.</v>
      </c>
      <c r="P55">
        <v>163</v>
      </c>
      <c r="Q55">
        <v>4509</v>
      </c>
      <c r="R55">
        <v>280</v>
      </c>
      <c r="S55" t="str">
        <v>A+++</v>
      </c>
      <c r="T55">
        <v>6</v>
      </c>
      <c r="U55">
        <v>5</v>
      </c>
      <c r="V55" t="str">
        <v>Grondgebonden</v>
      </c>
      <c r="W55" t="str">
        <v>Hoekwoning</v>
      </c>
      <c r="X55" t="str">
        <v>N.v.t.</v>
      </c>
      <c r="Y55" t="str">
        <v>Ja</v>
      </c>
      <c r="Z55" t="str">
        <v>eigen parkeerplaats</v>
      </c>
      <c r="AA55" t="str">
        <v>2026</v>
      </c>
      <c r="AB55" t="str">
        <v>Nee</v>
      </c>
      <c r="AC55" t="str">
        <v>NEE</v>
      </c>
      <c r="AD55" t="str">
        <v>JA</v>
      </c>
    </row>
    <row r="56">
      <c r="A56" t="str">
        <v>44429819</v>
      </c>
      <c r="B56" t="str">
        <v>https://www.funda.nl/detail/koop/maassluis/huis-hoekwoning-type-2-bouwnr-20/44429819/</v>
      </c>
      <c r="C56" t="str">
        <v>De Oevers - Wilgenrijk | IN VERKOOP</v>
      </c>
      <c r="D56" t="str">
        <v>Hoekwoning type 2</v>
      </c>
      <c r="E56" t="str">
        <v>20</v>
      </c>
      <c r="F56" t="str">
        <v>3147 NA</v>
      </c>
      <c r="G56" t="str">
        <v>Maassluis</v>
      </c>
      <c r="H56" t="str">
        <v>Maassluis</v>
      </c>
      <c r="I56" t="str">
        <v>Zuid-Holland</v>
      </c>
      <c r="J56" t="str">
        <v>West-Nederland</v>
      </c>
      <c r="K56" t="str">
        <v>Te koop</v>
      </c>
      <c r="L56" t="str">
        <v>Onbekend</v>
      </c>
      <c r="M56" t="str">
        <v>Onbekend</v>
      </c>
      <c r="N56">
        <v>740000</v>
      </c>
      <c r="O56" t="str">
        <v>v.o.n.</v>
      </c>
      <c r="P56">
        <v>164</v>
      </c>
      <c r="Q56">
        <v>4512</v>
      </c>
      <c r="R56">
        <v>324</v>
      </c>
      <c r="S56" t="str">
        <v>A+++</v>
      </c>
      <c r="T56">
        <v>6</v>
      </c>
      <c r="U56">
        <v>5</v>
      </c>
      <c r="V56" t="str">
        <v>Grondgebonden</v>
      </c>
      <c r="W56" t="str">
        <v>Hoekwoning</v>
      </c>
      <c r="X56" t="str">
        <v>N.v.t.</v>
      </c>
      <c r="Y56" t="str">
        <v>Ja</v>
      </c>
      <c r="Z56" t="str">
        <v>eigen parkeerplaats</v>
      </c>
      <c r="AA56" t="str">
        <v>2026</v>
      </c>
      <c r="AB56" t="str">
        <v>Nee</v>
      </c>
      <c r="AC56" t="str">
        <v>NEE</v>
      </c>
      <c r="AD56" t="str">
        <v>JA</v>
      </c>
    </row>
    <row r="57">
      <c r="A57" t="str">
        <v>44429817</v>
      </c>
      <c r="B57" t="str">
        <v>https://www.funda.nl/detail/koop/maassluis/huis-hoekwoning-type-2-bouwnr-15/44429817/</v>
      </c>
      <c r="C57" t="str">
        <v>De Oevers - Wilgenrijk | IN VERKOOP</v>
      </c>
      <c r="D57" t="str">
        <v>Hoekwoning type 2</v>
      </c>
      <c r="E57" t="str">
        <v>15</v>
      </c>
      <c r="F57" t="str">
        <v>3147 NA</v>
      </c>
      <c r="G57" t="str">
        <v>Maassluis</v>
      </c>
      <c r="H57" t="str">
        <v>Maassluis</v>
      </c>
      <c r="I57" t="str">
        <v>Zuid-Holland</v>
      </c>
      <c r="J57" t="str">
        <v>West-Nederland</v>
      </c>
      <c r="K57" t="str">
        <v>Te koop</v>
      </c>
      <c r="L57" t="str">
        <v>Onbekend</v>
      </c>
      <c r="M57" t="str">
        <v>Onbekend</v>
      </c>
      <c r="N57">
        <v>725000</v>
      </c>
      <c r="O57" t="str">
        <v>v.o.n.</v>
      </c>
      <c r="P57">
        <v>154</v>
      </c>
      <c r="Q57">
        <v>4708</v>
      </c>
      <c r="R57">
        <v>225</v>
      </c>
      <c r="S57" t="str">
        <v>A+++</v>
      </c>
      <c r="T57">
        <v>6</v>
      </c>
      <c r="U57">
        <v>5</v>
      </c>
      <c r="V57" t="str">
        <v>Grondgebonden</v>
      </c>
      <c r="W57" t="str">
        <v>Hoekwoning</v>
      </c>
      <c r="X57" t="str">
        <v>N.v.t.</v>
      </c>
      <c r="Y57" t="str">
        <v>Ja</v>
      </c>
      <c r="Z57" t="str">
        <v>eigen parkeerplaats</v>
      </c>
      <c r="AA57" t="str">
        <v>2026</v>
      </c>
      <c r="AB57" t="str">
        <v>Nee</v>
      </c>
      <c r="AC57" t="str">
        <v>NEE</v>
      </c>
      <c r="AD57" t="str">
        <v>JA</v>
      </c>
    </row>
    <row r="58">
      <c r="A58" t="str">
        <v>44429816</v>
      </c>
      <c r="B58" t="str">
        <v>https://www.funda.nl/detail/koop/maassluis/huis-hoekwoning-type-2-bouwnr-29/44429816/</v>
      </c>
      <c r="C58" t="str">
        <v>De Oevers - Wilgenrijk | IN VERKOOP</v>
      </c>
      <c r="D58" t="str">
        <v>Hoekwoning type 2</v>
      </c>
      <c r="E58" t="str">
        <v>29</v>
      </c>
      <c r="F58" t="str">
        <v>3147 NA</v>
      </c>
      <c r="G58" t="str">
        <v>Maassluis</v>
      </c>
      <c r="H58" t="str">
        <v>Maassluis</v>
      </c>
      <c r="I58" t="str">
        <v>Zuid-Holland</v>
      </c>
      <c r="J58" t="str">
        <v>West-Nederland</v>
      </c>
      <c r="K58" t="str">
        <v>Te koop</v>
      </c>
      <c r="L58" t="str">
        <v>Onbekend</v>
      </c>
      <c r="M58" t="str">
        <v>Onbekend</v>
      </c>
      <c r="N58">
        <v>745000</v>
      </c>
      <c r="O58" t="str">
        <v>v.o.n.</v>
      </c>
      <c r="P58">
        <v>164</v>
      </c>
      <c r="Q58">
        <v>4543</v>
      </c>
      <c r="R58">
        <v>351</v>
      </c>
      <c r="S58" t="str">
        <v>A+++</v>
      </c>
      <c r="T58">
        <v>6</v>
      </c>
      <c r="U58">
        <v>5</v>
      </c>
      <c r="V58" t="str">
        <v>Grondgebonden</v>
      </c>
      <c r="W58" t="str">
        <v>Hoekwoning</v>
      </c>
      <c r="X58" t="str">
        <v>N.v.t.</v>
      </c>
      <c r="Y58" t="str">
        <v>Ja</v>
      </c>
      <c r="Z58" t="str">
        <v>eigen parkeerplaats</v>
      </c>
      <c r="AA58" t="str">
        <v>2026</v>
      </c>
      <c r="AB58" t="str">
        <v>Nee</v>
      </c>
      <c r="AC58" t="str">
        <v>NEE</v>
      </c>
      <c r="AD58" t="str">
        <v>JA</v>
      </c>
    </row>
    <row r="59">
      <c r="A59" t="str">
        <v>44429815</v>
      </c>
      <c r="B59" t="str">
        <v>https://www.funda.nl/detail/koop/maassluis/huis-hoekwoning-type-2-bouwnr-37/44429815/</v>
      </c>
      <c r="C59" t="str">
        <v>De Oevers - Wilgenrijk | IN VERKOOP</v>
      </c>
      <c r="D59" t="str">
        <v>Hoekwoning type 2</v>
      </c>
      <c r="E59" t="str">
        <v>37</v>
      </c>
      <c r="F59" t="str">
        <v>3147 NA</v>
      </c>
      <c r="G59" t="str">
        <v>Maassluis</v>
      </c>
      <c r="H59" t="str">
        <v>Maassluis</v>
      </c>
      <c r="I59" t="str">
        <v>Zuid-Holland</v>
      </c>
      <c r="J59" t="str">
        <v>West-Nederland</v>
      </c>
      <c r="K59" t="str">
        <v>Te koop</v>
      </c>
      <c r="L59" t="str">
        <v>Onbekend</v>
      </c>
      <c r="M59" t="str">
        <v>Onbekend</v>
      </c>
      <c r="N59">
        <v>750000</v>
      </c>
      <c r="O59" t="str">
        <v>v.o.n.</v>
      </c>
      <c r="P59">
        <v>166</v>
      </c>
      <c r="Q59">
        <v>4518</v>
      </c>
      <c r="R59">
        <v>308</v>
      </c>
      <c r="S59" t="str">
        <v>A+++</v>
      </c>
      <c r="T59">
        <v>6</v>
      </c>
      <c r="U59">
        <v>5</v>
      </c>
      <c r="V59" t="str">
        <v>Grondgebonden</v>
      </c>
      <c r="W59" t="str">
        <v>Hoekwoning</v>
      </c>
      <c r="X59" t="str">
        <v>N.v.t.</v>
      </c>
      <c r="Y59" t="str">
        <v>Ja</v>
      </c>
      <c r="Z59" t="str">
        <v>eigen parkeerplaats</v>
      </c>
      <c r="AA59" t="str">
        <v>2026</v>
      </c>
      <c r="AB59" t="str">
        <v>Nee</v>
      </c>
      <c r="AC59" t="str">
        <v>NEE</v>
      </c>
      <c r="AD59" t="str">
        <v>JA</v>
      </c>
    </row>
    <row r="60">
      <c r="A60" t="str">
        <v>44429813</v>
      </c>
      <c r="B60" t="str">
        <v>https://www.funda.nl/detail/koop/maassluis/huis-hoekwoning-type-2-bouwnr-12/44429813/</v>
      </c>
      <c r="C60" t="str">
        <v>De Oevers - Wilgenrijk | IN VERKOOP</v>
      </c>
      <c r="D60" t="str">
        <v>Hoekwoning type 2</v>
      </c>
      <c r="E60" t="str">
        <v>12</v>
      </c>
      <c r="F60" t="str">
        <v>3147 NA</v>
      </c>
      <c r="G60" t="str">
        <v>Maassluis</v>
      </c>
      <c r="H60" t="str">
        <v>Maassluis</v>
      </c>
      <c r="I60" t="str">
        <v>Zuid-Holland</v>
      </c>
      <c r="J60" t="str">
        <v>West-Nederland</v>
      </c>
      <c r="K60" t="str">
        <v>Te koop</v>
      </c>
      <c r="L60" t="str">
        <v>Onbekend</v>
      </c>
      <c r="M60" t="str">
        <v>Onbekend</v>
      </c>
      <c r="N60">
        <v>740000</v>
      </c>
      <c r="O60" t="str">
        <v>v.o.n.</v>
      </c>
      <c r="P60">
        <v>166</v>
      </c>
      <c r="Q60">
        <v>4458</v>
      </c>
      <c r="R60">
        <v>269</v>
      </c>
      <c r="S60" t="str">
        <v>A+++</v>
      </c>
      <c r="T60">
        <v>6</v>
      </c>
      <c r="U60">
        <v>5</v>
      </c>
      <c r="V60" t="str">
        <v>Grondgebonden</v>
      </c>
      <c r="W60" t="str">
        <v>Hoekwoning</v>
      </c>
      <c r="X60" t="str">
        <v>N.v.t.</v>
      </c>
      <c r="Y60" t="str">
        <v>Ja</v>
      </c>
      <c r="Z60" t="str">
        <v>eigen parkeerplaats</v>
      </c>
      <c r="AA60" t="str">
        <v>2026</v>
      </c>
      <c r="AB60" t="str">
        <v>Nee</v>
      </c>
      <c r="AC60" t="str">
        <v>NEE</v>
      </c>
      <c r="AD60" t="str">
        <v>JA</v>
      </c>
    </row>
    <row r="61">
      <c r="A61" t="str">
        <v>44429802</v>
      </c>
      <c r="B61" t="str">
        <v>https://www.funda.nl/detail/koop/maassluis/huis-hoekwoning-type-2-bouwnr-14/44429802/</v>
      </c>
      <c r="C61" t="str">
        <v>De Oevers - Wilgenrijk | IN VERKOOP</v>
      </c>
      <c r="D61" t="str">
        <v>Hoekwoning type 2</v>
      </c>
      <c r="E61" t="str">
        <v>14</v>
      </c>
      <c r="F61" t="str">
        <v>3147 NA</v>
      </c>
      <c r="G61" t="str">
        <v>Maassluis</v>
      </c>
      <c r="H61" t="str">
        <v>Maassluis</v>
      </c>
      <c r="I61" t="str">
        <v>Zuid-Holland</v>
      </c>
      <c r="J61" t="str">
        <v>West-Nederland</v>
      </c>
      <c r="K61" t="str">
        <v>Te koop</v>
      </c>
      <c r="L61" t="str">
        <v>Onbekend</v>
      </c>
      <c r="M61" t="str">
        <v>Onbekend</v>
      </c>
      <c r="N61">
        <v>755000</v>
      </c>
      <c r="O61" t="str">
        <v>v.o.n.</v>
      </c>
      <c r="P61">
        <v>164</v>
      </c>
      <c r="Q61">
        <v>4604</v>
      </c>
      <c r="R61">
        <v>324</v>
      </c>
      <c r="S61" t="str">
        <v>A+++</v>
      </c>
      <c r="T61">
        <v>6</v>
      </c>
      <c r="U61">
        <v>5</v>
      </c>
      <c r="V61" t="str">
        <v>Grondgebonden</v>
      </c>
      <c r="W61" t="str">
        <v>Hoekwoning</v>
      </c>
      <c r="X61" t="str">
        <v>N.v.t.</v>
      </c>
      <c r="Y61" t="str">
        <v>Ja</v>
      </c>
      <c r="Z61" t="str">
        <v>eigen parkeerplaats</v>
      </c>
      <c r="AA61" t="str">
        <v>2026</v>
      </c>
      <c r="AB61" t="str">
        <v>Nee</v>
      </c>
      <c r="AC61" t="str">
        <v>NEE</v>
      </c>
      <c r="AD61" t="str">
        <v>JA</v>
      </c>
    </row>
    <row r="62">
      <c r="A62" t="str">
        <v>44429801</v>
      </c>
      <c r="B62" t="str">
        <v>https://www.funda.nl/detail/koop/maassluis/huis-hoekwoning-type-2-bouwnr-11/44429801/</v>
      </c>
      <c r="C62" t="str">
        <v>De Oevers - Wilgenrijk | IN VERKOOP</v>
      </c>
      <c r="D62" t="str">
        <v>Hoekwoning type 2</v>
      </c>
      <c r="E62" t="str">
        <v>11</v>
      </c>
      <c r="F62" t="str">
        <v>3147 NA</v>
      </c>
      <c r="G62" t="str">
        <v>Maassluis</v>
      </c>
      <c r="H62" t="str">
        <v>Maassluis</v>
      </c>
      <c r="I62" t="str">
        <v>Zuid-Holland</v>
      </c>
      <c r="J62" t="str">
        <v>West-Nederland</v>
      </c>
      <c r="K62" t="str">
        <v>Te koop</v>
      </c>
      <c r="L62" t="str">
        <v>Onbekend</v>
      </c>
      <c r="M62" t="str">
        <v>Onbekend</v>
      </c>
      <c r="N62">
        <v>755000</v>
      </c>
      <c r="O62" t="str">
        <v>v.o.n.</v>
      </c>
      <c r="P62">
        <v>164</v>
      </c>
      <c r="Q62">
        <v>4604</v>
      </c>
      <c r="R62">
        <v>331</v>
      </c>
      <c r="S62" t="str">
        <v>A+++</v>
      </c>
      <c r="T62">
        <v>6</v>
      </c>
      <c r="U62">
        <v>5</v>
      </c>
      <c r="V62" t="str">
        <v>Grondgebonden</v>
      </c>
      <c r="W62" t="str">
        <v>Hoekwoning</v>
      </c>
      <c r="X62" t="str">
        <v>N.v.t.</v>
      </c>
      <c r="Y62" t="str">
        <v>Ja</v>
      </c>
      <c r="Z62" t="str">
        <v>eigen parkeerplaats</v>
      </c>
      <c r="AA62" t="str">
        <v>2026</v>
      </c>
      <c r="AB62" t="str">
        <v>Nee</v>
      </c>
      <c r="AC62" t="str">
        <v>NEE</v>
      </c>
      <c r="AD62" t="str">
        <v>JA</v>
      </c>
    </row>
    <row r="63">
      <c r="A63" t="str">
        <v>44429800</v>
      </c>
      <c r="B63" t="str">
        <v>https://www.funda.nl/detail/koop/maassluis/huis-hoekwoning-type-2-bouwnr-3/44429800/</v>
      </c>
      <c r="C63" t="str">
        <v>De Oevers - Wilgenrijk | IN VERKOOP</v>
      </c>
      <c r="D63" t="str">
        <v>Hoekwoning type 2</v>
      </c>
      <c r="E63" t="str">
        <v>3</v>
      </c>
      <c r="F63" t="str">
        <v>3147 NA</v>
      </c>
      <c r="G63" t="str">
        <v>Maassluis</v>
      </c>
      <c r="H63" t="str">
        <v>Maassluis</v>
      </c>
      <c r="I63" t="str">
        <v>Zuid-Holland</v>
      </c>
      <c r="J63" t="str">
        <v>West-Nederland</v>
      </c>
      <c r="K63" t="str">
        <v>Te koop</v>
      </c>
      <c r="L63" t="str">
        <v>Onbekend</v>
      </c>
      <c r="M63" t="str">
        <v>Onbekend</v>
      </c>
      <c r="N63">
        <v>750000</v>
      </c>
      <c r="O63" t="str">
        <v>v.o.n.</v>
      </c>
      <c r="P63">
        <v>164</v>
      </c>
      <c r="Q63">
        <v>4573</v>
      </c>
      <c r="R63">
        <v>330</v>
      </c>
      <c r="S63" t="str">
        <v>A+++</v>
      </c>
      <c r="T63">
        <v>6</v>
      </c>
      <c r="U63">
        <v>5</v>
      </c>
      <c r="V63" t="str">
        <v>Grondgebonden</v>
      </c>
      <c r="W63" t="str">
        <v>Hoekwoning</v>
      </c>
      <c r="X63" t="str">
        <v>N.v.t.</v>
      </c>
      <c r="Y63" t="str">
        <v>Ja</v>
      </c>
      <c r="Z63" t="str">
        <v>eigen parkeerplaats</v>
      </c>
      <c r="AA63" t="str">
        <v>2026</v>
      </c>
      <c r="AB63" t="str">
        <v>Nee</v>
      </c>
      <c r="AC63" t="str">
        <v>NEE</v>
      </c>
      <c r="AD63" t="str">
        <v>JA</v>
      </c>
    </row>
    <row r="64">
      <c r="A64" t="str">
        <v>44429809</v>
      </c>
      <c r="B64" t="str">
        <v>https://www.funda.nl/detail/koop/maassluis/huis-hoekwoning-type-2-bouwnr-4/44429809/</v>
      </c>
      <c r="C64" t="str">
        <v>De Oevers - Wilgenrijk | IN VERKOOP</v>
      </c>
      <c r="D64" t="str">
        <v>Hoekwoning type 2</v>
      </c>
      <c r="E64" t="str">
        <v>4</v>
      </c>
      <c r="F64" t="str">
        <v>3147 NA</v>
      </c>
      <c r="G64" t="str">
        <v>Maassluis</v>
      </c>
      <c r="H64" t="str">
        <v>Maassluis</v>
      </c>
      <c r="I64" t="str">
        <v>Zuid-Holland</v>
      </c>
      <c r="J64" t="str">
        <v>West-Nederland</v>
      </c>
      <c r="K64" t="str">
        <v>Te koop</v>
      </c>
      <c r="L64" t="str">
        <v>Onbekend</v>
      </c>
      <c r="M64" t="str">
        <v>Onbekend</v>
      </c>
      <c r="N64">
        <v>740000</v>
      </c>
      <c r="O64" t="str">
        <v>v.o.n.</v>
      </c>
      <c r="P64">
        <v>164</v>
      </c>
      <c r="Q64">
        <v>4512</v>
      </c>
      <c r="R64">
        <v>278</v>
      </c>
      <c r="S64" t="str">
        <v>A+++</v>
      </c>
      <c r="T64">
        <v>6</v>
      </c>
      <c r="U64">
        <v>5</v>
      </c>
      <c r="V64" t="str">
        <v>Grondgebonden</v>
      </c>
      <c r="W64" t="str">
        <v>Hoekwoning</v>
      </c>
      <c r="X64" t="str">
        <v>N.v.t.</v>
      </c>
      <c r="Y64" t="str">
        <v>Ja</v>
      </c>
      <c r="Z64" t="str">
        <v>eigen parkeerplaats</v>
      </c>
      <c r="AA64" t="str">
        <v>2026</v>
      </c>
      <c r="AB64" t="str">
        <v>Nee</v>
      </c>
      <c r="AC64" t="str">
        <v>NEE</v>
      </c>
      <c r="AD64" t="str">
        <v>JA</v>
      </c>
    </row>
    <row r="65">
      <c r="A65" t="str">
        <v>44429804</v>
      </c>
      <c r="B65" t="str">
        <v>https://www.funda.nl/detail/koop/maassluis/huis-tussenwoning-bouwnr-32/44429804/</v>
      </c>
      <c r="C65" t="str">
        <v>De Oevers - Wilgenrijk | IN VERKOOP</v>
      </c>
      <c r="D65" t="str">
        <v>Tussenwoning</v>
      </c>
      <c r="E65" t="str">
        <v>32</v>
      </c>
      <c r="F65" t="str">
        <v>3147 NA</v>
      </c>
      <c r="G65" t="str">
        <v>Maassluis</v>
      </c>
      <c r="H65" t="str">
        <v>Maassluis</v>
      </c>
      <c r="I65" t="str">
        <v>Zuid-Holland</v>
      </c>
      <c r="J65" t="str">
        <v>West-Nederland</v>
      </c>
      <c r="K65" t="str">
        <v>Te koop</v>
      </c>
      <c r="L65" t="str">
        <v>2026-07-06</v>
      </c>
      <c r="M65">
        <v>7</v>
      </c>
      <c r="N65">
        <v>592500</v>
      </c>
      <c r="O65" t="str">
        <v>v.o.n.</v>
      </c>
      <c r="P65">
        <v>129</v>
      </c>
      <c r="Q65">
        <v>4593</v>
      </c>
      <c r="R65">
        <v>157</v>
      </c>
      <c r="S65" t="str">
        <v>A+++</v>
      </c>
      <c r="T65">
        <v>6</v>
      </c>
      <c r="U65">
        <v>5</v>
      </c>
      <c r="V65" t="str">
        <v>Grondgebonden</v>
      </c>
      <c r="W65" t="str">
        <v>Tussenwoning</v>
      </c>
      <c r="X65" t="str">
        <v>N.v.t.</v>
      </c>
      <c r="Y65" t="str">
        <v>Onbekend</v>
      </c>
      <c r="Z65" t="str">
        <v>onbekend</v>
      </c>
      <c r="AA65" t="str">
        <v>2026</v>
      </c>
      <c r="AB65" t="str">
        <v>Nee</v>
      </c>
      <c r="AC65" t="str">
        <v>NEE</v>
      </c>
      <c r="AD65" t="str">
        <v>JA</v>
      </c>
    </row>
    <row r="66">
      <c r="A66" t="str">
        <v>44429899</v>
      </c>
      <c r="B66" t="str">
        <v>https://www.funda.nl/detail/koop/maassluis/huis-tussenwoning-bouwnr-31/44429899/</v>
      </c>
      <c r="C66" t="str">
        <v>De Oevers - Wilgenrijk | IN VERKOOP</v>
      </c>
      <c r="D66" t="str">
        <v>Tussenwoning</v>
      </c>
      <c r="E66" t="str">
        <v>31</v>
      </c>
      <c r="F66" t="str">
        <v>3147 NA</v>
      </c>
      <c r="G66" t="str">
        <v>Maassluis</v>
      </c>
      <c r="H66" t="str">
        <v>Maassluis</v>
      </c>
      <c r="I66" t="str">
        <v>Zuid-Holland</v>
      </c>
      <c r="J66" t="str">
        <v>West-Nederland</v>
      </c>
      <c r="K66" t="str">
        <v>Te koop</v>
      </c>
      <c r="L66" t="str">
        <v>Onbekend</v>
      </c>
      <c r="M66" t="str">
        <v>Onbekend</v>
      </c>
      <c r="N66">
        <v>592500</v>
      </c>
      <c r="O66" t="str">
        <v>v.o.n.</v>
      </c>
      <c r="P66">
        <v>129</v>
      </c>
      <c r="Q66">
        <v>4593</v>
      </c>
      <c r="R66">
        <v>161</v>
      </c>
      <c r="S66" t="str">
        <v>A+++</v>
      </c>
      <c r="T66">
        <v>6</v>
      </c>
      <c r="U66">
        <v>5</v>
      </c>
      <c r="V66" t="str">
        <v>Grondgebonden</v>
      </c>
      <c r="W66" t="str">
        <v>Tussenwoning</v>
      </c>
      <c r="X66" t="str">
        <v>N.v.t.</v>
      </c>
      <c r="Y66" t="str">
        <v>Onbekend</v>
      </c>
      <c r="Z66" t="str">
        <v>onbekend</v>
      </c>
      <c r="AA66" t="str">
        <v>2026</v>
      </c>
      <c r="AB66" t="str">
        <v>Nee</v>
      </c>
      <c r="AC66" t="str">
        <v>NEE</v>
      </c>
      <c r="AD66" t="str">
        <v>JA</v>
      </c>
    </row>
    <row r="67">
      <c r="A67" t="str">
        <v>44429888</v>
      </c>
      <c r="B67" t="str">
        <v>https://www.funda.nl/detail/koop/maassluis/huis-tussenwoning-bouwnr-13/44429888/</v>
      </c>
      <c r="C67" t="str">
        <v>De Oevers - Wilgenrijk | IN VERKOOP</v>
      </c>
      <c r="D67" t="str">
        <v>Tussenwoning</v>
      </c>
      <c r="E67" t="str">
        <v>13</v>
      </c>
      <c r="F67" t="str">
        <v>3147 NA</v>
      </c>
      <c r="G67" t="str">
        <v>Maassluis</v>
      </c>
      <c r="H67" t="str">
        <v>Maassluis</v>
      </c>
      <c r="I67" t="str">
        <v>Zuid-Holland</v>
      </c>
      <c r="J67" t="str">
        <v>West-Nederland</v>
      </c>
      <c r="K67" t="str">
        <v>Te koop</v>
      </c>
      <c r="L67" t="str">
        <v>Onbekend</v>
      </c>
      <c r="M67" t="str">
        <v>Onbekend</v>
      </c>
      <c r="N67">
        <v>599500</v>
      </c>
      <c r="O67" t="str">
        <v>v.o.n.</v>
      </c>
      <c r="P67">
        <v>129</v>
      </c>
      <c r="Q67">
        <v>4647</v>
      </c>
      <c r="R67">
        <v>224</v>
      </c>
      <c r="S67" t="str">
        <v>A+++</v>
      </c>
      <c r="T67">
        <v>6</v>
      </c>
      <c r="U67">
        <v>5</v>
      </c>
      <c r="V67" t="str">
        <v>Grondgebonden</v>
      </c>
      <c r="W67" t="str">
        <v>Tussenwoning</v>
      </c>
      <c r="X67" t="str">
        <v>N.v.t.</v>
      </c>
      <c r="Y67" t="str">
        <v>Onbekend</v>
      </c>
      <c r="Z67" t="str">
        <v>onbekend</v>
      </c>
      <c r="AA67" t="str">
        <v>2026</v>
      </c>
      <c r="AB67" t="str">
        <v>Nee</v>
      </c>
      <c r="AC67" t="str">
        <v>NEE</v>
      </c>
      <c r="AD67" t="str">
        <v>JA</v>
      </c>
    </row>
    <row r="68">
      <c r="A68" t="str">
        <v>44429884</v>
      </c>
      <c r="B68" t="str">
        <v>https://www.funda.nl/detail/koop/maassluis/huis-tussenwoning-bouwnr-2/44429884/</v>
      </c>
      <c r="C68" t="str">
        <v>De Oevers - Wilgenrijk | IN VERKOOP</v>
      </c>
      <c r="D68" t="str">
        <v>Tussenwoning</v>
      </c>
      <c r="E68" t="str">
        <v>2</v>
      </c>
      <c r="F68" t="str">
        <v>3147 NA</v>
      </c>
      <c r="G68" t="str">
        <v>Maassluis</v>
      </c>
      <c r="H68" t="str">
        <v>Maassluis</v>
      </c>
      <c r="I68" t="str">
        <v>Zuid-Holland</v>
      </c>
      <c r="J68" t="str">
        <v>West-Nederland</v>
      </c>
      <c r="K68" t="str">
        <v>Te koop</v>
      </c>
      <c r="L68" t="str">
        <v>Onbekend</v>
      </c>
      <c r="M68" t="str">
        <v>Onbekend</v>
      </c>
      <c r="N68">
        <v>599500</v>
      </c>
      <c r="O68" t="str">
        <v>v.o.n.</v>
      </c>
      <c r="P68">
        <v>129</v>
      </c>
      <c r="Q68">
        <v>4647</v>
      </c>
      <c r="R68">
        <v>189</v>
      </c>
      <c r="S68" t="str">
        <v>A+++</v>
      </c>
      <c r="T68">
        <v>6</v>
      </c>
      <c r="U68">
        <v>5</v>
      </c>
      <c r="V68" t="str">
        <v>Grondgebonden</v>
      </c>
      <c r="W68" t="str">
        <v>Tussenwoning</v>
      </c>
      <c r="X68" t="str">
        <v>N.v.t.</v>
      </c>
      <c r="Y68" t="str">
        <v>Onbekend</v>
      </c>
      <c r="Z68" t="str">
        <v>onbekend</v>
      </c>
      <c r="AA68" t="str">
        <v>2026</v>
      </c>
      <c r="AB68" t="str">
        <v>Nee</v>
      </c>
      <c r="AC68" t="str">
        <v>NEE</v>
      </c>
      <c r="AD68" t="str">
        <v>JA</v>
      </c>
    </row>
    <row r="69">
      <c r="A69" t="str">
        <v>44429818</v>
      </c>
      <c r="B69" t="str">
        <v>https://www.funda.nl/detail/koop/maassluis/huis-hoekwoning-type-2-bouwnr-34/44429818/</v>
      </c>
      <c r="C69" t="str">
        <v>De Oevers - Wilgenrijk | IN VERKOOP</v>
      </c>
      <c r="D69" t="str">
        <v>Hoekwoning type 2</v>
      </c>
      <c r="E69" t="str">
        <v>34</v>
      </c>
      <c r="F69" t="str">
        <v>3147 NA</v>
      </c>
      <c r="G69" t="str">
        <v>Maassluis</v>
      </c>
      <c r="H69" t="str">
        <v>Maassluis</v>
      </c>
      <c r="I69" t="str">
        <v>Zuid-Holland</v>
      </c>
      <c r="J69" t="str">
        <v>West-Nederland</v>
      </c>
      <c r="K69" t="str">
        <v>Te koop</v>
      </c>
      <c r="L69" t="str">
        <v>Onbekend</v>
      </c>
      <c r="M69" t="str">
        <v>Onbekend</v>
      </c>
      <c r="N69">
        <v>715000</v>
      </c>
      <c r="O69" t="str">
        <v>v.o.n.</v>
      </c>
      <c r="P69">
        <v>161</v>
      </c>
      <c r="Q69">
        <v>4441</v>
      </c>
      <c r="R69">
        <v>272</v>
      </c>
      <c r="S69" t="str">
        <v>A+++</v>
      </c>
      <c r="T69">
        <v>6</v>
      </c>
      <c r="U69">
        <v>5</v>
      </c>
      <c r="V69" t="str">
        <v>Grondgebonden</v>
      </c>
      <c r="W69" t="str">
        <v>Hoekwoning</v>
      </c>
      <c r="X69" t="str">
        <v>N.v.t.</v>
      </c>
      <c r="Y69" t="str">
        <v>Onbekend</v>
      </c>
      <c r="Z69" t="str">
        <v>onbekend</v>
      </c>
      <c r="AA69" t="str">
        <v>2026</v>
      </c>
      <c r="AB69" t="str">
        <v>Nee</v>
      </c>
      <c r="AC69" t="str">
        <v>NEE</v>
      </c>
      <c r="AD69" t="str">
        <v>JA</v>
      </c>
    </row>
    <row r="70">
      <c r="A70" t="str">
        <v>44429808</v>
      </c>
      <c r="B70" t="str">
        <v>https://www.funda.nl/detail/koop/maassluis/huis-hoekwoning-type-2-bouwnr-1/44429808/</v>
      </c>
      <c r="C70" t="str">
        <v>De Oevers - Wilgenrijk | IN VERKOOP</v>
      </c>
      <c r="D70" t="str">
        <v>Hoekwoning type 2</v>
      </c>
      <c r="E70" t="str">
        <v>1</v>
      </c>
      <c r="F70" t="str">
        <v>3147 NA</v>
      </c>
      <c r="G70" t="str">
        <v>Maassluis</v>
      </c>
      <c r="H70" t="str">
        <v>Maassluis</v>
      </c>
      <c r="I70" t="str">
        <v>Zuid-Holland</v>
      </c>
      <c r="J70" t="str">
        <v>West-Nederland</v>
      </c>
      <c r="K70" t="str">
        <v>Te koop</v>
      </c>
      <c r="L70" t="str">
        <v>Onbekend</v>
      </c>
      <c r="M70" t="str">
        <v>Onbekend</v>
      </c>
      <c r="N70">
        <v>730000</v>
      </c>
      <c r="O70" t="str">
        <v>v.o.n.</v>
      </c>
      <c r="P70">
        <v>164</v>
      </c>
      <c r="Q70">
        <v>4451</v>
      </c>
      <c r="R70">
        <v>272</v>
      </c>
      <c r="S70" t="str">
        <v>A+++</v>
      </c>
      <c r="T70">
        <v>6</v>
      </c>
      <c r="U70">
        <v>5</v>
      </c>
      <c r="V70" t="str">
        <v>Grondgebonden</v>
      </c>
      <c r="W70" t="str">
        <v>Hoekwoning</v>
      </c>
      <c r="X70" t="str">
        <v>N.v.t.</v>
      </c>
      <c r="Y70" t="str">
        <v>Onbekend</v>
      </c>
      <c r="Z70" t="str">
        <v>onbekend</v>
      </c>
      <c r="AA70" t="str">
        <v>2026</v>
      </c>
      <c r="AB70" t="str">
        <v>Nee</v>
      </c>
      <c r="AC70" t="str">
        <v>NEE</v>
      </c>
      <c r="AD70" t="str">
        <v>JA</v>
      </c>
    </row>
  </sheetData>
  <autoFilter ref="A24:AD70"/>
  <ignoredErrors>
    <ignoredError numberStoredAsText="1" sqref="A1:AD70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Midden-Groningen</v>
      </c>
    </row>
    <row r="3">
      <c r="A3" t="str">
        <v>Samenvatting</v>
      </c>
    </row>
    <row r="4">
      <c r="A4" t="str">
        <v>Aantal woningen</v>
      </c>
      <c r="B4">
        <v>3</v>
      </c>
    </row>
    <row r="5">
      <c r="A5" t="str">
        <v>Aantal te koop</v>
      </c>
      <c r="B5">
        <v>3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381667</v>
      </c>
    </row>
    <row r="9">
      <c r="A9" t="str">
        <v>Mediaan VON-prijs (€)</v>
      </c>
      <c r="B9">
        <v>355000</v>
      </c>
    </row>
    <row r="10">
      <c r="A10" t="str">
        <v>Gemiddelde VON-prijs per m² (€)</v>
      </c>
      <c r="B10">
        <v>3622</v>
      </c>
    </row>
    <row r="11">
      <c r="A11" t="str">
        <v>Mediaan VON-prijs per m² (€)</v>
      </c>
      <c r="B11">
        <v>3381</v>
      </c>
    </row>
    <row r="12">
      <c r="A12" t="str">
        <v>Gemiddelde GBO (m²)</v>
      </c>
      <c r="B12">
        <v>108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2-onder-1-kapwoning</v>
      </c>
      <c r="B17">
        <v>1</v>
      </c>
    </row>
    <row r="18">
      <c r="A18" t="str">
        <v>Tussenwoning</v>
      </c>
      <c r="B18">
        <v>1</v>
      </c>
    </row>
    <row r="20">
      <c r="A20" t="str">
        <v>Uitsplitsing appartementcategorieen</v>
      </c>
      <c r="B20" t="str">
        <v>Aantal</v>
      </c>
    </row>
    <row r="21">
      <c r="A21" t="str">
        <v>Appartement 75-100 m²</v>
      </c>
      <c r="B21">
        <v>1</v>
      </c>
    </row>
    <row r="23">
      <c r="A23" t="str">
        <v>Alle woningen in Midden-Groningen</v>
      </c>
    </row>
    <row r="24">
      <c r="A24" t="str">
        <v>Funda ID</v>
      </c>
      <c r="B24" t="str">
        <v>Funda URL</v>
      </c>
      <c r="C24" t="str">
        <v>Projectnaam</v>
      </c>
      <c r="D24" t="str">
        <v>Adres</v>
      </c>
      <c r="E24" t="str">
        <v>Bouwnummer</v>
      </c>
      <c r="F24" t="str">
        <v>Postcode</v>
      </c>
      <c r="G24" t="str">
        <v>Plaats</v>
      </c>
      <c r="H24" t="str">
        <v>Gemeente</v>
      </c>
      <c r="I24" t="str">
        <v>Provincie</v>
      </c>
      <c r="J24" t="str">
        <v>Regio</v>
      </c>
      <c r="K24" t="str">
        <v>Status</v>
      </c>
      <c r="L24" t="str">
        <v>Datum plaatsing</v>
      </c>
      <c r="M24" t="str">
        <v>Looptijd (dagen)</v>
      </c>
      <c r="N24" t="str">
        <v>Vraagprijs (€)</v>
      </c>
      <c r="O24" t="str">
        <v>Kostenlabel</v>
      </c>
      <c r="P24" t="str">
        <v>GBO (m²)</v>
      </c>
      <c r="Q24" t="str">
        <v>VON-prijs per m² (€)</v>
      </c>
      <c r="R24" t="str">
        <v>Perceeloppervlakte (m²)</v>
      </c>
      <c r="S24" t="str">
        <v>Energielabel</v>
      </c>
      <c r="T24" t="str">
        <v>Aantal kamers</v>
      </c>
      <c r="U24" t="str">
        <v>Aantal slaapkamers</v>
      </c>
      <c r="V24" t="str">
        <v>Woningcategorie</v>
      </c>
      <c r="W24" t="str">
        <v>Woningtype</v>
      </c>
      <c r="X24" t="str">
        <v>Appartement categorie</v>
      </c>
      <c r="Y24" t="str">
        <v>Parkeerplaats</v>
      </c>
      <c r="Z24" t="str">
        <v>Type parkeerplaats</v>
      </c>
      <c r="AA24" t="str">
        <v>Bouwjaar</v>
      </c>
      <c r="AB24" t="str">
        <v>Prijs op aanvraag</v>
      </c>
      <c r="AC24" t="str">
        <v>Outlier flag</v>
      </c>
      <c r="AD24" t="str">
        <v>GemeenteOK</v>
      </c>
    </row>
    <row r="25">
      <c r="A25" t="str">
        <v>44422666</v>
      </c>
      <c r="B25" t="str">
        <v>https://www.funda.nl/detail/koop/hoogezand/huis-multatulistraat-35/44422666/</v>
      </c>
      <c r="C25" t="str">
        <v>Onbekend</v>
      </c>
      <c r="D25" t="str">
        <v>Multatulistraat 35</v>
      </c>
      <c r="E25" t="str">
        <v>Onbekend</v>
      </c>
      <c r="F25" t="str">
        <v>9602 BA</v>
      </c>
      <c r="G25" t="str">
        <v>Hoogezand</v>
      </c>
      <c r="H25" t="str">
        <v>Midden-Groningen</v>
      </c>
      <c r="I25" t="str">
        <v>Groningen</v>
      </c>
      <c r="J25" t="str">
        <v>Noord-Nederland</v>
      </c>
      <c r="K25" t="str">
        <v>Te koop</v>
      </c>
      <c r="L25" t="str">
        <v>Onbekend</v>
      </c>
      <c r="M25" t="str">
        <v>Onbekend</v>
      </c>
      <c r="N25">
        <v>460000</v>
      </c>
      <c r="O25" t="str">
        <v>v.o.n.</v>
      </c>
      <c r="P25">
        <v>139</v>
      </c>
      <c r="Q25">
        <v>3309</v>
      </c>
      <c r="R25">
        <v>266</v>
      </c>
      <c r="S25" t="str">
        <v>A+++</v>
      </c>
      <c r="T25">
        <v>6</v>
      </c>
      <c r="U25">
        <v>3</v>
      </c>
      <c r="V25" t="str">
        <v>Grondgebonden</v>
      </c>
      <c r="W25" t="str">
        <v>2-onder-1-kapwoning</v>
      </c>
      <c r="X25" t="str">
        <v>N.v.t.</v>
      </c>
      <c r="Y25" t="str">
        <v>Ja</v>
      </c>
      <c r="Z25" t="str">
        <v>eigen parkeerplaats</v>
      </c>
      <c r="AA25" t="str">
        <v>Na 2020</v>
      </c>
      <c r="AB25" t="str">
        <v>Nee</v>
      </c>
      <c r="AC25" t="str">
        <v>NEE</v>
      </c>
      <c r="AD25" t="str">
        <v>JA</v>
      </c>
    </row>
    <row r="26">
      <c r="A26" t="str">
        <v>44422631</v>
      </c>
      <c r="B26" t="str">
        <v>https://www.funda.nl/detail/koop/hoogezand/huis-erasmusweg-36/44422631/</v>
      </c>
      <c r="C26" t="str">
        <v>Onbekend</v>
      </c>
      <c r="D26" t="str">
        <v>Erasmusweg 36</v>
      </c>
      <c r="E26" t="str">
        <v>Onbekend</v>
      </c>
      <c r="F26" t="str">
        <v>9602 AE</v>
      </c>
      <c r="G26" t="str">
        <v>Hoogezand</v>
      </c>
      <c r="H26" t="str">
        <v>Midden-Groningen</v>
      </c>
      <c r="I26" t="str">
        <v>Groningen</v>
      </c>
      <c r="J26" t="str">
        <v>Noord-Nederland</v>
      </c>
      <c r="K26" t="str">
        <v>Te koop</v>
      </c>
      <c r="L26" t="str">
        <v>Onbekend</v>
      </c>
      <c r="M26" t="str">
        <v>Onbekend</v>
      </c>
      <c r="N26">
        <v>355000</v>
      </c>
      <c r="O26" t="str">
        <v>v.o.n.</v>
      </c>
      <c r="P26">
        <v>105</v>
      </c>
      <c r="Q26">
        <v>3381</v>
      </c>
      <c r="R26">
        <v>98</v>
      </c>
      <c r="S26" t="str">
        <v>A+++</v>
      </c>
      <c r="T26">
        <v>5</v>
      </c>
      <c r="U26">
        <v>3</v>
      </c>
      <c r="V26" t="str">
        <v>Grondgebonden</v>
      </c>
      <c r="W26" t="str">
        <v>Tussenwoning</v>
      </c>
      <c r="X26" t="str">
        <v>N.v.t.</v>
      </c>
      <c r="Y26" t="str">
        <v>Ja</v>
      </c>
      <c r="Z26" t="str">
        <v>openbare parkeerplaats</v>
      </c>
      <c r="AA26" t="str">
        <v>Na 2020</v>
      </c>
      <c r="AB26" t="str">
        <v>Nee</v>
      </c>
      <c r="AC26" t="str">
        <v>NEE</v>
      </c>
      <c r="AD26" t="str">
        <v>JA</v>
      </c>
    </row>
    <row r="27">
      <c r="A27" t="str">
        <v>44422718</v>
      </c>
      <c r="B27" t="str">
        <v>https://www.funda.nl/detail/koop/hoogezand/appartement-erasmusweg-23/44422718/</v>
      </c>
      <c r="C27" t="str">
        <v>Onbekend</v>
      </c>
      <c r="D27" t="str">
        <v>Erasmusweg 23</v>
      </c>
      <c r="E27" t="str">
        <v>Onbekend</v>
      </c>
      <c r="F27" t="str">
        <v>9602 AB</v>
      </c>
      <c r="G27" t="str">
        <v>Hoogezand</v>
      </c>
      <c r="H27" t="str">
        <v>Midden-Groningen</v>
      </c>
      <c r="I27" t="str">
        <v>Groningen</v>
      </c>
      <c r="J27" t="str">
        <v>Noord-Nederland</v>
      </c>
      <c r="K27" t="str">
        <v>Te koop</v>
      </c>
      <c r="L27" t="str">
        <v>Onbekend</v>
      </c>
      <c r="M27" t="str">
        <v>Onbekend</v>
      </c>
      <c r="N27">
        <v>330000</v>
      </c>
      <c r="O27" t="str">
        <v>v.o.n.</v>
      </c>
      <c r="P27">
        <v>79</v>
      </c>
      <c r="Q27">
        <v>4177</v>
      </c>
      <c r="R27" t="str">
        <v>Onbekend</v>
      </c>
      <c r="S27" t="str">
        <v>A++</v>
      </c>
      <c r="T27">
        <v>3</v>
      </c>
      <c r="U27">
        <v>2</v>
      </c>
      <c r="V27" t="str">
        <v>Appartement</v>
      </c>
      <c r="W27" t="str">
        <v>Appartement</v>
      </c>
      <c r="X27" t="str">
        <v>Appartement 75-100 m²</v>
      </c>
      <c r="Y27" t="str">
        <v>Ja</v>
      </c>
      <c r="Z27" t="str">
        <v>openbare parkeerplaats</v>
      </c>
      <c r="AA27" t="str">
        <v>Na 2020</v>
      </c>
      <c r="AB27" t="str">
        <v>Nee</v>
      </c>
      <c r="AC27" t="str">
        <v>NEE</v>
      </c>
      <c r="AD27" t="str">
        <v>JA</v>
      </c>
    </row>
  </sheetData>
  <autoFilter ref="A24:AD27"/>
  <ignoredErrors>
    <ignoredError numberStoredAsText="1" sqref="A1:AD27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Neder-Betuwe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0</v>
      </c>
    </row>
    <row r="6">
      <c r="A6" t="str">
        <v>Aantal verkocht</v>
      </c>
      <c r="B6">
        <v>0</v>
      </c>
    </row>
    <row r="7">
      <c r="A7" t="str">
        <v>Aantal V.O.V.</v>
      </c>
      <c r="B7">
        <v>1</v>
      </c>
    </row>
    <row r="8">
      <c r="A8" t="str">
        <v>Gemiddelde VON-prijs (€)</v>
      </c>
      <c r="B8">
        <v>545000</v>
      </c>
    </row>
    <row r="9">
      <c r="A9" t="str">
        <v>Mediaan VON-prijs (€)</v>
      </c>
      <c r="B9">
        <v>545000</v>
      </c>
    </row>
    <row r="10">
      <c r="A10" t="str">
        <v>Gemiddelde VON-prijs per m² (€)</v>
      </c>
      <c r="B10">
        <v>4580</v>
      </c>
    </row>
    <row r="11">
      <c r="A11" t="str">
        <v>Mediaan VON-prijs per m² (€)</v>
      </c>
      <c r="B11">
        <v>4580</v>
      </c>
    </row>
    <row r="12">
      <c r="A12" t="str">
        <v>Gemiddelde GBO (m²)</v>
      </c>
      <c r="B12">
        <v>119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Hoekwoning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Neder-Betuwe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44420550</v>
      </c>
      <c r="B23" t="str">
        <v>https://www.funda.nl/detail/koop/kesteren/huis-fase-1b-i-hoekwoningen-bouwnr-141/44420550/</v>
      </c>
      <c r="C23" t="str">
        <v>Pottemsche Veld</v>
      </c>
      <c r="D23" t="str">
        <v>Fase 1B I Hoekwoningen</v>
      </c>
      <c r="E23" t="str">
        <v>1.41</v>
      </c>
      <c r="F23" t="str">
        <v>4041 ZA</v>
      </c>
      <c r="G23" t="str">
        <v>Kesteren</v>
      </c>
      <c r="H23" t="str">
        <v>Neder-Betuwe</v>
      </c>
      <c r="I23" t="str">
        <v>Gelderland</v>
      </c>
      <c r="J23" t="str">
        <v>Oost-Nederland</v>
      </c>
      <c r="K23" t="str">
        <v>V.O.V.</v>
      </c>
      <c r="L23" t="str">
        <v>Onbekend</v>
      </c>
      <c r="M23" t="str">
        <v>Onbekend</v>
      </c>
      <c r="N23">
        <v>545000</v>
      </c>
      <c r="O23" t="str">
        <v>v.o.n.</v>
      </c>
      <c r="P23">
        <v>119</v>
      </c>
      <c r="Q23">
        <v>4580</v>
      </c>
      <c r="R23">
        <v>232</v>
      </c>
      <c r="S23" t="str">
        <v>A+++</v>
      </c>
      <c r="T23">
        <v>6</v>
      </c>
      <c r="U23">
        <v>3</v>
      </c>
      <c r="V23" t="str">
        <v>Grondgebonden</v>
      </c>
      <c r="W23" t="str">
        <v>Hoekwoning</v>
      </c>
      <c r="X23" t="str">
        <v>N.v.t.</v>
      </c>
      <c r="Y23" t="str">
        <v>Ja</v>
      </c>
      <c r="Z23" t="str">
        <v>openbare parkeerplaats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Nissewaard</v>
      </c>
    </row>
    <row r="3">
      <c r="A3" t="str">
        <v>Samenvatting</v>
      </c>
    </row>
    <row r="4">
      <c r="A4" t="str">
        <v>Aantal woningen</v>
      </c>
      <c r="B4">
        <v>12</v>
      </c>
    </row>
    <row r="5">
      <c r="A5" t="str">
        <v>Aantal te koop</v>
      </c>
      <c r="B5">
        <v>12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351667</v>
      </c>
    </row>
    <row r="9">
      <c r="A9" t="str">
        <v>Mediaan VON-prijs (€)</v>
      </c>
      <c r="B9">
        <v>360000</v>
      </c>
    </row>
    <row r="10">
      <c r="A10" t="str">
        <v>Gemiddelde VON-prijs per m² (€)</v>
      </c>
      <c r="B10">
        <v>5516</v>
      </c>
    </row>
    <row r="11">
      <c r="A11" t="str">
        <v>Mediaan VON-prijs per m² (€)</v>
      </c>
      <c r="B11">
        <v>5538</v>
      </c>
    </row>
    <row r="12">
      <c r="A12" t="str">
        <v>Gemiddelde GBO (m²)</v>
      </c>
      <c r="B12">
        <v>64</v>
      </c>
    </row>
    <row r="13">
      <c r="A13" t="str">
        <v>Gemiddelde looptijd (dagen)</v>
      </c>
      <c r="B13">
        <v>7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50-75 m²</v>
      </c>
      <c r="B19">
        <v>12</v>
      </c>
    </row>
    <row r="21">
      <c r="A21" t="str">
        <v>Alle woningen in Nissewaard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80883751</v>
      </c>
      <c r="B23" t="str">
        <v>https://www.funda.nl/detail/koop/hekelingen/appartement-bs-bouwnr-d05/80883751/</v>
      </c>
      <c r="C23" t="str">
        <v>Dorpshoeve</v>
      </c>
      <c r="D23" t="str">
        <v>Bs</v>
      </c>
      <c r="E23" t="str">
        <v>D05</v>
      </c>
      <c r="F23" t="str">
        <v>3209 AE</v>
      </c>
      <c r="G23" t="str">
        <v>Hekelingen</v>
      </c>
      <c r="H23" t="str">
        <v>Nissewaard</v>
      </c>
      <c r="I23" t="str">
        <v>Zuid-Holland</v>
      </c>
      <c r="J23" t="str">
        <v>West-Nederland</v>
      </c>
      <c r="K23" t="str">
        <v>Te koop</v>
      </c>
      <c r="L23" t="str">
        <v>Onbekend</v>
      </c>
      <c r="M23" t="str">
        <v>Onbekend</v>
      </c>
      <c r="N23">
        <v>310000</v>
      </c>
      <c r="O23" t="str">
        <v>v.o.n.</v>
      </c>
      <c r="P23">
        <v>58</v>
      </c>
      <c r="Q23">
        <v>5345</v>
      </c>
      <c r="R23" t="str">
        <v>Onbekend</v>
      </c>
      <c r="S23" t="str">
        <v>A++++</v>
      </c>
      <c r="T23">
        <v>2</v>
      </c>
      <c r="U23">
        <v>1</v>
      </c>
      <c r="V23" t="str">
        <v>Appartement</v>
      </c>
      <c r="W23" t="str">
        <v>Appartement</v>
      </c>
      <c r="X23" t="str">
        <v>Appartement 50-75 m²</v>
      </c>
      <c r="Y23" t="str">
        <v>Ja</v>
      </c>
      <c r="Z23" t="str">
        <v>eigen parkeerplaats</v>
      </c>
      <c r="AA23" t="str">
        <v>2027</v>
      </c>
      <c r="AB23" t="str">
        <v>Nee</v>
      </c>
      <c r="AC23" t="str">
        <v>NEE</v>
      </c>
      <c r="AD23" t="str">
        <v>JA</v>
      </c>
    </row>
    <row r="24">
      <c r="A24" t="str">
        <v>80883759</v>
      </c>
      <c r="B24" t="str">
        <v>https://www.funda.nl/detail/koop/hekelingen/appartement-ds-bouwnr-d09/80883759/</v>
      </c>
      <c r="C24" t="str">
        <v>Dorpshoeve</v>
      </c>
      <c r="D24" t="str">
        <v>Ds</v>
      </c>
      <c r="E24" t="str">
        <v>D09</v>
      </c>
      <c r="F24" t="str">
        <v>3209 AE</v>
      </c>
      <c r="G24" t="str">
        <v>Hekelingen</v>
      </c>
      <c r="H24" t="str">
        <v>Nissewaard</v>
      </c>
      <c r="I24" t="str">
        <v>Zuid-Holland</v>
      </c>
      <c r="J24" t="str">
        <v>West-Nederland</v>
      </c>
      <c r="K24" t="str">
        <v>Te koop</v>
      </c>
      <c r="L24" t="str">
        <v>Onbekend</v>
      </c>
      <c r="M24" t="str">
        <v>Onbekend</v>
      </c>
      <c r="N24">
        <v>360000</v>
      </c>
      <c r="O24" t="str">
        <v>v.o.n.</v>
      </c>
      <c r="P24">
        <v>65</v>
      </c>
      <c r="Q24">
        <v>5538</v>
      </c>
      <c r="R24" t="str">
        <v>Onbekend</v>
      </c>
      <c r="S24" t="str">
        <v>A+++</v>
      </c>
      <c r="T24">
        <v>2</v>
      </c>
      <c r="U24">
        <v>1</v>
      </c>
      <c r="V24" t="str">
        <v>Appartement</v>
      </c>
      <c r="W24" t="str">
        <v>Appartement</v>
      </c>
      <c r="X24" t="str">
        <v>Appartement 50-75 m²</v>
      </c>
      <c r="Y24" t="str">
        <v>Ja</v>
      </c>
      <c r="Z24" t="str">
        <v>eigen parkeerplaats</v>
      </c>
      <c r="AA24" t="str">
        <v>2027</v>
      </c>
      <c r="AB24" t="str">
        <v>Nee</v>
      </c>
      <c r="AC24" t="str">
        <v>NEE</v>
      </c>
      <c r="AD24" t="str">
        <v>JA</v>
      </c>
    </row>
    <row r="25">
      <c r="A25" t="str">
        <v>80883748</v>
      </c>
      <c r="B25" t="str">
        <v>https://www.funda.nl/detail/koop/hekelingen/appartement-c-bouwnr-d07/80883748/</v>
      </c>
      <c r="C25" t="str">
        <v>Dorpshoeve</v>
      </c>
      <c r="D25" t="str">
        <v>C</v>
      </c>
      <c r="E25" t="str">
        <v>D07</v>
      </c>
      <c r="F25" t="str">
        <v>3209 AE</v>
      </c>
      <c r="G25" t="str">
        <v>Hekelingen</v>
      </c>
      <c r="H25" t="str">
        <v>Nissewaard</v>
      </c>
      <c r="I25" t="str">
        <v>Zuid-Holland</v>
      </c>
      <c r="J25" t="str">
        <v>West-Nederland</v>
      </c>
      <c r="K25" t="str">
        <v>Te koop</v>
      </c>
      <c r="L25" t="str">
        <v>2026-07-06</v>
      </c>
      <c r="M25">
        <v>7</v>
      </c>
      <c r="N25">
        <v>390000</v>
      </c>
      <c r="O25" t="str">
        <v>v.o.n.</v>
      </c>
      <c r="P25">
        <v>74</v>
      </c>
      <c r="Q25">
        <v>5270</v>
      </c>
      <c r="R25" t="str">
        <v>Onbekend</v>
      </c>
      <c r="S25" t="str">
        <v>A+++</v>
      </c>
      <c r="T25">
        <v>2</v>
      </c>
      <c r="U25">
        <v>2</v>
      </c>
      <c r="V25" t="str">
        <v>Appartement</v>
      </c>
      <c r="W25" t="str">
        <v>Appartement</v>
      </c>
      <c r="X25" t="str">
        <v>Appartement 50-75 m²</v>
      </c>
      <c r="Y25" t="str">
        <v>Ja</v>
      </c>
      <c r="Z25" t="str">
        <v>eigen parkeerplaats</v>
      </c>
      <c r="AA25" t="str">
        <v>2027</v>
      </c>
      <c r="AB25" t="str">
        <v>Nee</v>
      </c>
      <c r="AC25" t="str">
        <v>NEE</v>
      </c>
      <c r="AD25" t="str">
        <v>JA</v>
      </c>
    </row>
    <row r="26">
      <c r="A26" t="str">
        <v>80883746</v>
      </c>
      <c r="B26" t="str">
        <v>https://www.funda.nl/detail/koop/hekelingen/appartement-f-bouwnr-d12/80883746/</v>
      </c>
      <c r="C26" t="str">
        <v>Dorpshoeve</v>
      </c>
      <c r="D26" t="str">
        <v>F</v>
      </c>
      <c r="E26" t="str">
        <v>D12</v>
      </c>
      <c r="F26" t="str">
        <v>3209 AE</v>
      </c>
      <c r="G26" t="str">
        <v>Hekelingen</v>
      </c>
      <c r="H26" t="str">
        <v>Nissewaard</v>
      </c>
      <c r="I26" t="str">
        <v>Zuid-Holland</v>
      </c>
      <c r="J26" t="str">
        <v>West-Nederland</v>
      </c>
      <c r="K26" t="str">
        <v>Te koop</v>
      </c>
      <c r="L26" t="str">
        <v>Onbekend</v>
      </c>
      <c r="M26" t="str">
        <v>Onbekend</v>
      </c>
      <c r="N26">
        <v>380000</v>
      </c>
      <c r="O26" t="str">
        <v>v.o.n.</v>
      </c>
      <c r="P26">
        <v>72</v>
      </c>
      <c r="Q26">
        <v>5278</v>
      </c>
      <c r="R26" t="str">
        <v>Onbekend</v>
      </c>
      <c r="S26" t="str">
        <v>A+++</v>
      </c>
      <c r="T26">
        <v>2</v>
      </c>
      <c r="U26">
        <v>1</v>
      </c>
      <c r="V26" t="str">
        <v>Appartement</v>
      </c>
      <c r="W26" t="str">
        <v>Appartement</v>
      </c>
      <c r="X26" t="str">
        <v>Appartement 50-75 m²</v>
      </c>
      <c r="Y26" t="str">
        <v>Ja</v>
      </c>
      <c r="Z26" t="str">
        <v>eigen parkeerplaats</v>
      </c>
      <c r="AA26" t="str">
        <v>2027</v>
      </c>
      <c r="AB26" t="str">
        <v>Nee</v>
      </c>
      <c r="AC26" t="str">
        <v>NEE</v>
      </c>
      <c r="AD26" t="str">
        <v>JA</v>
      </c>
    </row>
    <row r="27">
      <c r="A27" t="str">
        <v>80883745</v>
      </c>
      <c r="B27" t="str">
        <v>https://www.funda.nl/detail/koop/hekelingen/appartement-ds-bouwnr-d11/80883745/</v>
      </c>
      <c r="C27" t="str">
        <v>Dorpshoeve</v>
      </c>
      <c r="D27" t="str">
        <v>Ds</v>
      </c>
      <c r="E27" t="str">
        <v>D11</v>
      </c>
      <c r="F27" t="str">
        <v>3209 AE</v>
      </c>
      <c r="G27" t="str">
        <v>Hekelingen</v>
      </c>
      <c r="H27" t="str">
        <v>Nissewaard</v>
      </c>
      <c r="I27" t="str">
        <v>Zuid-Holland</v>
      </c>
      <c r="J27" t="str">
        <v>West-Nederland</v>
      </c>
      <c r="K27" t="str">
        <v>Te koop</v>
      </c>
      <c r="L27" t="str">
        <v>Onbekend</v>
      </c>
      <c r="M27" t="str">
        <v>Onbekend</v>
      </c>
      <c r="N27">
        <v>355000</v>
      </c>
      <c r="O27" t="str">
        <v>v.o.n.</v>
      </c>
      <c r="P27">
        <v>65</v>
      </c>
      <c r="Q27">
        <v>5462</v>
      </c>
      <c r="R27" t="str">
        <v>Onbekend</v>
      </c>
      <c r="S27" t="str">
        <v>A+++</v>
      </c>
      <c r="T27">
        <v>2</v>
      </c>
      <c r="U27">
        <v>1</v>
      </c>
      <c r="V27" t="str">
        <v>Appartement</v>
      </c>
      <c r="W27" t="str">
        <v>Appartement</v>
      </c>
      <c r="X27" t="str">
        <v>Appartement 50-75 m²</v>
      </c>
      <c r="Y27" t="str">
        <v>Ja</v>
      </c>
      <c r="Z27" t="str">
        <v>eigen parkeerplaats</v>
      </c>
      <c r="AA27" t="str">
        <v>2027</v>
      </c>
      <c r="AB27" t="str">
        <v>Nee</v>
      </c>
      <c r="AC27" t="str">
        <v>NEE</v>
      </c>
      <c r="AD27" t="str">
        <v>JA</v>
      </c>
    </row>
    <row r="28">
      <c r="A28" t="str">
        <v>80883744</v>
      </c>
      <c r="B28" t="str">
        <v>https://www.funda.nl/detail/koop/hekelingen/appartement-d-bouwnr-d10/80883744/</v>
      </c>
      <c r="C28" t="str">
        <v>Dorpshoeve</v>
      </c>
      <c r="D28" t="str">
        <v>D</v>
      </c>
      <c r="E28" t="str">
        <v>D10</v>
      </c>
      <c r="F28" t="str">
        <v>3209 AE</v>
      </c>
      <c r="G28" t="str">
        <v>Hekelingen</v>
      </c>
      <c r="H28" t="str">
        <v>Nissewaard</v>
      </c>
      <c r="I28" t="str">
        <v>Zuid-Holland</v>
      </c>
      <c r="J28" t="str">
        <v>West-Nederland</v>
      </c>
      <c r="K28" t="str">
        <v>Te koop</v>
      </c>
      <c r="L28" t="str">
        <v>Onbekend</v>
      </c>
      <c r="M28" t="str">
        <v>Onbekend</v>
      </c>
      <c r="N28">
        <v>360000</v>
      </c>
      <c r="O28" t="str">
        <v>v.o.n.</v>
      </c>
      <c r="P28">
        <v>65</v>
      </c>
      <c r="Q28">
        <v>5538</v>
      </c>
      <c r="R28" t="str">
        <v>Onbekend</v>
      </c>
      <c r="S28" t="str">
        <v>A+++</v>
      </c>
      <c r="T28">
        <v>2</v>
      </c>
      <c r="U28">
        <v>1</v>
      </c>
      <c r="V28" t="str">
        <v>Appartement</v>
      </c>
      <c r="W28" t="str">
        <v>Appartement</v>
      </c>
      <c r="X28" t="str">
        <v>Appartement 50-75 m²</v>
      </c>
      <c r="Y28" t="str">
        <v>Ja</v>
      </c>
      <c r="Z28" t="str">
        <v>eigen parkeerplaats</v>
      </c>
      <c r="AA28" t="str">
        <v>2027</v>
      </c>
      <c r="AB28" t="str">
        <v>Nee</v>
      </c>
      <c r="AC28" t="str">
        <v>NEE</v>
      </c>
      <c r="AD28" t="str">
        <v>JA</v>
      </c>
    </row>
    <row r="29">
      <c r="A29" t="str">
        <v>80883743</v>
      </c>
      <c r="B29" t="str">
        <v>https://www.funda.nl/detail/koop/hekelingen/appartement-d-bouwnr-d08/80883743/</v>
      </c>
      <c r="C29" t="str">
        <v>Dorpshoeve</v>
      </c>
      <c r="D29" t="str">
        <v>D</v>
      </c>
      <c r="E29" t="str">
        <v>D08</v>
      </c>
      <c r="F29" t="str">
        <v>3209 AE</v>
      </c>
      <c r="G29" t="str">
        <v>Hekelingen</v>
      </c>
      <c r="H29" t="str">
        <v>Nissewaard</v>
      </c>
      <c r="I29" t="str">
        <v>Zuid-Holland</v>
      </c>
      <c r="J29" t="str">
        <v>West-Nederland</v>
      </c>
      <c r="K29" t="str">
        <v>Te koop</v>
      </c>
      <c r="L29" t="str">
        <v>Onbekend</v>
      </c>
      <c r="M29" t="str">
        <v>Onbekend</v>
      </c>
      <c r="N29">
        <v>360000</v>
      </c>
      <c r="O29" t="str">
        <v>v.o.n.</v>
      </c>
      <c r="P29">
        <v>65</v>
      </c>
      <c r="Q29">
        <v>5538</v>
      </c>
      <c r="R29" t="str">
        <v>Onbekend</v>
      </c>
      <c r="S29" t="str">
        <v>A+++</v>
      </c>
      <c r="T29">
        <v>2</v>
      </c>
      <c r="U29">
        <v>1</v>
      </c>
      <c r="V29" t="str">
        <v>Appartement</v>
      </c>
      <c r="W29" t="str">
        <v>Appartement</v>
      </c>
      <c r="X29" t="str">
        <v>Appartement 50-75 m²</v>
      </c>
      <c r="Y29" t="str">
        <v>Ja</v>
      </c>
      <c r="Z29" t="str">
        <v>eigen parkeerplaats</v>
      </c>
      <c r="AA29" t="str">
        <v>2027</v>
      </c>
      <c r="AB29" t="str">
        <v>Nee</v>
      </c>
      <c r="AC29" t="str">
        <v>NEE</v>
      </c>
      <c r="AD29" t="str">
        <v>JA</v>
      </c>
    </row>
    <row r="30">
      <c r="A30" t="str">
        <v>80883742</v>
      </c>
      <c r="B30" t="str">
        <v>https://www.funda.nl/detail/koop/hekelingen/appartement-bs-bouwnr-d03/80883742/</v>
      </c>
      <c r="C30" t="str">
        <v>Dorpshoeve</v>
      </c>
      <c r="D30" t="str">
        <v>Bs</v>
      </c>
      <c r="E30" t="str">
        <v>D03</v>
      </c>
      <c r="F30" t="str">
        <v>3209 AE</v>
      </c>
      <c r="G30" t="str">
        <v>Hekelingen</v>
      </c>
      <c r="H30" t="str">
        <v>Nissewaard</v>
      </c>
      <c r="I30" t="str">
        <v>Zuid-Holland</v>
      </c>
      <c r="J30" t="str">
        <v>West-Nederland</v>
      </c>
      <c r="K30" t="str">
        <v>Te koop</v>
      </c>
      <c r="L30" t="str">
        <v>Onbekend</v>
      </c>
      <c r="M30" t="str">
        <v>Onbekend</v>
      </c>
      <c r="N30">
        <v>330000</v>
      </c>
      <c r="O30" t="str">
        <v>v.o.n.</v>
      </c>
      <c r="P30">
        <v>58</v>
      </c>
      <c r="Q30">
        <v>5690</v>
      </c>
      <c r="R30" t="str">
        <v>Onbekend</v>
      </c>
      <c r="S30" t="str">
        <v>A+++</v>
      </c>
      <c r="T30">
        <v>2</v>
      </c>
      <c r="U30">
        <v>1</v>
      </c>
      <c r="V30" t="str">
        <v>Appartement</v>
      </c>
      <c r="W30" t="str">
        <v>Appartement</v>
      </c>
      <c r="X30" t="str">
        <v>Appartement 50-75 m²</v>
      </c>
      <c r="Y30" t="str">
        <v>Ja</v>
      </c>
      <c r="Z30" t="str">
        <v>eigen parkeerplaats</v>
      </c>
      <c r="AA30" t="str">
        <v>2027</v>
      </c>
      <c r="AB30" t="str">
        <v>Nee</v>
      </c>
      <c r="AC30" t="str">
        <v>NEE</v>
      </c>
      <c r="AD30" t="str">
        <v>JA</v>
      </c>
    </row>
    <row r="31">
      <c r="A31" t="str">
        <v>80883740</v>
      </c>
      <c r="B31" t="str">
        <v>https://www.funda.nl/detail/koop/hekelingen/appartement-b-bouwnr-d04/80883740/</v>
      </c>
      <c r="C31" t="str">
        <v>Dorpshoeve</v>
      </c>
      <c r="D31" t="str">
        <v>B</v>
      </c>
      <c r="E31" t="str">
        <v>D04</v>
      </c>
      <c r="F31" t="str">
        <v>3209 AE</v>
      </c>
      <c r="G31" t="str">
        <v>Hekelingen</v>
      </c>
      <c r="H31" t="str">
        <v>Nissewaard</v>
      </c>
      <c r="I31" t="str">
        <v>Zuid-Holland</v>
      </c>
      <c r="J31" t="str">
        <v>West-Nederland</v>
      </c>
      <c r="K31" t="str">
        <v>Te koop</v>
      </c>
      <c r="L31" t="str">
        <v>Onbekend</v>
      </c>
      <c r="M31" t="str">
        <v>Onbekend</v>
      </c>
      <c r="N31">
        <v>320000</v>
      </c>
      <c r="O31" t="str">
        <v>v.o.n.</v>
      </c>
      <c r="P31">
        <v>58</v>
      </c>
      <c r="Q31">
        <v>5517</v>
      </c>
      <c r="R31" t="str">
        <v>Onbekend</v>
      </c>
      <c r="S31" t="str">
        <v>A+++</v>
      </c>
      <c r="T31">
        <v>2</v>
      </c>
      <c r="U31">
        <v>1</v>
      </c>
      <c r="V31" t="str">
        <v>Appartement</v>
      </c>
      <c r="W31" t="str">
        <v>Appartement</v>
      </c>
      <c r="X31" t="str">
        <v>Appartement 50-75 m²</v>
      </c>
      <c r="Y31" t="str">
        <v>Ja</v>
      </c>
      <c r="Z31" t="str">
        <v>eigen parkeerplaats</v>
      </c>
      <c r="AA31" t="str">
        <v>2027</v>
      </c>
      <c r="AB31" t="str">
        <v>Nee</v>
      </c>
      <c r="AC31" t="str">
        <v>NEE</v>
      </c>
      <c r="AD31" t="str">
        <v>JA</v>
      </c>
    </row>
    <row r="32">
      <c r="A32" t="str">
        <v>80883749</v>
      </c>
      <c r="B32" t="str">
        <v>https://www.funda.nl/detail/koop/hekelingen/appartement-as-bouwnr-d06/80883749/</v>
      </c>
      <c r="C32" t="str">
        <v>Dorpshoeve</v>
      </c>
      <c r="D32" t="str">
        <v>As</v>
      </c>
      <c r="E32" t="str">
        <v>D06</v>
      </c>
      <c r="F32" t="str">
        <v>3209 AE</v>
      </c>
      <c r="G32" t="str">
        <v>Hekelingen</v>
      </c>
      <c r="H32" t="str">
        <v>Nissewaard</v>
      </c>
      <c r="I32" t="str">
        <v>Zuid-Holland</v>
      </c>
      <c r="J32" t="str">
        <v>West-Nederland</v>
      </c>
      <c r="K32" t="str">
        <v>Te koop</v>
      </c>
      <c r="L32" t="str">
        <v>Onbekend</v>
      </c>
      <c r="M32" t="str">
        <v>Onbekend</v>
      </c>
      <c r="N32">
        <v>360000</v>
      </c>
      <c r="O32" t="str">
        <v>v.o.n.</v>
      </c>
      <c r="P32">
        <v>64</v>
      </c>
      <c r="Q32">
        <v>5625</v>
      </c>
      <c r="R32" t="str">
        <v>Onbekend</v>
      </c>
      <c r="S32" t="str">
        <v>A+++</v>
      </c>
      <c r="T32">
        <v>3</v>
      </c>
      <c r="U32">
        <v>2</v>
      </c>
      <c r="V32" t="str">
        <v>Appartement</v>
      </c>
      <c r="W32" t="str">
        <v>Appartement</v>
      </c>
      <c r="X32" t="str">
        <v>Appartement 50-75 m²</v>
      </c>
      <c r="Y32" t="str">
        <v>Ja</v>
      </c>
      <c r="Z32" t="str">
        <v>eigen parkeerplaats</v>
      </c>
      <c r="AA32" t="str">
        <v>2027</v>
      </c>
      <c r="AB32" t="str">
        <v>Nee</v>
      </c>
      <c r="AC32" t="str">
        <v>NEE</v>
      </c>
      <c r="AD32" t="str">
        <v>JA</v>
      </c>
    </row>
    <row r="33">
      <c r="A33" t="str">
        <v>80883738</v>
      </c>
      <c r="B33" t="str">
        <v>https://www.funda.nl/detail/koop/hekelingen/appartement-b-bouwnr-d02/80883738/</v>
      </c>
      <c r="C33" t="str">
        <v>Dorpshoeve</v>
      </c>
      <c r="D33" t="str">
        <v>B</v>
      </c>
      <c r="E33" t="str">
        <v>D02</v>
      </c>
      <c r="F33" t="str">
        <v>3209 AE</v>
      </c>
      <c r="G33" t="str">
        <v>Hekelingen</v>
      </c>
      <c r="H33" t="str">
        <v>Nissewaard</v>
      </c>
      <c r="I33" t="str">
        <v>Zuid-Holland</v>
      </c>
      <c r="J33" t="str">
        <v>West-Nederland</v>
      </c>
      <c r="K33" t="str">
        <v>Te koop</v>
      </c>
      <c r="L33" t="str">
        <v>Onbekend</v>
      </c>
      <c r="M33" t="str">
        <v>Onbekend</v>
      </c>
      <c r="N33">
        <v>330000</v>
      </c>
      <c r="O33" t="str">
        <v>v.o.n.</v>
      </c>
      <c r="P33">
        <v>58</v>
      </c>
      <c r="Q33">
        <v>5690</v>
      </c>
      <c r="R33" t="str">
        <v>Onbekend</v>
      </c>
      <c r="S33" t="str">
        <v>A+++</v>
      </c>
      <c r="T33">
        <v>2</v>
      </c>
      <c r="U33">
        <v>1</v>
      </c>
      <c r="V33" t="str">
        <v>Appartement</v>
      </c>
      <c r="W33" t="str">
        <v>Appartement</v>
      </c>
      <c r="X33" t="str">
        <v>Appartement 50-75 m²</v>
      </c>
      <c r="Y33" t="str">
        <v>Ja</v>
      </c>
      <c r="Z33" t="str">
        <v>eigen parkeerplaats</v>
      </c>
      <c r="AA33" t="str">
        <v>2027</v>
      </c>
      <c r="AB33" t="str">
        <v>Nee</v>
      </c>
      <c r="AC33" t="str">
        <v>NEE</v>
      </c>
      <c r="AD33" t="str">
        <v>JA</v>
      </c>
    </row>
    <row r="34">
      <c r="A34" t="str">
        <v>80883737</v>
      </c>
      <c r="B34" t="str">
        <v>https://www.funda.nl/detail/koop/hekelingen/appartement-a-bouwnr-d01/80883737/</v>
      </c>
      <c r="C34" t="str">
        <v>Dorpshoeve</v>
      </c>
      <c r="D34" t="str">
        <v>A</v>
      </c>
      <c r="E34" t="str">
        <v>D01</v>
      </c>
      <c r="F34" t="str">
        <v>3209 AE</v>
      </c>
      <c r="G34" t="str">
        <v>Hekelingen</v>
      </c>
      <c r="H34" t="str">
        <v>Nissewaard</v>
      </c>
      <c r="I34" t="str">
        <v>Zuid-Holland</v>
      </c>
      <c r="J34" t="str">
        <v>West-Nederland</v>
      </c>
      <c r="K34" t="str">
        <v>Te koop</v>
      </c>
      <c r="L34" t="str">
        <v>Onbekend</v>
      </c>
      <c r="M34" t="str">
        <v>Onbekend</v>
      </c>
      <c r="N34">
        <v>365000</v>
      </c>
      <c r="O34" t="str">
        <v>v.o.n.</v>
      </c>
      <c r="P34">
        <v>64</v>
      </c>
      <c r="Q34">
        <v>5703</v>
      </c>
      <c r="R34" t="str">
        <v>Onbekend</v>
      </c>
      <c r="S34" t="str">
        <v>A++++</v>
      </c>
      <c r="T34">
        <v>3</v>
      </c>
      <c r="U34">
        <v>2</v>
      </c>
      <c r="V34" t="str">
        <v>Appartement</v>
      </c>
      <c r="W34" t="str">
        <v>Appartement</v>
      </c>
      <c r="X34" t="str">
        <v>Appartement 50-75 m²</v>
      </c>
      <c r="Y34" t="str">
        <v>Ja</v>
      </c>
      <c r="Z34" t="str">
        <v>eigen parkeerplaats</v>
      </c>
      <c r="AA34" t="str">
        <v>2027</v>
      </c>
      <c r="AB34" t="str">
        <v>Nee</v>
      </c>
      <c r="AC34" t="str">
        <v>NEE</v>
      </c>
      <c r="AD34" t="str">
        <v>JA</v>
      </c>
    </row>
  </sheetData>
  <autoFilter ref="A22:AD34"/>
  <ignoredErrors>
    <ignoredError numberStoredAsText="1" sqref="A1:AD34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Onbekend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718000</v>
      </c>
    </row>
    <row r="9">
      <c r="A9" t="str">
        <v>Mediaan VON-prijs (€)</v>
      </c>
      <c r="B9">
        <v>718000</v>
      </c>
    </row>
    <row r="10">
      <c r="A10" t="str">
        <v>Gemiddelde VON-prijs per m² (€)</v>
      </c>
      <c r="B10">
        <v>4952</v>
      </c>
    </row>
    <row r="11">
      <c r="A11" t="str">
        <v>Mediaan VON-prijs per m² (€)</v>
      </c>
      <c r="B11">
        <v>4952</v>
      </c>
    </row>
    <row r="12">
      <c r="A12" t="str">
        <v>Gemiddelde GBO (m²)</v>
      </c>
      <c r="B12">
        <v>145</v>
      </c>
    </row>
    <row r="13">
      <c r="A13" t="str">
        <v>Gemiddelde looptijd (dagen)</v>
      </c>
      <c r="B13">
        <v>2</v>
      </c>
    </row>
    <row r="14">
      <c r="A14" t="str">
        <v>Aandeel met parkeerplaats (%)</v>
      </c>
      <c r="B14">
        <v>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20">
      <c r="A20" t="str">
        <v>Alle woningen in Onbekend</v>
      </c>
    </row>
    <row r="21">
      <c r="A21" t="str">
        <v>Funda ID</v>
      </c>
      <c r="B21" t="str">
        <v>Funda URL</v>
      </c>
      <c r="C21" t="str">
        <v>Projectnaam</v>
      </c>
      <c r="D21" t="str">
        <v>Adres</v>
      </c>
      <c r="E21" t="str">
        <v>Bouwnummer</v>
      </c>
      <c r="F21" t="str">
        <v>Postcode</v>
      </c>
      <c r="G21" t="str">
        <v>Plaats</v>
      </c>
      <c r="H21" t="str">
        <v>Gemeente</v>
      </c>
      <c r="I21" t="str">
        <v>Provincie</v>
      </c>
      <c r="J21" t="str">
        <v>Regio</v>
      </c>
      <c r="K21" t="str">
        <v>Status</v>
      </c>
      <c r="L21" t="str">
        <v>Datum plaatsing</v>
      </c>
      <c r="M21" t="str">
        <v>Looptijd (dagen)</v>
      </c>
      <c r="N21" t="str">
        <v>Vraagprijs (€)</v>
      </c>
      <c r="O21" t="str">
        <v>Kostenlabel</v>
      </c>
      <c r="P21" t="str">
        <v>GBO (m²)</v>
      </c>
      <c r="Q21" t="str">
        <v>VON-prijs per m² (€)</v>
      </c>
      <c r="R21" t="str">
        <v>Perceeloppervlakte (m²)</v>
      </c>
      <c r="S21" t="str">
        <v>Energielabel</v>
      </c>
      <c r="T21" t="str">
        <v>Aantal kamers</v>
      </c>
      <c r="U21" t="str">
        <v>Aantal slaapkamers</v>
      </c>
      <c r="V21" t="str">
        <v>Woningcategorie</v>
      </c>
      <c r="W21" t="str">
        <v>Woningtype</v>
      </c>
      <c r="X21" t="str">
        <v>Appartement categorie</v>
      </c>
      <c r="Y21" t="str">
        <v>Parkeerplaats</v>
      </c>
      <c r="Z21" t="str">
        <v>Type parkeerplaats</v>
      </c>
      <c r="AA21" t="str">
        <v>Bouwjaar</v>
      </c>
      <c r="AB21" t="str">
        <v>Prijs op aanvraag</v>
      </c>
      <c r="AC21" t="str">
        <v>Outlier flag</v>
      </c>
      <c r="AD21" t="str">
        <v>GemeenteOK</v>
      </c>
    </row>
    <row r="22">
      <c r="A22" t="str">
        <v>80899094</v>
      </c>
      <c r="B22" t="str">
        <v>https://www.funda.nl/detail/koop/liempde/huis-kerkweide-6/80899094/</v>
      </c>
      <c r="C22" t="str">
        <v>Onbekend</v>
      </c>
      <c r="D22" t="str">
        <v>Kerkweide 6</v>
      </c>
      <c r="E22" t="str">
        <v>Onbekend</v>
      </c>
      <c r="F22" t="str">
        <v>5298 VX</v>
      </c>
      <c r="G22" t="str">
        <v>Liempde</v>
      </c>
      <c r="H22" t="str">
        <v>Onbekend</v>
      </c>
      <c r="I22" t="str">
        <v>Onbekend</v>
      </c>
      <c r="J22" t="str">
        <v>Onbekend</v>
      </c>
      <c r="K22" t="str">
        <v>Te koop</v>
      </c>
      <c r="L22" t="str">
        <v>2026-07-11</v>
      </c>
      <c r="M22">
        <v>2</v>
      </c>
      <c r="N22">
        <v>718000</v>
      </c>
      <c r="O22" t="str">
        <v>v.o.n.</v>
      </c>
      <c r="P22">
        <v>145</v>
      </c>
      <c r="Q22">
        <v>4952</v>
      </c>
      <c r="R22">
        <v>206</v>
      </c>
      <c r="S22" t="str">
        <v>A+++</v>
      </c>
      <c r="T22" t="str">
        <v>Onbekend</v>
      </c>
      <c r="U22">
        <v>4</v>
      </c>
      <c r="V22" t="str">
        <v>Grondgebonden</v>
      </c>
      <c r="W22" t="str">
        <v>Onbekend</v>
      </c>
      <c r="X22" t="str">
        <v>N.v.t.</v>
      </c>
      <c r="Y22" t="str">
        <v>Onbekend</v>
      </c>
      <c r="Z22" t="str">
        <v>onbekend</v>
      </c>
      <c r="AA22" t="str">
        <v>Onbekend</v>
      </c>
      <c r="AB22" t="str">
        <v>Nee</v>
      </c>
      <c r="AC22" t="str">
        <v>NEE</v>
      </c>
      <c r="AD22" t="str">
        <v>NEE</v>
      </c>
    </row>
  </sheetData>
  <autoFilter ref="A21:AD22"/>
  <ignoredErrors>
    <ignoredError numberStoredAsText="1" sqref="A1:AD22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AD2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Oost Gelre</v>
      </c>
    </row>
    <row r="3">
      <c r="A3" t="str">
        <v>Samenvatting</v>
      </c>
    </row>
    <row r="4">
      <c r="A4" t="str">
        <v>Aantal woningen</v>
      </c>
      <c r="B4">
        <v>2</v>
      </c>
    </row>
    <row r="5">
      <c r="A5" t="str">
        <v>Aantal te koop</v>
      </c>
      <c r="B5">
        <v>2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553250</v>
      </c>
    </row>
    <row r="9">
      <c r="A9" t="str">
        <v>Mediaan VON-prijs (€)</v>
      </c>
      <c r="B9">
        <v>553250</v>
      </c>
    </row>
    <row r="10">
      <c r="A10" t="str">
        <v>Gemiddelde VON-prijs per m² (€)</v>
      </c>
      <c r="B10">
        <v>4039</v>
      </c>
    </row>
    <row r="11">
      <c r="A11" t="str">
        <v>Mediaan VON-prijs per m² (€)</v>
      </c>
      <c r="B11">
        <v>4039</v>
      </c>
    </row>
    <row r="12">
      <c r="A12" t="str">
        <v>Gemiddelde GBO (m²)</v>
      </c>
      <c r="B12">
        <v>137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2-onder-1-kapwoning</v>
      </c>
      <c r="B17">
        <v>2</v>
      </c>
    </row>
    <row r="19">
      <c r="A19" t="str">
        <v>Uitsplitsing appartementcategorieen</v>
      </c>
      <c r="B19" t="str">
        <v>Aantal</v>
      </c>
    </row>
    <row r="21">
      <c r="A21" t="str">
        <v>Alle woningen in Oost Gelre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44422965</v>
      </c>
      <c r="B23" t="str">
        <v>https://www.funda.nl/detail/koop/groenlo/huis-koetsier-2-1-kap-bouwnr-13/44422965/</v>
      </c>
      <c r="C23" t="str">
        <v>Brouwhuizen Fase II</v>
      </c>
      <c r="D23" t="str">
        <v>Koetsier - 2/1 kap</v>
      </c>
      <c r="E23" t="str">
        <v>13</v>
      </c>
      <c r="F23" t="str">
        <v>7141</v>
      </c>
      <c r="G23" t="str">
        <v>Groenlo</v>
      </c>
      <c r="H23" t="str">
        <v>Oost Gelre</v>
      </c>
      <c r="I23" t="str">
        <v>Gelderland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545750</v>
      </c>
      <c r="O23" t="str">
        <v>v.o.n.</v>
      </c>
      <c r="P23">
        <v>137</v>
      </c>
      <c r="Q23">
        <v>3984</v>
      </c>
      <c r="R23">
        <v>343</v>
      </c>
      <c r="S23" t="str">
        <v>A+++</v>
      </c>
      <c r="T23">
        <v>4</v>
      </c>
      <c r="U23">
        <v>3</v>
      </c>
      <c r="V23" t="str">
        <v>Grondgebonden</v>
      </c>
      <c r="W23" t="str">
        <v>2-onder-1-kapwoning</v>
      </c>
      <c r="X23" t="str">
        <v>N.v.t.</v>
      </c>
      <c r="Y23" t="str">
        <v>Ja</v>
      </c>
      <c r="Z23" t="str">
        <v>eigen parkeerplaats</v>
      </c>
      <c r="AA23" t="str">
        <v>Na 2020</v>
      </c>
      <c r="AB23" t="str">
        <v>Nee</v>
      </c>
      <c r="AC23" t="str">
        <v>NEE</v>
      </c>
      <c r="AD23" t="str">
        <v>JA</v>
      </c>
    </row>
    <row r="24">
      <c r="A24" t="str">
        <v>44422851</v>
      </c>
      <c r="B24" t="str">
        <v>https://www.funda.nl/detail/koop/groenlo/huis-koetsier-2-1-kap-bouwnr-14/44422851/</v>
      </c>
      <c r="C24" t="str">
        <v>Brouwhuizen Fase II</v>
      </c>
      <c r="D24" t="str">
        <v>Koetsier - 2/1 kap</v>
      </c>
      <c r="E24" t="str">
        <v>14</v>
      </c>
      <c r="F24" t="str">
        <v>7141</v>
      </c>
      <c r="G24" t="str">
        <v>Groenlo</v>
      </c>
      <c r="H24" t="str">
        <v>Oost Gelre</v>
      </c>
      <c r="I24" t="str">
        <v>Gelderland</v>
      </c>
      <c r="J24" t="str">
        <v>Oost-Nederland</v>
      </c>
      <c r="K24" t="str">
        <v>Te koop</v>
      </c>
      <c r="L24" t="str">
        <v>Onbekend</v>
      </c>
      <c r="M24" t="str">
        <v>Onbekend</v>
      </c>
      <c r="N24">
        <v>560750</v>
      </c>
      <c r="O24" t="str">
        <v>v.o.n.</v>
      </c>
      <c r="P24">
        <v>137</v>
      </c>
      <c r="Q24">
        <v>4093</v>
      </c>
      <c r="R24">
        <v>374</v>
      </c>
      <c r="S24" t="str">
        <v>A+++</v>
      </c>
      <c r="T24">
        <v>4</v>
      </c>
      <c r="U24">
        <v>3</v>
      </c>
      <c r="V24" t="str">
        <v>Grondgebonden</v>
      </c>
      <c r="W24" t="str">
        <v>2-onder-1-kapwoning</v>
      </c>
      <c r="X24" t="str">
        <v>N.v.t.</v>
      </c>
      <c r="Y24" t="str">
        <v>Ja</v>
      </c>
      <c r="Z24" t="str">
        <v>eigen parkeerplaats</v>
      </c>
      <c r="AA24" t="str">
        <v>Na 2020</v>
      </c>
      <c r="AB24" t="str">
        <v>Nee</v>
      </c>
      <c r="AC24" t="str">
        <v>NEE</v>
      </c>
      <c r="AD24" t="str">
        <v>JA</v>
      </c>
    </row>
  </sheetData>
  <autoFilter ref="A22:AD24"/>
  <ignoredErrors>
    <ignoredError numberStoredAsText="1" sqref="A1:AD24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AD26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Overbetuwe</v>
      </c>
    </row>
    <row r="3">
      <c r="A3" t="str">
        <v>Samenvatting</v>
      </c>
    </row>
    <row r="4">
      <c r="A4" t="str">
        <v>Aantal woningen</v>
      </c>
      <c r="B4">
        <v>4</v>
      </c>
    </row>
    <row r="5">
      <c r="A5" t="str">
        <v>Aantal te koop</v>
      </c>
      <c r="B5">
        <v>4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427000</v>
      </c>
    </row>
    <row r="9">
      <c r="A9" t="str">
        <v>Mediaan VON-prijs (€)</v>
      </c>
      <c r="B9">
        <v>427000</v>
      </c>
    </row>
    <row r="10">
      <c r="A10" t="str">
        <v>Gemiddelde VON-prijs per m² (€)</v>
      </c>
      <c r="B10">
        <v>4744</v>
      </c>
    </row>
    <row r="11">
      <c r="A11" t="str">
        <v>Mediaan VON-prijs per m² (€)</v>
      </c>
      <c r="B11">
        <v>4744</v>
      </c>
    </row>
    <row r="12">
      <c r="A12" t="str">
        <v>Gemiddelde GBO (m²)</v>
      </c>
      <c r="B12">
        <v>90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Eindwoning</v>
      </c>
      <c r="B17">
        <v>4</v>
      </c>
    </row>
    <row r="19">
      <c r="A19" t="str">
        <v>Uitsplitsing appartementcategorieen</v>
      </c>
      <c r="B19" t="str">
        <v>Aantal</v>
      </c>
    </row>
    <row r="21">
      <c r="A21" t="str">
        <v>Alle woningen in Overbetuwe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44420322</v>
      </c>
      <c r="B23" t="str">
        <v>https://www.funda.nl/detail/koop/zetten/huis-bouwnummer-bouwnr-4/44420322/</v>
      </c>
      <c r="C23" t="str">
        <v>Veldzicht</v>
      </c>
      <c r="D23" t="str">
        <v>Bouwnummer</v>
      </c>
      <c r="E23" t="str">
        <v>4</v>
      </c>
      <c r="F23" t="str">
        <v>6671 BX</v>
      </c>
      <c r="G23" t="str">
        <v>Zetten</v>
      </c>
      <c r="H23" t="str">
        <v>Overbetuwe</v>
      </c>
      <c r="I23" t="str">
        <v>Gelderland</v>
      </c>
      <c r="J23" t="str">
        <v>Oost-Nederland</v>
      </c>
      <c r="K23" t="str">
        <v>Te koop</v>
      </c>
      <c r="L23" t="str">
        <v>Onbekend</v>
      </c>
      <c r="M23" t="str">
        <v>Onbekend</v>
      </c>
      <c r="N23">
        <v>427000</v>
      </c>
      <c r="O23" t="str">
        <v>v.o.n.</v>
      </c>
      <c r="P23">
        <v>90</v>
      </c>
      <c r="Q23">
        <v>4744</v>
      </c>
      <c r="R23">
        <v>170</v>
      </c>
      <c r="S23" t="str">
        <v>A+++</v>
      </c>
      <c r="T23">
        <v>2</v>
      </c>
      <c r="U23">
        <v>2</v>
      </c>
      <c r="V23" t="str">
        <v>Grondgebonden</v>
      </c>
      <c r="W23" t="str">
        <v>Eindwoning</v>
      </c>
      <c r="X23" t="str">
        <v>N.v.t.</v>
      </c>
      <c r="Y23" t="str">
        <v>Ja</v>
      </c>
      <c r="Z23" t="str">
        <v>openbare parkeerplaats</v>
      </c>
      <c r="AA23" t="str">
        <v>2027</v>
      </c>
      <c r="AB23" t="str">
        <v>Nee</v>
      </c>
      <c r="AC23" t="str">
        <v>NEE</v>
      </c>
      <c r="AD23" t="str">
        <v>JA</v>
      </c>
    </row>
    <row r="24">
      <c r="A24" t="str">
        <v>44420321</v>
      </c>
      <c r="B24" t="str">
        <v>https://www.funda.nl/detail/koop/zetten/huis-bouwnummer-bouwnr-3/44420321/</v>
      </c>
      <c r="C24" t="str">
        <v>Veldzicht</v>
      </c>
      <c r="D24" t="str">
        <v>Bouwnummer</v>
      </c>
      <c r="E24" t="str">
        <v>3</v>
      </c>
      <c r="F24" t="str">
        <v>6671 BX</v>
      </c>
      <c r="G24" t="str">
        <v>Zetten</v>
      </c>
      <c r="H24" t="str">
        <v>Overbetuwe</v>
      </c>
      <c r="I24" t="str">
        <v>Gelderland</v>
      </c>
      <c r="J24" t="str">
        <v>Oost-Nederland</v>
      </c>
      <c r="K24" t="str">
        <v>Te koop</v>
      </c>
      <c r="L24" t="str">
        <v>Onbekend</v>
      </c>
      <c r="M24" t="str">
        <v>Onbekend</v>
      </c>
      <c r="N24">
        <v>427000</v>
      </c>
      <c r="O24" t="str">
        <v>v.o.n.</v>
      </c>
      <c r="P24">
        <v>90</v>
      </c>
      <c r="Q24">
        <v>4744</v>
      </c>
      <c r="R24">
        <v>170</v>
      </c>
      <c r="S24" t="str">
        <v>A+++</v>
      </c>
      <c r="T24">
        <v>2</v>
      </c>
      <c r="U24">
        <v>2</v>
      </c>
      <c r="V24" t="str">
        <v>Grondgebonden</v>
      </c>
      <c r="W24" t="str">
        <v>Eindwoning</v>
      </c>
      <c r="X24" t="str">
        <v>N.v.t.</v>
      </c>
      <c r="Y24" t="str">
        <v>Ja</v>
      </c>
      <c r="Z24" t="str">
        <v>openbare parkeerplaats</v>
      </c>
      <c r="AA24" t="str">
        <v>2027</v>
      </c>
      <c r="AB24" t="str">
        <v>Nee</v>
      </c>
      <c r="AC24" t="str">
        <v>NEE</v>
      </c>
      <c r="AD24" t="str">
        <v>JA</v>
      </c>
    </row>
    <row r="25">
      <c r="A25" t="str">
        <v>44420996</v>
      </c>
      <c r="B25" t="str">
        <v>https://www.funda.nl/detail/koop/zetten/huis-veldzicht-bouwnummer-4/44420996/</v>
      </c>
      <c r="C25" t="str">
        <v>Onbekend</v>
      </c>
      <c r="D25" t="str">
        <v>Veldzicht - Bouwnummer 4</v>
      </c>
      <c r="E25" t="str">
        <v>Onbekend</v>
      </c>
      <c r="F25" t="str">
        <v>6671 BX</v>
      </c>
      <c r="G25" t="str">
        <v>Zetten</v>
      </c>
      <c r="H25" t="str">
        <v>Overbetuwe</v>
      </c>
      <c r="I25" t="str">
        <v>Gelderland</v>
      </c>
      <c r="J25" t="str">
        <v>Oost-Nederland</v>
      </c>
      <c r="K25" t="str">
        <v>Te koop</v>
      </c>
      <c r="L25" t="str">
        <v>Onbekend</v>
      </c>
      <c r="M25" t="str">
        <v>Onbekend</v>
      </c>
      <c r="N25">
        <v>427000</v>
      </c>
      <c r="O25" t="str">
        <v>v.o.n.</v>
      </c>
      <c r="P25">
        <v>90</v>
      </c>
      <c r="Q25">
        <v>4744</v>
      </c>
      <c r="R25">
        <v>170</v>
      </c>
      <c r="S25" t="str">
        <v>A+++</v>
      </c>
      <c r="T25">
        <v>3</v>
      </c>
      <c r="U25">
        <v>2</v>
      </c>
      <c r="V25" t="str">
        <v>Grondgebonden</v>
      </c>
      <c r="W25" t="str">
        <v>Eindwoning</v>
      </c>
      <c r="X25" t="str">
        <v>N.v.t.</v>
      </c>
      <c r="Y25" t="str">
        <v>Ja</v>
      </c>
      <c r="Z25" t="str">
        <v>openbare parkeerplaats</v>
      </c>
      <c r="AA25" t="str">
        <v>2027</v>
      </c>
      <c r="AB25" t="str">
        <v>Nee</v>
      </c>
      <c r="AC25" t="str">
        <v>NEE</v>
      </c>
      <c r="AD25" t="str">
        <v>JA</v>
      </c>
    </row>
    <row r="26">
      <c r="A26" t="str">
        <v>44420994</v>
      </c>
      <c r="B26" t="str">
        <v>https://www.funda.nl/detail/koop/zetten/huis-veldzicht-bouwnummer-3/44420994/</v>
      </c>
      <c r="C26" t="str">
        <v>Onbekend</v>
      </c>
      <c r="D26" t="str">
        <v>Veldzicht - Bouwnummer 3</v>
      </c>
      <c r="E26" t="str">
        <v>Onbekend</v>
      </c>
      <c r="F26" t="str">
        <v>6671 BX</v>
      </c>
      <c r="G26" t="str">
        <v>Zetten</v>
      </c>
      <c r="H26" t="str">
        <v>Overbetuwe</v>
      </c>
      <c r="I26" t="str">
        <v>Gelderland</v>
      </c>
      <c r="J26" t="str">
        <v>Oost-Nederland</v>
      </c>
      <c r="K26" t="str">
        <v>Te koop</v>
      </c>
      <c r="L26" t="str">
        <v>Onbekend</v>
      </c>
      <c r="M26" t="str">
        <v>Onbekend</v>
      </c>
      <c r="N26">
        <v>427000</v>
      </c>
      <c r="O26" t="str">
        <v>v.o.n.</v>
      </c>
      <c r="P26">
        <v>90</v>
      </c>
      <c r="Q26">
        <v>4744</v>
      </c>
      <c r="R26">
        <v>170</v>
      </c>
      <c r="S26" t="str">
        <v>A+++</v>
      </c>
      <c r="T26">
        <v>3</v>
      </c>
      <c r="U26">
        <v>2</v>
      </c>
      <c r="V26" t="str">
        <v>Grondgebonden</v>
      </c>
      <c r="W26" t="str">
        <v>Eindwoning</v>
      </c>
      <c r="X26" t="str">
        <v>N.v.t.</v>
      </c>
      <c r="Y26" t="str">
        <v>Ja</v>
      </c>
      <c r="Z26" t="str">
        <v>openbare parkeerplaats</v>
      </c>
      <c r="AA26" t="str">
        <v>2027</v>
      </c>
      <c r="AB26" t="str">
        <v>Nee</v>
      </c>
      <c r="AC26" t="str">
        <v>NEE</v>
      </c>
      <c r="AD26" t="str">
        <v>JA</v>
      </c>
    </row>
  </sheetData>
  <autoFilter ref="A22:AD26"/>
  <ignoredErrors>
    <ignoredError numberStoredAsText="1" sqref="A1:AD26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Purmerend</v>
      </c>
    </row>
    <row r="3">
      <c r="A3" t="str">
        <v>Samenvatting</v>
      </c>
    </row>
    <row r="4">
      <c r="A4" t="str">
        <v>Aantal woningen</v>
      </c>
      <c r="B4">
        <v>4</v>
      </c>
    </row>
    <row r="5">
      <c r="A5" t="str">
        <v>Aantal te koop</v>
      </c>
      <c r="B5">
        <v>4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674375</v>
      </c>
    </row>
    <row r="9">
      <c r="A9" t="str">
        <v>Mediaan VON-prijs (€)</v>
      </c>
      <c r="B9">
        <v>547500</v>
      </c>
    </row>
    <row r="10">
      <c r="A10" t="str">
        <v>Gemiddelde VON-prijs per m² (€)</v>
      </c>
      <c r="B10">
        <v>5821</v>
      </c>
    </row>
    <row r="11">
      <c r="A11" t="str">
        <v>Mediaan VON-prijs per m² (€)</v>
      </c>
      <c r="B11">
        <v>6366</v>
      </c>
    </row>
    <row r="12">
      <c r="A12" t="str">
        <v>Gemiddelde GBO (m²)</v>
      </c>
      <c r="B12">
        <v>132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1</v>
      </c>
    </row>
    <row r="19">
      <c r="A19" t="str">
        <v>Uitsplitsing appartementcategorieen</v>
      </c>
      <c r="B19" t="str">
        <v>Aantal</v>
      </c>
    </row>
    <row r="20">
      <c r="A20" t="str">
        <v>Appartement 50-75 m²</v>
      </c>
      <c r="B20">
        <v>1</v>
      </c>
    </row>
    <row r="21">
      <c r="A21" t="str">
        <v>Appartement 75-100 m²</v>
      </c>
      <c r="B21">
        <v>2</v>
      </c>
    </row>
    <row r="23">
      <c r="A23" t="str">
        <v>Alle woningen in Purmerend</v>
      </c>
    </row>
    <row r="24">
      <c r="A24" t="str">
        <v>Funda ID</v>
      </c>
      <c r="B24" t="str">
        <v>Funda URL</v>
      </c>
      <c r="C24" t="str">
        <v>Projectnaam</v>
      </c>
      <c r="D24" t="str">
        <v>Adres</v>
      </c>
      <c r="E24" t="str">
        <v>Bouwnummer</v>
      </c>
      <c r="F24" t="str">
        <v>Postcode</v>
      </c>
      <c r="G24" t="str">
        <v>Plaats</v>
      </c>
      <c r="H24" t="str">
        <v>Gemeente</v>
      </c>
      <c r="I24" t="str">
        <v>Provincie</v>
      </c>
      <c r="J24" t="str">
        <v>Regio</v>
      </c>
      <c r="K24" t="str">
        <v>Status</v>
      </c>
      <c r="L24" t="str">
        <v>Datum plaatsing</v>
      </c>
      <c r="M24" t="str">
        <v>Looptijd (dagen)</v>
      </c>
      <c r="N24" t="str">
        <v>Vraagprijs (€)</v>
      </c>
      <c r="O24" t="str">
        <v>Kostenlabel</v>
      </c>
      <c r="P24" t="str">
        <v>GBO (m²)</v>
      </c>
      <c r="Q24" t="str">
        <v>VON-prijs per m² (€)</v>
      </c>
      <c r="R24" t="str">
        <v>Perceeloppervlakte (m²)</v>
      </c>
      <c r="S24" t="str">
        <v>Energielabel</v>
      </c>
      <c r="T24" t="str">
        <v>Aantal kamers</v>
      </c>
      <c r="U24" t="str">
        <v>Aantal slaapkamers</v>
      </c>
      <c r="V24" t="str">
        <v>Woningcategorie</v>
      </c>
      <c r="W24" t="str">
        <v>Woningtype</v>
      </c>
      <c r="X24" t="str">
        <v>Appartement categorie</v>
      </c>
      <c r="Y24" t="str">
        <v>Parkeerplaats</v>
      </c>
      <c r="Z24" t="str">
        <v>Type parkeerplaats</v>
      </c>
      <c r="AA24" t="str">
        <v>Bouwjaar</v>
      </c>
      <c r="AB24" t="str">
        <v>Prijs op aanvraag</v>
      </c>
      <c r="AC24" t="str">
        <v>Outlier flag</v>
      </c>
      <c r="AD24" t="str">
        <v>GemeenteOK</v>
      </c>
    </row>
    <row r="25">
      <c r="A25" t="str">
        <v>80888833</v>
      </c>
      <c r="B25" t="str">
        <v>https://www.funda.nl/detail/koop/purmerend/appartement-waterlandlaan-9-h/80888833/</v>
      </c>
      <c r="C25" t="str">
        <v>Purmerend | Terrazza</v>
      </c>
      <c r="D25" t="str">
        <v>Waterlandlaan 9-H</v>
      </c>
      <c r="E25" t="str">
        <v>Onbekend</v>
      </c>
      <c r="F25" t="str">
        <v>1441 RS</v>
      </c>
      <c r="G25" t="str">
        <v>Purmerend</v>
      </c>
      <c r="H25" t="str">
        <v>Purmerend</v>
      </c>
      <c r="I25" t="str">
        <v>Noord-Holland</v>
      </c>
      <c r="J25" t="str">
        <v>West-Nederland</v>
      </c>
      <c r="K25" t="str">
        <v>Te koop</v>
      </c>
      <c r="L25" t="str">
        <v>Onbekend</v>
      </c>
      <c r="M25" t="str">
        <v>Onbekend</v>
      </c>
      <c r="N25">
        <v>545000</v>
      </c>
      <c r="O25" t="str">
        <v>v.o.n.</v>
      </c>
      <c r="P25">
        <v>86</v>
      </c>
      <c r="Q25">
        <v>6337</v>
      </c>
      <c r="R25" t="str">
        <v>Onbekend</v>
      </c>
      <c r="S25" t="str">
        <v>A+</v>
      </c>
      <c r="T25">
        <v>3</v>
      </c>
      <c r="U25">
        <v>2</v>
      </c>
      <c r="V25" t="str">
        <v>Appartement</v>
      </c>
      <c r="W25" t="str">
        <v>Appartement</v>
      </c>
      <c r="X25" t="str">
        <v>Appartement 75-100 m²</v>
      </c>
      <c r="Y25" t="str">
        <v>Ja</v>
      </c>
      <c r="Z25" t="str">
        <v>garage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80888795</v>
      </c>
      <c r="B26" t="str">
        <v>https://www.funda.nl/detail/koop/purmerend/appartement-waterlandlaan-9-f/80888795/</v>
      </c>
      <c r="C26" t="str">
        <v>Purmerend | Terrazza</v>
      </c>
      <c r="D26" t="str">
        <v>Waterlandlaan 9-F</v>
      </c>
      <c r="E26" t="str">
        <v>Onbekend</v>
      </c>
      <c r="F26" t="str">
        <v>1441 RS</v>
      </c>
      <c r="G26" t="str">
        <v>Purmerend</v>
      </c>
      <c r="H26" t="str">
        <v>Purmerend</v>
      </c>
      <c r="I26" t="str">
        <v>Noord-Holland</v>
      </c>
      <c r="J26" t="str">
        <v>West-Nederland</v>
      </c>
      <c r="K26" t="str">
        <v>Te koop</v>
      </c>
      <c r="L26" t="str">
        <v>Onbekend</v>
      </c>
      <c r="M26" t="str">
        <v>Onbekend</v>
      </c>
      <c r="N26">
        <v>550000</v>
      </c>
      <c r="O26" t="str">
        <v>v.o.n.</v>
      </c>
      <c r="P26">
        <v>86</v>
      </c>
      <c r="Q26">
        <v>6395</v>
      </c>
      <c r="R26" t="str">
        <v>Onbekend</v>
      </c>
      <c r="S26" t="str">
        <v>A+</v>
      </c>
      <c r="T26">
        <v>3</v>
      </c>
      <c r="U26">
        <v>2</v>
      </c>
      <c r="V26" t="str">
        <v>Appartement</v>
      </c>
      <c r="W26" t="str">
        <v>Appartement</v>
      </c>
      <c r="X26" t="str">
        <v>Appartement 75-100 m²</v>
      </c>
      <c r="Y26" t="str">
        <v>Ja</v>
      </c>
      <c r="Z26" t="str">
        <v>garage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80888769</v>
      </c>
      <c r="B27" t="str">
        <v>https://www.funda.nl/detail/koop/purmerend/appartement-waterlandlaan-7-b/80888769/</v>
      </c>
      <c r="C27" t="str">
        <v>Purmerend | Terrazza</v>
      </c>
      <c r="D27" t="str">
        <v>Waterlandlaan 7-B</v>
      </c>
      <c r="E27" t="str">
        <v>Onbekend</v>
      </c>
      <c r="F27" t="str">
        <v>1441 RS</v>
      </c>
      <c r="G27" t="str">
        <v>Purmerend</v>
      </c>
      <c r="H27" t="str">
        <v>Purmerend</v>
      </c>
      <c r="I27" t="str">
        <v>Noord-Holland</v>
      </c>
      <c r="J27" t="str">
        <v>West-Nederland</v>
      </c>
      <c r="K27" t="str">
        <v>Te koop</v>
      </c>
      <c r="L27" t="str">
        <v>Onbekend</v>
      </c>
      <c r="M27" t="str">
        <v>Onbekend</v>
      </c>
      <c r="N27">
        <v>452500</v>
      </c>
      <c r="O27" t="str">
        <v>v.o.n.</v>
      </c>
      <c r="P27">
        <v>69</v>
      </c>
      <c r="Q27">
        <v>6558</v>
      </c>
      <c r="R27" t="str">
        <v>Onbekend</v>
      </c>
      <c r="S27" t="str">
        <v>A+</v>
      </c>
      <c r="T27">
        <v>3</v>
      </c>
      <c r="U27">
        <v>2</v>
      </c>
      <c r="V27" t="str">
        <v>Appartement</v>
      </c>
      <c r="W27" t="str">
        <v>Appartement</v>
      </c>
      <c r="X27" t="str">
        <v>Appartement 50-75 m²</v>
      </c>
      <c r="Y27" t="str">
        <v>Ja</v>
      </c>
      <c r="Z27" t="str">
        <v>garage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44423222</v>
      </c>
      <c r="B28" t="str">
        <v>https://www.funda.nl/detail/koop/middenbeemster/huis-unescolaan-40/44423222/</v>
      </c>
      <c r="C28" t="str">
        <v>Onbekend</v>
      </c>
      <c r="D28" t="str">
        <v>Unescolaan 40</v>
      </c>
      <c r="E28" t="str">
        <v>Onbekend</v>
      </c>
      <c r="F28" t="str">
        <v>1462 SC</v>
      </c>
      <c r="G28" t="str">
        <v>Middenbeemster</v>
      </c>
      <c r="H28" t="str">
        <v>Purmerend</v>
      </c>
      <c r="I28" t="str">
        <v>Noord-Holland</v>
      </c>
      <c r="J28" t="str">
        <v>West-Nederland</v>
      </c>
      <c r="K28" t="str">
        <v>Te koop</v>
      </c>
      <c r="L28" t="str">
        <v>Onbekend</v>
      </c>
      <c r="M28" t="str">
        <v>Onbekend</v>
      </c>
      <c r="N28">
        <v>1150000</v>
      </c>
      <c r="O28" t="str">
        <v>v.o.n.</v>
      </c>
      <c r="P28">
        <v>288</v>
      </c>
      <c r="Q28">
        <v>3993</v>
      </c>
      <c r="R28">
        <v>387</v>
      </c>
      <c r="S28" t="str">
        <v>Niet beschikbaar</v>
      </c>
      <c r="T28">
        <v>6</v>
      </c>
      <c r="U28">
        <v>3</v>
      </c>
      <c r="V28" t="str">
        <v>Grondgebonden</v>
      </c>
      <c r="W28" t="str">
        <v>Vrijstaande woning</v>
      </c>
      <c r="X28" t="str">
        <v>N.v.t.</v>
      </c>
      <c r="Y28" t="str">
        <v>Ja</v>
      </c>
      <c r="Z28" t="str">
        <v>eigen parkeerplaats</v>
      </c>
      <c r="AA28" t="str">
        <v>Na 2020</v>
      </c>
      <c r="AB28" t="str">
        <v>Nee</v>
      </c>
      <c r="AC28" t="str">
        <v>NEE</v>
      </c>
      <c r="AD28" t="str">
        <v>JA</v>
      </c>
    </row>
  </sheetData>
  <autoFilter ref="A24:AD28"/>
  <ignoredErrors>
    <ignoredError numberStoredAsText="1" sqref="A1:AD28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Roermond</v>
      </c>
    </row>
    <row r="3">
      <c r="A3" t="str">
        <v>Samenvatting</v>
      </c>
    </row>
    <row r="4">
      <c r="A4" t="str">
        <v>Aantal woningen</v>
      </c>
      <c r="B4">
        <v>6</v>
      </c>
    </row>
    <row r="5">
      <c r="A5" t="str">
        <v>Aantal te koop</v>
      </c>
      <c r="B5">
        <v>4</v>
      </c>
    </row>
    <row r="6">
      <c r="A6" t="str">
        <v>Aantal verkocht</v>
      </c>
      <c r="B6">
        <v>0</v>
      </c>
    </row>
    <row r="7">
      <c r="A7" t="str">
        <v>Aantal V.O.V.</v>
      </c>
      <c r="B7">
        <v>2</v>
      </c>
    </row>
    <row r="8">
      <c r="A8" t="str">
        <v>Gemiddelde VON-prijs (€)</v>
      </c>
      <c r="B8">
        <v>420000</v>
      </c>
    </row>
    <row r="9">
      <c r="A9" t="str">
        <v>Mediaan VON-prijs (€)</v>
      </c>
      <c r="B9">
        <v>420000</v>
      </c>
    </row>
    <row r="10">
      <c r="A10" t="str">
        <v>Gemiddelde VON-prijs per m² (€)</v>
      </c>
      <c r="B10">
        <v>3684</v>
      </c>
    </row>
    <row r="11">
      <c r="A11" t="str">
        <v>Mediaan VON-prijs per m² (€)</v>
      </c>
      <c r="B11">
        <v>3684</v>
      </c>
    </row>
    <row r="12">
      <c r="A12" t="str">
        <v>Gemiddelde GBO (m²)</v>
      </c>
      <c r="B12">
        <v>114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2-onder-1-kapwoning</v>
      </c>
      <c r="B17">
        <v>6</v>
      </c>
    </row>
    <row r="19">
      <c r="A19" t="str">
        <v>Uitsplitsing appartementcategorieen</v>
      </c>
      <c r="B19" t="str">
        <v>Aantal</v>
      </c>
    </row>
    <row r="21">
      <c r="A21" t="str">
        <v>Alle woningen in Roermond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44427144</v>
      </c>
      <c r="B23" t="str">
        <v>https://www.funda.nl/detail/koop/roermond/huis-starterswoningen-bouwnr-4/44427144/</v>
      </c>
      <c r="C23" t="str">
        <v>Leeuwendaal Starterswoningen</v>
      </c>
      <c r="D23" t="str">
        <v>Starterswoningen</v>
      </c>
      <c r="E23" t="str">
        <v>4</v>
      </c>
      <c r="F23" t="str">
        <v>6041 BK</v>
      </c>
      <c r="G23" t="str">
        <v>Roermond</v>
      </c>
      <c r="H23" t="str">
        <v>Roermond</v>
      </c>
      <c r="I23" t="str">
        <v>Limburg</v>
      </c>
      <c r="J23" t="str">
        <v>Zuid-Nederland</v>
      </c>
      <c r="K23" t="str">
        <v>Te koop</v>
      </c>
      <c r="L23" t="str">
        <v>Onbekend</v>
      </c>
      <c r="M23" t="str">
        <v>Onbekend</v>
      </c>
      <c r="N23">
        <v>420000</v>
      </c>
      <c r="O23" t="str">
        <v>v.o.n.</v>
      </c>
      <c r="P23">
        <v>114</v>
      </c>
      <c r="Q23">
        <v>3684</v>
      </c>
      <c r="R23">
        <v>202</v>
      </c>
      <c r="S23" t="str">
        <v>A+++</v>
      </c>
      <c r="T23">
        <v>6</v>
      </c>
      <c r="U23">
        <v>4</v>
      </c>
      <c r="V23" t="str">
        <v>Grondgebonden</v>
      </c>
      <c r="W23" t="str">
        <v>2-onder-1-kapwoning</v>
      </c>
      <c r="X23" t="str">
        <v>N.v.t.</v>
      </c>
      <c r="Y23" t="str">
        <v>Ja</v>
      </c>
      <c r="Z23" t="str">
        <v>eigen parkeerplaats</v>
      </c>
      <c r="AA23" t="str">
        <v>2026</v>
      </c>
      <c r="AB23" t="str">
        <v>Nee</v>
      </c>
      <c r="AC23" t="str">
        <v>NEE</v>
      </c>
      <c r="AD23" t="str">
        <v>JA</v>
      </c>
    </row>
    <row r="24">
      <c r="A24" t="str">
        <v>44427143</v>
      </c>
      <c r="B24" t="str">
        <v>https://www.funda.nl/detail/koop/roermond/huis-starterswoningen-bouwnr-5/44427143/</v>
      </c>
      <c r="C24" t="str">
        <v>Leeuwendaal Starterswoningen</v>
      </c>
      <c r="D24" t="str">
        <v>Starterswoningen</v>
      </c>
      <c r="E24" t="str">
        <v>5</v>
      </c>
      <c r="F24" t="str">
        <v>6041 BK</v>
      </c>
      <c r="G24" t="str">
        <v>Roermond</v>
      </c>
      <c r="H24" t="str">
        <v>Roermond</v>
      </c>
      <c r="I24" t="str">
        <v>Limburg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420000</v>
      </c>
      <c r="O24" t="str">
        <v>v.o.n.</v>
      </c>
      <c r="P24">
        <v>114</v>
      </c>
      <c r="Q24">
        <v>3684</v>
      </c>
      <c r="R24">
        <v>193</v>
      </c>
      <c r="S24" t="str">
        <v>A+++</v>
      </c>
      <c r="T24">
        <v>6</v>
      </c>
      <c r="U24">
        <v>4</v>
      </c>
      <c r="V24" t="str">
        <v>Grondgebonden</v>
      </c>
      <c r="W24" t="str">
        <v>2-onder-1-kapwoning</v>
      </c>
      <c r="X24" t="str">
        <v>N.v.t.</v>
      </c>
      <c r="Y24" t="str">
        <v>Ja</v>
      </c>
      <c r="Z24" t="str">
        <v>eigen parkeerplaats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44427132</v>
      </c>
      <c r="B25" t="str">
        <v>https://www.funda.nl/detail/koop/roermond/huis-starterswoningen-bouwnr-6/44427132/</v>
      </c>
      <c r="C25" t="str">
        <v>Leeuwendaal Starterswoningen</v>
      </c>
      <c r="D25" t="str">
        <v>Starterswoningen</v>
      </c>
      <c r="E25" t="str">
        <v>6</v>
      </c>
      <c r="F25" t="str">
        <v>6041 BK</v>
      </c>
      <c r="G25" t="str">
        <v>Roermond</v>
      </c>
      <c r="H25" t="str">
        <v>Roermond</v>
      </c>
      <c r="I25" t="str">
        <v>Limburg</v>
      </c>
      <c r="J25" t="str">
        <v>Zuid-Nederland</v>
      </c>
      <c r="K25" t="str">
        <v>V.O.V.</v>
      </c>
      <c r="L25" t="str">
        <v>Onbekend</v>
      </c>
      <c r="M25" t="str">
        <v>Onbekend</v>
      </c>
      <c r="N25">
        <v>420000</v>
      </c>
      <c r="O25" t="str">
        <v>v.o.n.</v>
      </c>
      <c r="P25">
        <v>114</v>
      </c>
      <c r="Q25">
        <v>3684</v>
      </c>
      <c r="R25">
        <v>203</v>
      </c>
      <c r="S25" t="str">
        <v>A+++</v>
      </c>
      <c r="T25">
        <v>6</v>
      </c>
      <c r="U25">
        <v>4</v>
      </c>
      <c r="V25" t="str">
        <v>Grondgebonden</v>
      </c>
      <c r="W25" t="str">
        <v>2-onder-1-kapwoning</v>
      </c>
      <c r="X25" t="str">
        <v>N.v.t.</v>
      </c>
      <c r="Y25" t="str">
        <v>Ja</v>
      </c>
      <c r="Z25" t="str">
        <v>eigen parkeerplaats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44427131</v>
      </c>
      <c r="B26" t="str">
        <v>https://www.funda.nl/detail/koop/roermond/huis-starterswoningen-bouwnr-3/44427131/</v>
      </c>
      <c r="C26" t="str">
        <v>Leeuwendaal Starterswoningen</v>
      </c>
      <c r="D26" t="str">
        <v>Starterswoningen</v>
      </c>
      <c r="E26" t="str">
        <v>3</v>
      </c>
      <c r="F26" t="str">
        <v>6041 BK</v>
      </c>
      <c r="G26" t="str">
        <v>Roermond</v>
      </c>
      <c r="H26" t="str">
        <v>Roermond</v>
      </c>
      <c r="I26" t="str">
        <v>Limburg</v>
      </c>
      <c r="J26" t="str">
        <v>Zuid-Nederland</v>
      </c>
      <c r="K26" t="str">
        <v>V.O.V.</v>
      </c>
      <c r="L26" t="str">
        <v>Onbekend</v>
      </c>
      <c r="M26" t="str">
        <v>Onbekend</v>
      </c>
      <c r="N26">
        <v>420000</v>
      </c>
      <c r="O26" t="str">
        <v>v.o.n.</v>
      </c>
      <c r="P26">
        <v>114</v>
      </c>
      <c r="Q26">
        <v>3684</v>
      </c>
      <c r="R26">
        <v>192</v>
      </c>
      <c r="S26" t="str">
        <v>A+++</v>
      </c>
      <c r="T26">
        <v>6</v>
      </c>
      <c r="U26">
        <v>4</v>
      </c>
      <c r="V26" t="str">
        <v>Grondgebonden</v>
      </c>
      <c r="W26" t="str">
        <v>2-onder-1-kapwoning</v>
      </c>
      <c r="X26" t="str">
        <v>N.v.t.</v>
      </c>
      <c r="Y26" t="str">
        <v>Ja</v>
      </c>
      <c r="Z26" t="str">
        <v>eigen parkeerplaats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44427130</v>
      </c>
      <c r="B27" t="str">
        <v>https://www.funda.nl/detail/koop/roermond/huis-starterswoningen-bouwnr-1/44427130/</v>
      </c>
      <c r="C27" t="str">
        <v>Leeuwendaal Starterswoningen</v>
      </c>
      <c r="D27" t="str">
        <v>Starterswoningen</v>
      </c>
      <c r="E27" t="str">
        <v>1</v>
      </c>
      <c r="F27" t="str">
        <v>6041 BK</v>
      </c>
      <c r="G27" t="str">
        <v>Roermond</v>
      </c>
      <c r="H27" t="str">
        <v>Roermond</v>
      </c>
      <c r="I27" t="str">
        <v>Limburg</v>
      </c>
      <c r="J27" t="str">
        <v>Zuid-Nederland</v>
      </c>
      <c r="K27" t="str">
        <v>Te koop</v>
      </c>
      <c r="L27" t="str">
        <v>Onbekend</v>
      </c>
      <c r="M27" t="str">
        <v>Onbekend</v>
      </c>
      <c r="N27">
        <v>420000</v>
      </c>
      <c r="O27" t="str">
        <v>v.o.n.</v>
      </c>
      <c r="P27">
        <v>114</v>
      </c>
      <c r="Q27">
        <v>3684</v>
      </c>
      <c r="R27">
        <v>193</v>
      </c>
      <c r="S27" t="str">
        <v>A+++</v>
      </c>
      <c r="T27">
        <v>6</v>
      </c>
      <c r="U27">
        <v>4</v>
      </c>
      <c r="V27" t="str">
        <v>Grondgebonden</v>
      </c>
      <c r="W27" t="str">
        <v>2-onder-1-kapwoning</v>
      </c>
      <c r="X27" t="str">
        <v>N.v.t.</v>
      </c>
      <c r="Y27" t="str">
        <v>Ja</v>
      </c>
      <c r="Z27" t="str">
        <v>eigen parkeerplaats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44427145</v>
      </c>
      <c r="B28" t="str">
        <v>https://www.funda.nl/detail/koop/roermond/huis-starterswoningen-bouwnr-2/44427145/</v>
      </c>
      <c r="C28" t="str">
        <v>Leeuwendaal Starterswoningen</v>
      </c>
      <c r="D28" t="str">
        <v>Starterswoningen</v>
      </c>
      <c r="E28" t="str">
        <v>2</v>
      </c>
      <c r="F28" t="str">
        <v>6041 BK</v>
      </c>
      <c r="G28" t="str">
        <v>Roermond</v>
      </c>
      <c r="H28" t="str">
        <v>Roermond</v>
      </c>
      <c r="I28" t="str">
        <v>Limburg</v>
      </c>
      <c r="J28" t="str">
        <v>Zuid-Nederland</v>
      </c>
      <c r="K28" t="str">
        <v>Te koop</v>
      </c>
      <c r="L28" t="str">
        <v>Onbekend</v>
      </c>
      <c r="M28" t="str">
        <v>Onbekend</v>
      </c>
      <c r="N28">
        <v>420000</v>
      </c>
      <c r="O28" t="str">
        <v>v.o.n.</v>
      </c>
      <c r="P28">
        <v>114</v>
      </c>
      <c r="Q28">
        <v>3684</v>
      </c>
      <c r="R28">
        <v>201</v>
      </c>
      <c r="S28" t="str">
        <v>A+++</v>
      </c>
      <c r="T28">
        <v>6</v>
      </c>
      <c r="U28">
        <v>4</v>
      </c>
      <c r="V28" t="str">
        <v>Grondgebonden</v>
      </c>
      <c r="W28" t="str">
        <v>2-onder-1-kapwoning</v>
      </c>
      <c r="X28" t="str">
        <v>N.v.t.</v>
      </c>
      <c r="Y28" t="str">
        <v>Ja</v>
      </c>
      <c r="Z28" t="str">
        <v>eigen parkeerplaats</v>
      </c>
      <c r="AA28" t="str">
        <v>2026</v>
      </c>
      <c r="AB28" t="str">
        <v>Nee</v>
      </c>
      <c r="AC28" t="str">
        <v>NEE</v>
      </c>
      <c r="AD28" t="str">
        <v>JA</v>
      </c>
    </row>
  </sheetData>
  <autoFilter ref="A22:AD28"/>
  <ignoredErrors>
    <ignoredError numberStoredAsText="1" sqref="A1:AD28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Rotterdam</v>
      </c>
    </row>
    <row r="3">
      <c r="A3" t="str">
        <v>Samenvatting</v>
      </c>
    </row>
    <row r="4">
      <c r="A4" t="str">
        <v>Aantal woningen</v>
      </c>
      <c r="B4">
        <v>3</v>
      </c>
    </row>
    <row r="5">
      <c r="A5" t="str">
        <v>Aantal te koop</v>
      </c>
      <c r="B5">
        <v>3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408333</v>
      </c>
    </row>
    <row r="9">
      <c r="A9" t="str">
        <v>Mediaan VON-prijs (€)</v>
      </c>
      <c r="B9">
        <v>375000</v>
      </c>
    </row>
    <row r="10">
      <c r="A10" t="str">
        <v>Gemiddelde VON-prijs per m² (€)</v>
      </c>
      <c r="B10">
        <v>7663</v>
      </c>
    </row>
    <row r="11">
      <c r="A11" t="str">
        <v>Mediaan VON-prijs per m² (€)</v>
      </c>
      <c r="B11">
        <v>7500</v>
      </c>
    </row>
    <row r="12">
      <c r="A12" t="str">
        <v>Gemiddelde GBO (m²)</v>
      </c>
      <c r="B12">
        <v>53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50-75 m²</v>
      </c>
      <c r="B19">
        <v>3</v>
      </c>
    </row>
    <row r="21">
      <c r="A21" t="str">
        <v>Alle woningen in Rotterdam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80888630</v>
      </c>
      <c r="B23" t="str">
        <v>https://www.funda.nl/detail/koop/rotterdam/appartement-baan-34-d14/80888630/</v>
      </c>
      <c r="C23" t="str">
        <v>Onbekend</v>
      </c>
      <c r="D23" t="str">
        <v>Baan 34-D14</v>
      </c>
      <c r="E23" t="str">
        <v>Onbekend</v>
      </c>
      <c r="F23" t="str">
        <v>3011 CB</v>
      </c>
      <c r="G23" t="str">
        <v>Rotterdam</v>
      </c>
      <c r="H23" t="str">
        <v>Rotterdam</v>
      </c>
      <c r="I23" t="str">
        <v>Zuid-Holland</v>
      </c>
      <c r="J23" t="str">
        <v>West-Nederland</v>
      </c>
      <c r="K23" t="str">
        <v>Te koop</v>
      </c>
      <c r="L23" t="str">
        <v>Onbekend</v>
      </c>
      <c r="M23" t="str">
        <v>Onbekend</v>
      </c>
      <c r="N23">
        <v>495000</v>
      </c>
      <c r="O23" t="str">
        <v>k.k.</v>
      </c>
      <c r="P23">
        <v>59</v>
      </c>
      <c r="Q23">
        <v>8390</v>
      </c>
      <c r="R23" t="str">
        <v>Onbekend</v>
      </c>
      <c r="S23" t="str">
        <v>A++</v>
      </c>
      <c r="T23">
        <v>2</v>
      </c>
      <c r="U23">
        <v>1</v>
      </c>
      <c r="V23" t="str">
        <v>Appartement</v>
      </c>
      <c r="W23" t="str">
        <v>Appartement</v>
      </c>
      <c r="X23" t="str">
        <v>Appartement 50-75 m²</v>
      </c>
      <c r="Y23" t="str">
        <v>Ja</v>
      </c>
      <c r="Z23" t="str">
        <v>onbekend</v>
      </c>
      <c r="AA23" t="str">
        <v>2025</v>
      </c>
      <c r="AB23" t="str">
        <v>Nee</v>
      </c>
      <c r="AC23" t="str">
        <v>NEE</v>
      </c>
      <c r="AD23" t="str">
        <v>JA</v>
      </c>
    </row>
    <row r="24">
      <c r="A24" t="str">
        <v>44423834</v>
      </c>
      <c r="B24" t="str">
        <v>https://www.funda.nl/detail/koop/rotterdam/appartement-hoofdweg-308-b/44423834/</v>
      </c>
      <c r="C24" t="str">
        <v>Onbekend</v>
      </c>
      <c r="D24" t="str">
        <v>Hoofdweg 308-B</v>
      </c>
      <c r="E24" t="str">
        <v>Onbekend</v>
      </c>
      <c r="F24" t="str">
        <v>3067 GJ</v>
      </c>
      <c r="G24" t="str">
        <v>Rotterdam</v>
      </c>
      <c r="H24" t="str">
        <v>Rotterdam</v>
      </c>
      <c r="I24" t="str">
        <v>Zuid-Holland</v>
      </c>
      <c r="J24" t="str">
        <v>West-Nederland</v>
      </c>
      <c r="K24" t="str">
        <v>Te koop</v>
      </c>
      <c r="L24" t="str">
        <v>Onbekend</v>
      </c>
      <c r="M24" t="str">
        <v>Onbekend</v>
      </c>
      <c r="N24">
        <v>375000</v>
      </c>
      <c r="O24" t="str">
        <v>v.o.n.</v>
      </c>
      <c r="P24">
        <v>50</v>
      </c>
      <c r="Q24">
        <v>7500</v>
      </c>
      <c r="R24" t="str">
        <v>Onbekend</v>
      </c>
      <c r="S24" t="str">
        <v>A+</v>
      </c>
      <c r="T24">
        <v>2</v>
      </c>
      <c r="U24">
        <v>1</v>
      </c>
      <c r="V24" t="str">
        <v>Appartement</v>
      </c>
      <c r="W24" t="str">
        <v>Appartement</v>
      </c>
      <c r="X24" t="str">
        <v>Appartement 50-75 m²</v>
      </c>
      <c r="Y24" t="str">
        <v>Ja</v>
      </c>
      <c r="Z24" t="str">
        <v>garage</v>
      </c>
      <c r="AA24" t="str">
        <v>Na 2020</v>
      </c>
      <c r="AB24" t="str">
        <v>Nee</v>
      </c>
      <c r="AC24" t="str">
        <v>NEE</v>
      </c>
      <c r="AD24" t="str">
        <v>JA</v>
      </c>
    </row>
    <row r="25">
      <c r="A25" t="str">
        <v>44429984</v>
      </c>
      <c r="B25" t="str">
        <v>https://www.funda.nl/detail/koop/rotterdam/appartement-hoofdweg-302-b/44429984/</v>
      </c>
      <c r="C25" t="str">
        <v>Onbekend</v>
      </c>
      <c r="D25" t="str">
        <v>Hoofdweg 302-B</v>
      </c>
      <c r="E25" t="str">
        <v>Onbekend</v>
      </c>
      <c r="F25" t="str">
        <v>3067 GJ</v>
      </c>
      <c r="G25" t="str">
        <v>Rotterdam</v>
      </c>
      <c r="H25" t="str">
        <v>Rotterdam</v>
      </c>
      <c r="I25" t="str">
        <v>Zuid-Holland</v>
      </c>
      <c r="J25" t="str">
        <v>West-Nederland</v>
      </c>
      <c r="K25" t="str">
        <v>Te koop</v>
      </c>
      <c r="L25" t="str">
        <v>Onbekend</v>
      </c>
      <c r="M25" t="str">
        <v>Onbekend</v>
      </c>
      <c r="N25">
        <v>355000</v>
      </c>
      <c r="O25" t="str">
        <v>v.o.n.</v>
      </c>
      <c r="P25">
        <v>50</v>
      </c>
      <c r="Q25">
        <v>7100</v>
      </c>
      <c r="R25" t="str">
        <v>Onbekend</v>
      </c>
      <c r="S25" t="str">
        <v>A+</v>
      </c>
      <c r="T25">
        <v>2</v>
      </c>
      <c r="U25">
        <v>1</v>
      </c>
      <c r="V25" t="str">
        <v>Appartement</v>
      </c>
      <c r="W25" t="str">
        <v>Appartement</v>
      </c>
      <c r="X25" t="str">
        <v>Appartement 50-75 m²</v>
      </c>
      <c r="Y25" t="str">
        <v>Ja</v>
      </c>
      <c r="Z25" t="str">
        <v>garage</v>
      </c>
      <c r="AA25" t="str">
        <v>Na 2020</v>
      </c>
      <c r="AB25" t="str">
        <v>Nee</v>
      </c>
      <c r="AC25" t="str">
        <v>NEE</v>
      </c>
      <c r="AD25" t="str">
        <v>JA</v>
      </c>
    </row>
  </sheetData>
  <autoFilter ref="A22:AD25"/>
  <ignoredErrors>
    <ignoredError numberStoredAsText="1" sqref="A1:AD25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Sittard-Geleen</v>
      </c>
    </row>
    <row r="3">
      <c r="A3" t="str">
        <v>Samenvatting</v>
      </c>
    </row>
    <row r="4">
      <c r="A4" t="str">
        <v>Aantal woningen</v>
      </c>
      <c r="B4">
        <v>5</v>
      </c>
    </row>
    <row r="5">
      <c r="A5" t="str">
        <v>Aantal te koop</v>
      </c>
      <c r="B5">
        <v>5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411175</v>
      </c>
    </row>
    <row r="9">
      <c r="A9" t="str">
        <v>Mediaan VON-prijs (€)</v>
      </c>
      <c r="B9">
        <v>398000</v>
      </c>
    </row>
    <row r="10">
      <c r="A10" t="str">
        <v>Gemiddelde VON-prijs per m² (€)</v>
      </c>
      <c r="B10">
        <v>3607</v>
      </c>
    </row>
    <row r="11">
      <c r="A11" t="str">
        <v>Mediaan VON-prijs per m² (€)</v>
      </c>
      <c r="B11">
        <v>3578</v>
      </c>
    </row>
    <row r="12">
      <c r="A12" t="str">
        <v>Gemiddelde GBO (m²)</v>
      </c>
      <c r="B12">
        <v>114</v>
      </c>
    </row>
    <row r="13">
      <c r="A13" t="str">
        <v>Gemiddelde looptijd (dagen)</v>
      </c>
      <c r="B13">
        <v>5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Hoekwoning</v>
      </c>
      <c r="B17">
        <v>1</v>
      </c>
    </row>
    <row r="18">
      <c r="A18" t="str">
        <v>Tussenwoning</v>
      </c>
      <c r="B18">
        <v>4</v>
      </c>
    </row>
    <row r="20">
      <c r="A20" t="str">
        <v>Uitsplitsing appartementcategorieen</v>
      </c>
      <c r="B20" t="str">
        <v>Aantal</v>
      </c>
    </row>
    <row r="22">
      <c r="A22" t="str">
        <v>Alle woningen in Sittard-Geleen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44420317</v>
      </c>
      <c r="B24" t="str">
        <v>https://www.funda.nl/detail/koop/geleen/huis-craveldweg-38/44420317/</v>
      </c>
      <c r="C24" t="str">
        <v>Onbekend</v>
      </c>
      <c r="D24" t="str">
        <v>Craveldweg 38</v>
      </c>
      <c r="E24" t="str">
        <v>Onbekend</v>
      </c>
      <c r="F24" t="str">
        <v>6166 LG</v>
      </c>
      <c r="G24" t="str">
        <v>Geleen</v>
      </c>
      <c r="H24" t="str">
        <v>Sittard-Geleen</v>
      </c>
      <c r="I24" t="str">
        <v>Limburg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392500</v>
      </c>
      <c r="O24" t="str">
        <v>v.o.n.</v>
      </c>
      <c r="P24">
        <v>114</v>
      </c>
      <c r="Q24">
        <v>3443</v>
      </c>
      <c r="R24">
        <v>143</v>
      </c>
      <c r="S24" t="str">
        <v>A++++</v>
      </c>
      <c r="T24">
        <v>3</v>
      </c>
      <c r="U24">
        <v>2</v>
      </c>
      <c r="V24" t="str">
        <v>Grondgebonden</v>
      </c>
      <c r="W24" t="str">
        <v>Tussenwoning</v>
      </c>
      <c r="X24" t="str">
        <v>N.v.t.</v>
      </c>
      <c r="Y24" t="str">
        <v>Ja</v>
      </c>
      <c r="Z24" t="str">
        <v>openbare parkeerplaats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44420477</v>
      </c>
      <c r="B25" t="str">
        <v>https://www.funda.nl/detail/koop/geleen/huis-craveldweg-36/44420477/</v>
      </c>
      <c r="C25" t="str">
        <v>Onbekend</v>
      </c>
      <c r="D25" t="str">
        <v>Craveldweg 36</v>
      </c>
      <c r="E25" t="str">
        <v>Onbekend</v>
      </c>
      <c r="F25" t="str">
        <v>6166 LG</v>
      </c>
      <c r="G25" t="str">
        <v>Geleen</v>
      </c>
      <c r="H25" t="str">
        <v>Sittard-Geleen</v>
      </c>
      <c r="I25" t="str">
        <v>Limburg</v>
      </c>
      <c r="J25" t="str">
        <v>Zuid-Nederland</v>
      </c>
      <c r="K25" t="str">
        <v>Te koop</v>
      </c>
      <c r="L25" t="str">
        <v>2026-07-08</v>
      </c>
      <c r="M25">
        <v>5</v>
      </c>
      <c r="N25">
        <v>392500</v>
      </c>
      <c r="O25" t="str">
        <v>v.o.n.</v>
      </c>
      <c r="P25">
        <v>114</v>
      </c>
      <c r="Q25">
        <v>3443</v>
      </c>
      <c r="R25">
        <v>143</v>
      </c>
      <c r="S25" t="str">
        <v>A++++</v>
      </c>
      <c r="T25">
        <v>3</v>
      </c>
      <c r="U25">
        <v>2</v>
      </c>
      <c r="V25" t="str">
        <v>Grondgebonden</v>
      </c>
      <c r="W25" t="str">
        <v>Tussenwoning</v>
      </c>
      <c r="X25" t="str">
        <v>N.v.t.</v>
      </c>
      <c r="Y25" t="str">
        <v>Ja</v>
      </c>
      <c r="Z25" t="str">
        <v>openbare parkeerplaats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44428756</v>
      </c>
      <c r="B26" t="str">
        <v>https://www.funda.nl/detail/koop/geleen/huis-craveldweg-34/44428756/</v>
      </c>
      <c r="C26" t="str">
        <v>Onbekend</v>
      </c>
      <c r="D26" t="str">
        <v>Craveldweg 34</v>
      </c>
      <c r="E26" t="str">
        <v>Onbekend</v>
      </c>
      <c r="F26" t="str">
        <v>6166 LG</v>
      </c>
      <c r="G26" t="str">
        <v>Geleen</v>
      </c>
      <c r="H26" t="str">
        <v>Sittard-Geleen</v>
      </c>
      <c r="I26" t="str">
        <v>Limburg</v>
      </c>
      <c r="J26" t="str">
        <v>Zuid-Nederland</v>
      </c>
      <c r="K26" t="str">
        <v>Te koop</v>
      </c>
      <c r="L26" t="str">
        <v>Onbekend</v>
      </c>
      <c r="M26" t="str">
        <v>Onbekend</v>
      </c>
      <c r="N26">
        <v>407875</v>
      </c>
      <c r="O26" t="str">
        <v>v.o.n.</v>
      </c>
      <c r="P26">
        <v>114</v>
      </c>
      <c r="Q26">
        <v>3578</v>
      </c>
      <c r="R26">
        <v>143</v>
      </c>
      <c r="S26" t="str">
        <v>A++++</v>
      </c>
      <c r="T26">
        <v>3</v>
      </c>
      <c r="U26">
        <v>2</v>
      </c>
      <c r="V26" t="str">
        <v>Grondgebonden</v>
      </c>
      <c r="W26" t="str">
        <v>Tussenwoning</v>
      </c>
      <c r="X26" t="str">
        <v>N.v.t.</v>
      </c>
      <c r="Y26" t="str">
        <v>Ja</v>
      </c>
      <c r="Z26" t="str">
        <v>openbare parkeerplaats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44429647</v>
      </c>
      <c r="B27" t="str">
        <v>https://www.funda.nl/detail/koop/geleen/huis-bovenste-craveldweg-10/44429647/</v>
      </c>
      <c r="C27" t="str">
        <v>Onbekend</v>
      </c>
      <c r="D27" t="str">
        <v>Bovenste Craveldweg 10</v>
      </c>
      <c r="E27" t="str">
        <v>Onbekend</v>
      </c>
      <c r="F27" t="str">
        <v>6166 LE</v>
      </c>
      <c r="G27" t="str">
        <v>Geleen</v>
      </c>
      <c r="H27" t="str">
        <v>Sittard-Geleen</v>
      </c>
      <c r="I27" t="str">
        <v>Limburg</v>
      </c>
      <c r="J27" t="str">
        <v>Zuid-Nederland</v>
      </c>
      <c r="K27" t="str">
        <v>Te koop</v>
      </c>
      <c r="L27" t="str">
        <v>Onbekend</v>
      </c>
      <c r="M27" t="str">
        <v>Onbekend</v>
      </c>
      <c r="N27">
        <v>465000</v>
      </c>
      <c r="O27" t="str">
        <v>v.o.n.</v>
      </c>
      <c r="P27">
        <v>123</v>
      </c>
      <c r="Q27">
        <v>3780</v>
      </c>
      <c r="R27">
        <v>182</v>
      </c>
      <c r="S27" t="str">
        <v>A++++</v>
      </c>
      <c r="T27">
        <v>5</v>
      </c>
      <c r="U27">
        <v>4</v>
      </c>
      <c r="V27" t="str">
        <v>Grondgebonden</v>
      </c>
      <c r="W27" t="str">
        <v>Hoekwoning</v>
      </c>
      <c r="X27" t="str">
        <v>N.v.t.</v>
      </c>
      <c r="Y27" t="str">
        <v>Ja</v>
      </c>
      <c r="Z27" t="str">
        <v>openbare parkeerplaats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44428301</v>
      </c>
      <c r="B28" t="str">
        <v>https://www.funda.nl/detail/koop/geleen/huis-craveldweg-26/44428301/</v>
      </c>
      <c r="C28" t="str">
        <v>Onbekend</v>
      </c>
      <c r="D28" t="str">
        <v>Craveldweg 26</v>
      </c>
      <c r="E28" t="str">
        <v>Onbekend</v>
      </c>
      <c r="F28" t="str">
        <v>6166 LG</v>
      </c>
      <c r="G28" t="str">
        <v>Geleen</v>
      </c>
      <c r="H28" t="str">
        <v>Sittard-Geleen</v>
      </c>
      <c r="I28" t="str">
        <v>Limburg</v>
      </c>
      <c r="J28" t="str">
        <v>Zuid-Nederland</v>
      </c>
      <c r="K28" t="str">
        <v>Te koop</v>
      </c>
      <c r="L28" t="str">
        <v>Onbekend</v>
      </c>
      <c r="M28" t="str">
        <v>Onbekend</v>
      </c>
      <c r="N28">
        <v>398000</v>
      </c>
      <c r="O28" t="str">
        <v>k.k.</v>
      </c>
      <c r="P28">
        <v>105</v>
      </c>
      <c r="Q28">
        <v>3790</v>
      </c>
      <c r="R28">
        <v>140</v>
      </c>
      <c r="S28" t="str">
        <v>A++++</v>
      </c>
      <c r="T28">
        <v>4</v>
      </c>
      <c r="U28">
        <v>3</v>
      </c>
      <c r="V28" t="str">
        <v>Grondgebonden</v>
      </c>
      <c r="W28" t="str">
        <v>Tussenwoning</v>
      </c>
      <c r="X28" t="str">
        <v>N.v.t.</v>
      </c>
      <c r="Y28" t="str">
        <v>Ja</v>
      </c>
      <c r="Z28" t="str">
        <v>openbare parkeerplaats</v>
      </c>
      <c r="AA28" t="str">
        <v>2026</v>
      </c>
      <c r="AB28" t="str">
        <v>Nee</v>
      </c>
      <c r="AC28" t="str">
        <v>NEE</v>
      </c>
      <c r="AD28" t="str">
        <v>JA</v>
      </c>
    </row>
  </sheetData>
  <autoFilter ref="A23:AD28"/>
  <ignoredErrors>
    <ignoredError numberStoredAsText="1" sqref="A1:AD28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AD39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Soest</v>
      </c>
    </row>
    <row r="3">
      <c r="A3" t="str">
        <v>Samenvatting</v>
      </c>
    </row>
    <row r="4">
      <c r="A4" t="str">
        <v>Aantal woningen</v>
      </c>
      <c r="B4">
        <v>16</v>
      </c>
    </row>
    <row r="5">
      <c r="A5" t="str">
        <v>Aantal te koop</v>
      </c>
      <c r="B5">
        <v>16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293438</v>
      </c>
    </row>
    <row r="9">
      <c r="A9" t="str">
        <v>Mediaan VON-prijs (€)</v>
      </c>
      <c r="B9">
        <v>275000</v>
      </c>
    </row>
    <row r="10">
      <c r="A10" t="str">
        <v>Gemiddelde VON-prijs per m² (€)</v>
      </c>
      <c r="B10">
        <v>5636</v>
      </c>
    </row>
    <row r="11">
      <c r="A11" t="str">
        <v>Mediaan VON-prijs per m² (€)</v>
      </c>
      <c r="B11">
        <v>5392</v>
      </c>
    </row>
    <row r="12">
      <c r="A12" t="str">
        <v>Gemiddelde GBO (m²)</v>
      </c>
      <c r="B12">
        <v>52</v>
      </c>
    </row>
    <row r="13">
      <c r="A13" t="str">
        <v>Gemiddelde looptijd (dagen)</v>
      </c>
      <c r="B13">
        <v>7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&lt;50 m²</v>
      </c>
      <c r="B19">
        <v>1</v>
      </c>
    </row>
    <row r="20">
      <c r="A20" t="str">
        <v>Appartement 50-75 m²</v>
      </c>
      <c r="B20">
        <v>15</v>
      </c>
    </row>
    <row r="22">
      <c r="A22" t="str">
        <v>Alle woningen in Soest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44429915</v>
      </c>
      <c r="B24" t="str">
        <v>https://www.funda.nl/detail/koop/soest/appartement-parckhart-fase-1-2-kamer-appartement-s-bouwnr-72/44429915/</v>
      </c>
      <c r="C24" t="str">
        <v>ParckHart</v>
      </c>
      <c r="D24" t="str">
        <v>ParckHart fase 1 2-kamer appartement S</v>
      </c>
      <c r="E24" t="str">
        <v>72</v>
      </c>
      <c r="F24" t="str">
        <v>3762 AV</v>
      </c>
      <c r="G24" t="str">
        <v>Soest</v>
      </c>
      <c r="H24" t="str">
        <v>Soest</v>
      </c>
      <c r="I24" t="str">
        <v>Utrecht</v>
      </c>
      <c r="J24" t="str">
        <v>West-Nederland</v>
      </c>
      <c r="K24" t="str">
        <v>Te koop</v>
      </c>
      <c r="L24" t="str">
        <v>2026-07-06</v>
      </c>
      <c r="M24">
        <v>7</v>
      </c>
      <c r="N24">
        <v>275000</v>
      </c>
      <c r="O24" t="str">
        <v>v.o.n.</v>
      </c>
      <c r="P24">
        <v>51</v>
      </c>
      <c r="Q24">
        <v>5392</v>
      </c>
      <c r="R24" t="str">
        <v>Onbekend</v>
      </c>
      <c r="S24" t="str">
        <v>A++</v>
      </c>
      <c r="T24">
        <v>2</v>
      </c>
      <c r="U24">
        <v>1</v>
      </c>
      <c r="V24" t="str">
        <v>Appartement</v>
      </c>
      <c r="W24" t="str">
        <v>Appartement</v>
      </c>
      <c r="X24" t="str">
        <v>Appartement 50-75 m²</v>
      </c>
      <c r="Y24" t="str">
        <v>Ja</v>
      </c>
      <c r="Z24" t="str">
        <v>openbare parkeerplaats</v>
      </c>
      <c r="AA24" t="str">
        <v>2027</v>
      </c>
      <c r="AB24" t="str">
        <v>Nee</v>
      </c>
      <c r="AC24" t="str">
        <v>NEE</v>
      </c>
      <c r="AD24" t="str">
        <v>JA</v>
      </c>
    </row>
    <row r="25">
      <c r="A25" t="str">
        <v>44429914</v>
      </c>
      <c r="B25" t="str">
        <v>https://www.funda.nl/detail/koop/soest/appartement-parckhart-fase-1-2-kamer-appartement-s-bouwnr-74/44429914/</v>
      </c>
      <c r="C25" t="str">
        <v>ParckHart</v>
      </c>
      <c r="D25" t="str">
        <v>ParckHart fase 1 2-kamer appartement S</v>
      </c>
      <c r="E25" t="str">
        <v>74</v>
      </c>
      <c r="F25" t="str">
        <v>3762 AV</v>
      </c>
      <c r="G25" t="str">
        <v>Soest</v>
      </c>
      <c r="H25" t="str">
        <v>Soest</v>
      </c>
      <c r="I25" t="str">
        <v>Utrecht</v>
      </c>
      <c r="J25" t="str">
        <v>West-Nederland</v>
      </c>
      <c r="K25" t="str">
        <v>Te koop</v>
      </c>
      <c r="L25" t="str">
        <v>Onbekend</v>
      </c>
      <c r="M25" t="str">
        <v>Onbekend</v>
      </c>
      <c r="N25">
        <v>275000</v>
      </c>
      <c r="O25" t="str">
        <v>v.o.n.</v>
      </c>
      <c r="P25">
        <v>51</v>
      </c>
      <c r="Q25">
        <v>5392</v>
      </c>
      <c r="R25" t="str">
        <v>Onbekend</v>
      </c>
      <c r="S25" t="str">
        <v>A+</v>
      </c>
      <c r="T25">
        <v>2</v>
      </c>
      <c r="U25">
        <v>1</v>
      </c>
      <c r="V25" t="str">
        <v>Appartement</v>
      </c>
      <c r="W25" t="str">
        <v>Appartement</v>
      </c>
      <c r="X25" t="str">
        <v>Appartement 50-75 m²</v>
      </c>
      <c r="Y25" t="str">
        <v>Ja</v>
      </c>
      <c r="Z25" t="str">
        <v>openbare parkeerplaats</v>
      </c>
      <c r="AA25" t="str">
        <v>2027</v>
      </c>
      <c r="AB25" t="str">
        <v>Nee</v>
      </c>
      <c r="AC25" t="str">
        <v>NEE</v>
      </c>
      <c r="AD25" t="str">
        <v>JA</v>
      </c>
    </row>
    <row r="26">
      <c r="A26" t="str">
        <v>44429913</v>
      </c>
      <c r="B26" t="str">
        <v>https://www.funda.nl/detail/koop/soest/appartement-parckhart-fase-1-2-kamer-appartement-s-bouwnr-76/44429913/</v>
      </c>
      <c r="C26" t="str">
        <v>ParckHart</v>
      </c>
      <c r="D26" t="str">
        <v>ParckHart fase 1 2-kamer appartement S</v>
      </c>
      <c r="E26" t="str">
        <v>76</v>
      </c>
      <c r="F26" t="str">
        <v>3762 AV</v>
      </c>
      <c r="G26" t="str">
        <v>Soest</v>
      </c>
      <c r="H26" t="str">
        <v>Soest</v>
      </c>
      <c r="I26" t="str">
        <v>Utrecht</v>
      </c>
      <c r="J26" t="str">
        <v>West-Nederland</v>
      </c>
      <c r="K26" t="str">
        <v>Te koop</v>
      </c>
      <c r="L26" t="str">
        <v>Onbekend</v>
      </c>
      <c r="M26" t="str">
        <v>Onbekend</v>
      </c>
      <c r="N26">
        <v>275000</v>
      </c>
      <c r="O26" t="str">
        <v>v.o.n.</v>
      </c>
      <c r="P26">
        <v>51</v>
      </c>
      <c r="Q26">
        <v>5392</v>
      </c>
      <c r="R26" t="str">
        <v>Onbekend</v>
      </c>
      <c r="S26" t="str">
        <v>A+</v>
      </c>
      <c r="T26">
        <v>2</v>
      </c>
      <c r="U26">
        <v>1</v>
      </c>
      <c r="V26" t="str">
        <v>Appartement</v>
      </c>
      <c r="W26" t="str">
        <v>Appartement</v>
      </c>
      <c r="X26" t="str">
        <v>Appartement 50-75 m²</v>
      </c>
      <c r="Y26" t="str">
        <v>Ja</v>
      </c>
      <c r="Z26" t="str">
        <v>openbare parkeerplaats</v>
      </c>
      <c r="AA26" t="str">
        <v>2027</v>
      </c>
      <c r="AB26" t="str">
        <v>Nee</v>
      </c>
      <c r="AC26" t="str">
        <v>NEE</v>
      </c>
      <c r="AD26" t="str">
        <v>JA</v>
      </c>
    </row>
    <row r="27">
      <c r="A27" t="str">
        <v>44429902</v>
      </c>
      <c r="B27" t="str">
        <v>https://www.funda.nl/detail/koop/soest/appartement-parckhart-fase-1-2-kamer-appartement-s-bouwnr-78/44429902/</v>
      </c>
      <c r="C27" t="str">
        <v>ParckHart</v>
      </c>
      <c r="D27" t="str">
        <v>ParckHart fase 1 2-kamer appartement S</v>
      </c>
      <c r="E27" t="str">
        <v>78</v>
      </c>
      <c r="F27" t="str">
        <v>3762 AV</v>
      </c>
      <c r="G27" t="str">
        <v>Soest</v>
      </c>
      <c r="H27" t="str">
        <v>Soest</v>
      </c>
      <c r="I27" t="str">
        <v>Utrecht</v>
      </c>
      <c r="J27" t="str">
        <v>West-Nederland</v>
      </c>
      <c r="K27" t="str">
        <v>Te koop</v>
      </c>
      <c r="L27" t="str">
        <v>Onbekend</v>
      </c>
      <c r="M27" t="str">
        <v>Onbekend</v>
      </c>
      <c r="N27">
        <v>275000</v>
      </c>
      <c r="O27" t="str">
        <v>v.o.n.</v>
      </c>
      <c r="P27">
        <v>49</v>
      </c>
      <c r="Q27">
        <v>5612</v>
      </c>
      <c r="R27" t="str">
        <v>Onbekend</v>
      </c>
      <c r="S27" t="str">
        <v>A+</v>
      </c>
      <c r="T27">
        <v>1</v>
      </c>
      <c r="U27">
        <v>1</v>
      </c>
      <c r="V27" t="str">
        <v>Appartement</v>
      </c>
      <c r="W27" t="str">
        <v>Appartement</v>
      </c>
      <c r="X27" t="str">
        <v>Appartement &lt;50 m²</v>
      </c>
      <c r="Y27" t="str">
        <v>Ja</v>
      </c>
      <c r="Z27" t="str">
        <v>openbare parkeerplaats</v>
      </c>
      <c r="AA27" t="str">
        <v>2027</v>
      </c>
      <c r="AB27" t="str">
        <v>Nee</v>
      </c>
      <c r="AC27" t="str">
        <v>NEE</v>
      </c>
      <c r="AD27" t="str">
        <v>JA</v>
      </c>
    </row>
    <row r="28">
      <c r="A28" t="str">
        <v>44429900</v>
      </c>
      <c r="B28" t="str">
        <v>https://www.funda.nl/detail/koop/soest/appartement-parckhart-fase-1-2-kamer-appartement-s-bouwnr-69/44429900/</v>
      </c>
      <c r="C28" t="str">
        <v>ParckHart</v>
      </c>
      <c r="D28" t="str">
        <v>ParckHart fase 1 2-kamer appartement S</v>
      </c>
      <c r="E28" t="str">
        <v>69</v>
      </c>
      <c r="F28" t="str">
        <v>3762 AV</v>
      </c>
      <c r="G28" t="str">
        <v>Soest</v>
      </c>
      <c r="H28" t="str">
        <v>Soest</v>
      </c>
      <c r="I28" t="str">
        <v>Utrecht</v>
      </c>
      <c r="J28" t="str">
        <v>West-Nederland</v>
      </c>
      <c r="K28" t="str">
        <v>Te koop</v>
      </c>
      <c r="L28" t="str">
        <v>Onbekend</v>
      </c>
      <c r="M28" t="str">
        <v>Onbekend</v>
      </c>
      <c r="N28">
        <v>275000</v>
      </c>
      <c r="O28" t="str">
        <v>v.o.n.</v>
      </c>
      <c r="P28">
        <v>50</v>
      </c>
      <c r="Q28">
        <v>5500</v>
      </c>
      <c r="R28" t="str">
        <v>Onbekend</v>
      </c>
      <c r="S28" t="str">
        <v>A++</v>
      </c>
      <c r="T28">
        <v>2</v>
      </c>
      <c r="U28">
        <v>1</v>
      </c>
      <c r="V28" t="str">
        <v>Appartement</v>
      </c>
      <c r="W28" t="str">
        <v>Appartement</v>
      </c>
      <c r="X28" t="str">
        <v>Appartement 50-75 m²</v>
      </c>
      <c r="Y28" t="str">
        <v>Ja</v>
      </c>
      <c r="Z28" t="str">
        <v>openbare parkeerplaats</v>
      </c>
      <c r="AA28" t="str">
        <v>2027</v>
      </c>
      <c r="AB28" t="str">
        <v>Nee</v>
      </c>
      <c r="AC28" t="str">
        <v>NEE</v>
      </c>
      <c r="AD28" t="str">
        <v>JA</v>
      </c>
    </row>
    <row r="29">
      <c r="A29" t="str">
        <v>44429909</v>
      </c>
      <c r="B29" t="str">
        <v>https://www.funda.nl/detail/koop/soest/appartement-parckhart-fase-1-2-kamer-appartement-s-bouwnr-70/44429909/</v>
      </c>
      <c r="C29" t="str">
        <v>ParckHart</v>
      </c>
      <c r="D29" t="str">
        <v>ParckHart fase 1 2-kamer appartement S</v>
      </c>
      <c r="E29" t="str">
        <v>70</v>
      </c>
      <c r="F29" t="str">
        <v>3762 AV</v>
      </c>
      <c r="G29" t="str">
        <v>Soest</v>
      </c>
      <c r="H29" t="str">
        <v>Soest</v>
      </c>
      <c r="I29" t="str">
        <v>Utrecht</v>
      </c>
      <c r="J29" t="str">
        <v>West-Nederland</v>
      </c>
      <c r="K29" t="str">
        <v>Te koop</v>
      </c>
      <c r="L29" t="str">
        <v>Onbekend</v>
      </c>
      <c r="M29" t="str">
        <v>Onbekend</v>
      </c>
      <c r="N29">
        <v>275000</v>
      </c>
      <c r="O29" t="str">
        <v>v.o.n.</v>
      </c>
      <c r="P29">
        <v>51</v>
      </c>
      <c r="Q29">
        <v>5392</v>
      </c>
      <c r="R29" t="str">
        <v>Onbekend</v>
      </c>
      <c r="S29" t="str">
        <v>A++</v>
      </c>
      <c r="T29">
        <v>2</v>
      </c>
      <c r="U29">
        <v>1</v>
      </c>
      <c r="V29" t="str">
        <v>Appartement</v>
      </c>
      <c r="W29" t="str">
        <v>Appartement</v>
      </c>
      <c r="X29" t="str">
        <v>Appartement 50-75 m²</v>
      </c>
      <c r="Y29" t="str">
        <v>Ja</v>
      </c>
      <c r="Z29" t="str">
        <v>openbare parkeerplaats</v>
      </c>
      <c r="AA29" t="str">
        <v>2027</v>
      </c>
      <c r="AB29" t="str">
        <v>Nee</v>
      </c>
      <c r="AC29" t="str">
        <v>NEE</v>
      </c>
      <c r="AD29" t="str">
        <v>JA</v>
      </c>
    </row>
    <row r="30">
      <c r="A30" t="str">
        <v>44429908</v>
      </c>
      <c r="B30" t="str">
        <v>https://www.funda.nl/detail/koop/soest/appartement-parckhart-fase-1-2-kamer-appartement-s-bouwnr-77/44429908/</v>
      </c>
      <c r="C30" t="str">
        <v>ParckHart</v>
      </c>
      <c r="D30" t="str">
        <v>ParckHart fase 1 2-kamer appartement S</v>
      </c>
      <c r="E30" t="str">
        <v>77</v>
      </c>
      <c r="F30" t="str">
        <v>3762 AV</v>
      </c>
      <c r="G30" t="str">
        <v>Soest</v>
      </c>
      <c r="H30" t="str">
        <v>Soest</v>
      </c>
      <c r="I30" t="str">
        <v>Utrecht</v>
      </c>
      <c r="J30" t="str">
        <v>West-Nederland</v>
      </c>
      <c r="K30" t="str">
        <v>Te koop</v>
      </c>
      <c r="L30" t="str">
        <v>Onbekend</v>
      </c>
      <c r="M30" t="str">
        <v>Onbekend</v>
      </c>
      <c r="N30">
        <v>275000</v>
      </c>
      <c r="O30" t="str">
        <v>v.o.n.</v>
      </c>
      <c r="P30">
        <v>51</v>
      </c>
      <c r="Q30">
        <v>5392</v>
      </c>
      <c r="R30" t="str">
        <v>Onbekend</v>
      </c>
      <c r="S30" t="str">
        <v>A++</v>
      </c>
      <c r="T30">
        <v>1</v>
      </c>
      <c r="U30">
        <v>1</v>
      </c>
      <c r="V30" t="str">
        <v>Appartement</v>
      </c>
      <c r="W30" t="str">
        <v>Appartement</v>
      </c>
      <c r="X30" t="str">
        <v>Appartement 50-75 m²</v>
      </c>
      <c r="Y30" t="str">
        <v>Ja</v>
      </c>
      <c r="Z30" t="str">
        <v>openbare parkeerplaats</v>
      </c>
      <c r="AA30" t="str">
        <v>2027</v>
      </c>
      <c r="AB30" t="str">
        <v>Nee</v>
      </c>
      <c r="AC30" t="str">
        <v>NEE</v>
      </c>
      <c r="AD30" t="str">
        <v>JA</v>
      </c>
    </row>
    <row r="31">
      <c r="A31" t="str">
        <v>44429907</v>
      </c>
      <c r="B31" t="str">
        <v>https://www.funda.nl/detail/koop/soest/appartement-parckhart-fase-1-2-kamer-appartement-s-bouwnr-73/44429907/</v>
      </c>
      <c r="C31" t="str">
        <v>ParckHart</v>
      </c>
      <c r="D31" t="str">
        <v>ParckHart fase 1 2-kamer appartement S</v>
      </c>
      <c r="E31" t="str">
        <v>73</v>
      </c>
      <c r="F31" t="str">
        <v>3762 AV</v>
      </c>
      <c r="G31" t="str">
        <v>Soest</v>
      </c>
      <c r="H31" t="str">
        <v>Soest</v>
      </c>
      <c r="I31" t="str">
        <v>Utrecht</v>
      </c>
      <c r="J31" t="str">
        <v>West-Nederland</v>
      </c>
      <c r="K31" t="str">
        <v>Te koop</v>
      </c>
      <c r="L31" t="str">
        <v>Onbekend</v>
      </c>
      <c r="M31" t="str">
        <v>Onbekend</v>
      </c>
      <c r="N31">
        <v>275000</v>
      </c>
      <c r="O31" t="str">
        <v>v.o.n.</v>
      </c>
      <c r="P31">
        <v>51</v>
      </c>
      <c r="Q31">
        <v>5392</v>
      </c>
      <c r="R31" t="str">
        <v>Onbekend</v>
      </c>
      <c r="S31" t="str">
        <v>A+</v>
      </c>
      <c r="T31">
        <v>1</v>
      </c>
      <c r="U31">
        <v>1</v>
      </c>
      <c r="V31" t="str">
        <v>Appartement</v>
      </c>
      <c r="W31" t="str">
        <v>Appartement</v>
      </c>
      <c r="X31" t="str">
        <v>Appartement 50-75 m²</v>
      </c>
      <c r="Y31" t="str">
        <v>Ja</v>
      </c>
      <c r="Z31" t="str">
        <v>openbare parkeerplaats</v>
      </c>
      <c r="AA31" t="str">
        <v>2027</v>
      </c>
      <c r="AB31" t="str">
        <v>Nee</v>
      </c>
      <c r="AC31" t="str">
        <v>NEE</v>
      </c>
      <c r="AD31" t="str">
        <v>JA</v>
      </c>
    </row>
    <row r="32">
      <c r="A32" t="str">
        <v>44429905</v>
      </c>
      <c r="B32" t="str">
        <v>https://www.funda.nl/detail/koop/soest/appartement-parckhart-fase-1-2-kamer-appartement-s-bouwnr-75/44429905/</v>
      </c>
      <c r="C32" t="str">
        <v>ParckHart</v>
      </c>
      <c r="D32" t="str">
        <v>ParckHart fase 1 2-kamer appartement S</v>
      </c>
      <c r="E32" t="str">
        <v>75</v>
      </c>
      <c r="F32" t="str">
        <v>3762 AV</v>
      </c>
      <c r="G32" t="str">
        <v>Soest</v>
      </c>
      <c r="H32" t="str">
        <v>Soest</v>
      </c>
      <c r="I32" t="str">
        <v>Utrecht</v>
      </c>
      <c r="J32" t="str">
        <v>West-Nederland</v>
      </c>
      <c r="K32" t="str">
        <v>Te koop</v>
      </c>
      <c r="L32" t="str">
        <v>Onbekend</v>
      </c>
      <c r="M32" t="str">
        <v>Onbekend</v>
      </c>
      <c r="N32">
        <v>275000</v>
      </c>
      <c r="O32" t="str">
        <v>v.o.n.</v>
      </c>
      <c r="P32">
        <v>50</v>
      </c>
      <c r="Q32">
        <v>5500</v>
      </c>
      <c r="R32" t="str">
        <v>Onbekend</v>
      </c>
      <c r="S32" t="str">
        <v>A++</v>
      </c>
      <c r="T32">
        <v>2</v>
      </c>
      <c r="U32">
        <v>1</v>
      </c>
      <c r="V32" t="str">
        <v>Appartement</v>
      </c>
      <c r="W32" t="str">
        <v>Appartement</v>
      </c>
      <c r="X32" t="str">
        <v>Appartement 50-75 m²</v>
      </c>
      <c r="Y32" t="str">
        <v>Ja</v>
      </c>
      <c r="Z32" t="str">
        <v>openbare parkeerplaats</v>
      </c>
      <c r="AA32" t="str">
        <v>2027</v>
      </c>
      <c r="AB32" t="str">
        <v>Nee</v>
      </c>
      <c r="AC32" t="str">
        <v>NEE</v>
      </c>
      <c r="AD32" t="str">
        <v>JA</v>
      </c>
    </row>
    <row r="33">
      <c r="A33" t="str">
        <v>44429904</v>
      </c>
      <c r="B33" t="str">
        <v>https://www.funda.nl/detail/koop/soest/appartement-parckhart-fase-1-2-kamer-appartement-s-bouwnr-71/44429904/</v>
      </c>
      <c r="C33" t="str">
        <v>ParckHart</v>
      </c>
      <c r="D33" t="str">
        <v>ParckHart fase 1 2-kamer appartement S</v>
      </c>
      <c r="E33" t="str">
        <v>71</v>
      </c>
      <c r="F33" t="str">
        <v>3762 AV</v>
      </c>
      <c r="G33" t="str">
        <v>Soest</v>
      </c>
      <c r="H33" t="str">
        <v>Soest</v>
      </c>
      <c r="I33" t="str">
        <v>Utrecht</v>
      </c>
      <c r="J33" t="str">
        <v>West-Nederland</v>
      </c>
      <c r="K33" t="str">
        <v>Te koop</v>
      </c>
      <c r="L33" t="str">
        <v>Onbekend</v>
      </c>
      <c r="M33" t="str">
        <v>Onbekend</v>
      </c>
      <c r="N33">
        <v>275000</v>
      </c>
      <c r="O33" t="str">
        <v>v.o.n.</v>
      </c>
      <c r="P33">
        <v>51</v>
      </c>
      <c r="Q33">
        <v>5392</v>
      </c>
      <c r="R33" t="str">
        <v>Onbekend</v>
      </c>
      <c r="S33" t="str">
        <v>A++</v>
      </c>
      <c r="T33">
        <v>2</v>
      </c>
      <c r="U33">
        <v>1</v>
      </c>
      <c r="V33" t="str">
        <v>Appartement</v>
      </c>
      <c r="W33" t="str">
        <v>Appartement</v>
      </c>
      <c r="X33" t="str">
        <v>Appartement 50-75 m²</v>
      </c>
      <c r="Y33" t="str">
        <v>Ja</v>
      </c>
      <c r="Z33" t="str">
        <v>openbare parkeerplaats</v>
      </c>
      <c r="AA33" t="str">
        <v>2027</v>
      </c>
      <c r="AB33" t="str">
        <v>Nee</v>
      </c>
      <c r="AC33" t="str">
        <v>NEE</v>
      </c>
      <c r="AD33" t="str">
        <v>JA</v>
      </c>
    </row>
    <row r="34">
      <c r="A34" t="str">
        <v>44429903</v>
      </c>
      <c r="B34" t="str">
        <v>https://www.funda.nl/detail/koop/soest/appartement-parckhart-fase-1-2-kamer-appartement-s-bouwnr-79/44429903/</v>
      </c>
      <c r="C34" t="str">
        <v>ParckHart</v>
      </c>
      <c r="D34" t="str">
        <v>ParckHart fase 1 2-kamer appartement S</v>
      </c>
      <c r="E34" t="str">
        <v>79</v>
      </c>
      <c r="F34" t="str">
        <v>3762 AV</v>
      </c>
      <c r="G34" t="str">
        <v>Soest</v>
      </c>
      <c r="H34" t="str">
        <v>Soest</v>
      </c>
      <c r="I34" t="str">
        <v>Utrecht</v>
      </c>
      <c r="J34" t="str">
        <v>West-Nederland</v>
      </c>
      <c r="K34" t="str">
        <v>Te koop</v>
      </c>
      <c r="L34" t="str">
        <v>Onbekend</v>
      </c>
      <c r="M34" t="str">
        <v>Onbekend</v>
      </c>
      <c r="N34">
        <v>275000</v>
      </c>
      <c r="O34" t="str">
        <v>v.o.n.</v>
      </c>
      <c r="P34">
        <v>51</v>
      </c>
      <c r="Q34">
        <v>5392</v>
      </c>
      <c r="R34" t="str">
        <v>Onbekend</v>
      </c>
      <c r="S34" t="str">
        <v>A+</v>
      </c>
      <c r="T34">
        <v>2</v>
      </c>
      <c r="U34">
        <v>1</v>
      </c>
      <c r="V34" t="str">
        <v>Appartement</v>
      </c>
      <c r="W34" t="str">
        <v>Appartement</v>
      </c>
      <c r="X34" t="str">
        <v>Appartement 50-75 m²</v>
      </c>
      <c r="Y34" t="str">
        <v>Ja</v>
      </c>
      <c r="Z34" t="str">
        <v>openbare parkeerplaats</v>
      </c>
      <c r="AA34" t="str">
        <v>2027</v>
      </c>
      <c r="AB34" t="str">
        <v>Nee</v>
      </c>
      <c r="AC34" t="str">
        <v>NEE</v>
      </c>
      <c r="AD34" t="str">
        <v>JA</v>
      </c>
    </row>
    <row r="35">
      <c r="A35" t="str">
        <v>44429992</v>
      </c>
      <c r="B35" t="str">
        <v>https://www.funda.nl/detail/koop/soest/appartement-parckhart-fase-1-2-kamer-appartement-s-bouwnr-65/44429992/</v>
      </c>
      <c r="C35" t="str">
        <v>ParckHart</v>
      </c>
      <c r="D35" t="str">
        <v>ParckHart fase 1 2-kamer appartement S</v>
      </c>
      <c r="E35" t="str">
        <v>65</v>
      </c>
      <c r="F35" t="str">
        <v>3762 AV</v>
      </c>
      <c r="G35" t="str">
        <v>Soest</v>
      </c>
      <c r="H35" t="str">
        <v>Soest</v>
      </c>
      <c r="I35" t="str">
        <v>Utrecht</v>
      </c>
      <c r="J35" t="str">
        <v>West-Nederland</v>
      </c>
      <c r="K35" t="str">
        <v>Te koop</v>
      </c>
      <c r="L35" t="str">
        <v>Onbekend</v>
      </c>
      <c r="M35" t="str">
        <v>Onbekend</v>
      </c>
      <c r="N35">
        <v>374000</v>
      </c>
      <c r="O35" t="str">
        <v>v.o.n.</v>
      </c>
      <c r="P35">
        <v>57</v>
      </c>
      <c r="Q35">
        <v>6561</v>
      </c>
      <c r="R35" t="str">
        <v>Onbekend</v>
      </c>
      <c r="S35" t="str">
        <v>A++</v>
      </c>
      <c r="T35">
        <v>2</v>
      </c>
      <c r="U35">
        <v>1</v>
      </c>
      <c r="V35" t="str">
        <v>Appartement</v>
      </c>
      <c r="W35" t="str">
        <v>Appartement</v>
      </c>
      <c r="X35" t="str">
        <v>Appartement 50-75 m²</v>
      </c>
      <c r="Y35" t="str">
        <v>Ja</v>
      </c>
      <c r="Z35" t="str">
        <v>openbare parkeerplaats</v>
      </c>
      <c r="AA35" t="str">
        <v>2027</v>
      </c>
      <c r="AB35" t="str">
        <v>Nee</v>
      </c>
      <c r="AC35" t="str">
        <v>NEE</v>
      </c>
      <c r="AD35" t="str">
        <v>JA</v>
      </c>
    </row>
    <row r="36">
      <c r="A36" t="str">
        <v>44429991</v>
      </c>
      <c r="B36" t="str">
        <v>https://www.funda.nl/detail/koop/soest/appartement-parckhart-fase-1-2-kamer-appartement-s-bouwnr-46/44429991/</v>
      </c>
      <c r="C36" t="str">
        <v>ParckHart</v>
      </c>
      <c r="D36" t="str">
        <v>ParckHart fase 1 2-kamer appartement S</v>
      </c>
      <c r="E36" t="str">
        <v>46</v>
      </c>
      <c r="F36" t="str">
        <v>3762 AV</v>
      </c>
      <c r="G36" t="str">
        <v>Soest</v>
      </c>
      <c r="H36" t="str">
        <v>Soest</v>
      </c>
      <c r="I36" t="str">
        <v>Utrecht</v>
      </c>
      <c r="J36" t="str">
        <v>West-Nederland</v>
      </c>
      <c r="K36" t="str">
        <v>Te koop</v>
      </c>
      <c r="L36" t="str">
        <v>Onbekend</v>
      </c>
      <c r="M36" t="str">
        <v>Onbekend</v>
      </c>
      <c r="N36">
        <v>372000</v>
      </c>
      <c r="O36" t="str">
        <v>v.o.n.</v>
      </c>
      <c r="P36">
        <v>57</v>
      </c>
      <c r="Q36">
        <v>6526</v>
      </c>
      <c r="R36" t="str">
        <v>Onbekend</v>
      </c>
      <c r="S36" t="str">
        <v>A+</v>
      </c>
      <c r="T36">
        <v>2</v>
      </c>
      <c r="U36">
        <v>1</v>
      </c>
      <c r="V36" t="str">
        <v>Appartement</v>
      </c>
      <c r="W36" t="str">
        <v>Appartement</v>
      </c>
      <c r="X36" t="str">
        <v>Appartement 50-75 m²</v>
      </c>
      <c r="Y36" t="str">
        <v>Ja</v>
      </c>
      <c r="Z36" t="str">
        <v>openbare parkeerplaats</v>
      </c>
      <c r="AA36" t="str">
        <v>2027</v>
      </c>
      <c r="AB36" t="str">
        <v>Nee</v>
      </c>
      <c r="AC36" t="str">
        <v>NEE</v>
      </c>
      <c r="AD36" t="str">
        <v>JA</v>
      </c>
    </row>
    <row r="37">
      <c r="A37" t="str">
        <v>44429990</v>
      </c>
      <c r="B37" t="str">
        <v>https://www.funda.nl/detail/koop/soest/appartement-parckhart-fase-1-2-kamer-appartement-s-bouwnr-66/44429990/</v>
      </c>
      <c r="C37" t="str">
        <v>ParckHart</v>
      </c>
      <c r="D37" t="str">
        <v>ParckHart fase 1 2-kamer appartement S</v>
      </c>
      <c r="E37" t="str">
        <v>66</v>
      </c>
      <c r="F37" t="str">
        <v>3762 AV</v>
      </c>
      <c r="G37" t="str">
        <v>Soest</v>
      </c>
      <c r="H37" t="str">
        <v>Soest</v>
      </c>
      <c r="I37" t="str">
        <v>Utrecht</v>
      </c>
      <c r="J37" t="str">
        <v>West-Nederland</v>
      </c>
      <c r="K37" t="str">
        <v>Te koop</v>
      </c>
      <c r="L37" t="str">
        <v>Onbekend</v>
      </c>
      <c r="M37" t="str">
        <v>Onbekend</v>
      </c>
      <c r="N37">
        <v>374000</v>
      </c>
      <c r="O37" t="str">
        <v>v.o.n.</v>
      </c>
      <c r="P37">
        <v>57</v>
      </c>
      <c r="Q37">
        <v>6561</v>
      </c>
      <c r="R37" t="str">
        <v>Onbekend</v>
      </c>
      <c r="S37" t="str">
        <v>A++</v>
      </c>
      <c r="T37">
        <v>2</v>
      </c>
      <c r="U37">
        <v>1</v>
      </c>
      <c r="V37" t="str">
        <v>Appartement</v>
      </c>
      <c r="W37" t="str">
        <v>Appartement</v>
      </c>
      <c r="X37" t="str">
        <v>Appartement 50-75 m²</v>
      </c>
      <c r="Y37" t="str">
        <v>Ja</v>
      </c>
      <c r="Z37" t="str">
        <v>openbare parkeerplaats</v>
      </c>
      <c r="AA37" t="str">
        <v>2027</v>
      </c>
      <c r="AB37" t="str">
        <v>Nee</v>
      </c>
      <c r="AC37" t="str">
        <v>NEE</v>
      </c>
      <c r="AD37" t="str">
        <v>JA</v>
      </c>
    </row>
    <row r="38">
      <c r="A38" t="str">
        <v>44429999</v>
      </c>
      <c r="B38" t="str">
        <v>https://www.funda.nl/detail/koop/soest/appartement-parckhart-fase-1-2-kamer-appartement-s-bouwnr-68/44429999/</v>
      </c>
      <c r="C38" t="str">
        <v>ParckHart</v>
      </c>
      <c r="D38" t="str">
        <v>ParckHart fase 1 2-kamer appartement S</v>
      </c>
      <c r="E38" t="str">
        <v>68</v>
      </c>
      <c r="F38" t="str">
        <v>3762 AV</v>
      </c>
      <c r="G38" t="str">
        <v>Soest</v>
      </c>
      <c r="H38" t="str">
        <v>Soest</v>
      </c>
      <c r="I38" t="str">
        <v>Utrecht</v>
      </c>
      <c r="J38" t="str">
        <v>West-Nederland</v>
      </c>
      <c r="K38" t="str">
        <v>Te koop</v>
      </c>
      <c r="L38" t="str">
        <v>Onbekend</v>
      </c>
      <c r="M38" t="str">
        <v>Onbekend</v>
      </c>
      <c r="N38">
        <v>275000</v>
      </c>
      <c r="O38" t="str">
        <v>v.o.n.</v>
      </c>
      <c r="P38">
        <v>51</v>
      </c>
      <c r="Q38">
        <v>5392</v>
      </c>
      <c r="R38" t="str">
        <v>Onbekend</v>
      </c>
      <c r="S38" t="str">
        <v>A+</v>
      </c>
      <c r="T38">
        <v>2</v>
      </c>
      <c r="U38">
        <v>1</v>
      </c>
      <c r="V38" t="str">
        <v>Appartement</v>
      </c>
      <c r="W38" t="str">
        <v>Appartement</v>
      </c>
      <c r="X38" t="str">
        <v>Appartement 50-75 m²</v>
      </c>
      <c r="Y38" t="str">
        <v>Ja</v>
      </c>
      <c r="Z38" t="str">
        <v>openbare parkeerplaats</v>
      </c>
      <c r="AA38" t="str">
        <v>2027</v>
      </c>
      <c r="AB38" t="str">
        <v>Nee</v>
      </c>
      <c r="AC38" t="str">
        <v>NEE</v>
      </c>
      <c r="AD38" t="str">
        <v>JA</v>
      </c>
    </row>
    <row r="39">
      <c r="A39" t="str">
        <v>44429998</v>
      </c>
      <c r="B39" t="str">
        <v>https://www.funda.nl/detail/koop/soest/appartement-parckhart-fase-1-2-kamer-appartement-s-bouwnr-67/44429998/</v>
      </c>
      <c r="C39" t="str">
        <v>ParckHart</v>
      </c>
      <c r="D39" t="str">
        <v>ParckHart fase 1 2-kamer appartement S</v>
      </c>
      <c r="E39" t="str">
        <v>67</v>
      </c>
      <c r="F39" t="str">
        <v>3762 AV</v>
      </c>
      <c r="G39" t="str">
        <v>Soest</v>
      </c>
      <c r="H39" t="str">
        <v>Soest</v>
      </c>
      <c r="I39" t="str">
        <v>Utrecht</v>
      </c>
      <c r="J39" t="str">
        <v>West-Nederland</v>
      </c>
      <c r="K39" t="str">
        <v>Te koop</v>
      </c>
      <c r="L39" t="str">
        <v>2026-07-06</v>
      </c>
      <c r="M39">
        <v>7</v>
      </c>
      <c r="N39">
        <v>275000</v>
      </c>
      <c r="O39" t="str">
        <v>v.o.n.</v>
      </c>
      <c r="P39">
        <v>51</v>
      </c>
      <c r="Q39">
        <v>5392</v>
      </c>
      <c r="R39" t="str">
        <v>Onbekend</v>
      </c>
      <c r="S39" t="str">
        <v>A++</v>
      </c>
      <c r="T39">
        <v>2</v>
      </c>
      <c r="U39">
        <v>1</v>
      </c>
      <c r="V39" t="str">
        <v>Appartement</v>
      </c>
      <c r="W39" t="str">
        <v>Appartement</v>
      </c>
      <c r="X39" t="str">
        <v>Appartement 50-75 m²</v>
      </c>
      <c r="Y39" t="str">
        <v>Ja</v>
      </c>
      <c r="Z39" t="str">
        <v>openbare parkeerplaats</v>
      </c>
      <c r="AA39" t="str">
        <v>2027</v>
      </c>
      <c r="AB39" t="str">
        <v>Nee</v>
      </c>
      <c r="AC39" t="str">
        <v>NEE</v>
      </c>
      <c r="AD39" t="str">
        <v>JA</v>
      </c>
    </row>
  </sheetData>
  <autoFilter ref="A23:AD39"/>
  <ignoredErrors>
    <ignoredError numberStoredAsText="1" sqref="A1:AD39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AD2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Son en Breugel</v>
      </c>
    </row>
    <row r="3">
      <c r="A3" t="str">
        <v>Samenvatting</v>
      </c>
    </row>
    <row r="4">
      <c r="A4" t="str">
        <v>Aantal woningen</v>
      </c>
      <c r="B4">
        <v>3</v>
      </c>
    </row>
    <row r="5">
      <c r="A5" t="str">
        <v>Aantal te koop</v>
      </c>
      <c r="B5">
        <v>3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1750000</v>
      </c>
    </row>
    <row r="9">
      <c r="A9" t="str">
        <v>Mediaan VON-prijs (€)</v>
      </c>
      <c r="B9">
        <v>1460000</v>
      </c>
    </row>
    <row r="10">
      <c r="A10" t="str">
        <v>Gemiddelde VON-prijs per m² (€)</v>
      </c>
      <c r="B10">
        <v>8131</v>
      </c>
    </row>
    <row r="11">
      <c r="A11" t="str">
        <v>Mediaan VON-prijs per m² (€)</v>
      </c>
      <c r="B11">
        <v>7978</v>
      </c>
    </row>
    <row r="12">
      <c r="A12" t="str">
        <v>Gemiddelde GBO (m²)</v>
      </c>
      <c r="B12">
        <v>0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20">
      <c r="A20" t="str">
        <v>Alle woningen in Son en Breugel</v>
      </c>
    </row>
    <row r="21">
      <c r="A21" t="str">
        <v>Funda ID</v>
      </c>
      <c r="B21" t="str">
        <v>Funda URL</v>
      </c>
      <c r="C21" t="str">
        <v>Projectnaam</v>
      </c>
      <c r="D21" t="str">
        <v>Adres</v>
      </c>
      <c r="E21" t="str">
        <v>Bouwnummer</v>
      </c>
      <c r="F21" t="str">
        <v>Postcode</v>
      </c>
      <c r="G21" t="str">
        <v>Plaats</v>
      </c>
      <c r="H21" t="str">
        <v>Gemeente</v>
      </c>
      <c r="I21" t="str">
        <v>Provincie</v>
      </c>
      <c r="J21" t="str">
        <v>Regio</v>
      </c>
      <c r="K21" t="str">
        <v>Status</v>
      </c>
      <c r="L21" t="str">
        <v>Datum plaatsing</v>
      </c>
      <c r="M21" t="str">
        <v>Looptijd (dagen)</v>
      </c>
      <c r="N21" t="str">
        <v>Vraagprijs (€)</v>
      </c>
      <c r="O21" t="str">
        <v>Kostenlabel</v>
      </c>
      <c r="P21" t="str">
        <v>GBO (m²)</v>
      </c>
      <c r="Q21" t="str">
        <v>VON-prijs per m² (€)</v>
      </c>
      <c r="R21" t="str">
        <v>Perceeloppervlakte (m²)</v>
      </c>
      <c r="S21" t="str">
        <v>Energielabel</v>
      </c>
      <c r="T21" t="str">
        <v>Aantal kamers</v>
      </c>
      <c r="U21" t="str">
        <v>Aantal slaapkamers</v>
      </c>
      <c r="V21" t="str">
        <v>Woningcategorie</v>
      </c>
      <c r="W21" t="str">
        <v>Woningtype</v>
      </c>
      <c r="X21" t="str">
        <v>Appartement categorie</v>
      </c>
      <c r="Y21" t="str">
        <v>Parkeerplaats</v>
      </c>
      <c r="Z21" t="str">
        <v>Type parkeerplaats</v>
      </c>
      <c r="AA21" t="str">
        <v>Bouwjaar</v>
      </c>
      <c r="AB21" t="str">
        <v>Prijs op aanvraag</v>
      </c>
      <c r="AC21" t="str">
        <v>Outlier flag</v>
      </c>
      <c r="AD21" t="str">
        <v>GemeenteOK</v>
      </c>
    </row>
    <row r="22">
      <c r="A22" t="str">
        <v>80883760</v>
      </c>
      <c r="B22" t="str">
        <v>https://www.funda.nl/detail/koop/son-en-breugel/appartement-larikslaan-28/80883760/</v>
      </c>
      <c r="C22" t="str">
        <v>Onbekend</v>
      </c>
      <c r="D22" t="str">
        <v>Larikslaan 28</v>
      </c>
      <c r="E22" t="str">
        <v>Onbekend</v>
      </c>
      <c r="F22" t="str">
        <v>5691 CL</v>
      </c>
      <c r="G22" t="str">
        <v>Son en Breugel</v>
      </c>
      <c r="H22" t="str">
        <v>Son en Breugel</v>
      </c>
      <c r="I22" t="str">
        <v>Noord-Brabant</v>
      </c>
      <c r="J22" t="str">
        <v>Zuid-Nederland</v>
      </c>
      <c r="K22" t="str">
        <v>Te koop</v>
      </c>
      <c r="L22" t="str">
        <v>Onbekend</v>
      </c>
      <c r="M22" t="str">
        <v>Onbekend</v>
      </c>
      <c r="N22">
        <v>2390000</v>
      </c>
      <c r="O22" t="str">
        <v>v.o.n.</v>
      </c>
      <c r="P22" t="str">
        <v>Onbekend</v>
      </c>
      <c r="Q22">
        <v>8505</v>
      </c>
      <c r="R22" t="str">
        <v>Onbekend</v>
      </c>
      <c r="S22" t="str">
        <v>Niet beschikbaar</v>
      </c>
      <c r="T22">
        <v>8</v>
      </c>
      <c r="U22">
        <v>3</v>
      </c>
      <c r="V22" t="str">
        <v>Appartement</v>
      </c>
      <c r="W22" t="str">
        <v>Appartement</v>
      </c>
      <c r="X22" t="str">
        <v>Onbekend</v>
      </c>
      <c r="Y22" t="str">
        <v>Onbekend</v>
      </c>
      <c r="Z22" t="str">
        <v>onbekend</v>
      </c>
      <c r="AA22" t="str">
        <v>2028</v>
      </c>
      <c r="AB22" t="str">
        <v>Nee</v>
      </c>
      <c r="AC22" t="str">
        <v>NEE</v>
      </c>
      <c r="AD22" t="str">
        <v>JA</v>
      </c>
    </row>
    <row r="23">
      <c r="A23" t="str">
        <v>80883608</v>
      </c>
      <c r="B23" t="str">
        <v>https://www.funda.nl/detail/koop/son-en-breugel/appartement-larikslaan-10/80883608/</v>
      </c>
      <c r="C23" t="str">
        <v>Onbekend</v>
      </c>
      <c r="D23" t="str">
        <v>Larikslaan 10</v>
      </c>
      <c r="E23" t="str">
        <v>Onbekend</v>
      </c>
      <c r="F23" t="str">
        <v>5691 CL</v>
      </c>
      <c r="G23" t="str">
        <v>Son en Breugel</v>
      </c>
      <c r="H23" t="str">
        <v>Son en Breugel</v>
      </c>
      <c r="I23" t="str">
        <v>Noord-Brabant</v>
      </c>
      <c r="J23" t="str">
        <v>Zuid-Nederland</v>
      </c>
      <c r="K23" t="str">
        <v>Te koop</v>
      </c>
      <c r="L23" t="str">
        <v>Onbekend</v>
      </c>
      <c r="M23" t="str">
        <v>Onbekend</v>
      </c>
      <c r="N23">
        <v>1400000</v>
      </c>
      <c r="O23" t="str">
        <v>v.o.n.</v>
      </c>
      <c r="P23" t="str">
        <v>Onbekend</v>
      </c>
      <c r="Q23">
        <v>7910</v>
      </c>
      <c r="R23" t="str">
        <v>Onbekend</v>
      </c>
      <c r="S23" t="str">
        <v>Niet beschikbaar</v>
      </c>
      <c r="T23">
        <v>4</v>
      </c>
      <c r="U23">
        <v>3</v>
      </c>
      <c r="V23" t="str">
        <v>Appartement</v>
      </c>
      <c r="W23" t="str">
        <v>Appartement</v>
      </c>
      <c r="X23" t="str">
        <v>Onbekend</v>
      </c>
      <c r="Y23" t="str">
        <v>Onbekend</v>
      </c>
      <c r="Z23" t="str">
        <v>onbekend</v>
      </c>
      <c r="AA23" t="str">
        <v>2028</v>
      </c>
      <c r="AB23" t="str">
        <v>Nee</v>
      </c>
      <c r="AC23" t="str">
        <v>NEE</v>
      </c>
      <c r="AD23" t="str">
        <v>JA</v>
      </c>
    </row>
    <row r="24">
      <c r="A24" t="str">
        <v>80883303</v>
      </c>
      <c r="B24" t="str">
        <v>https://www.funda.nl/detail/koop/son-en-breugel/appartement-larikslaan-12/80883303/</v>
      </c>
      <c r="C24" t="str">
        <v>Onbekend</v>
      </c>
      <c r="D24" t="str">
        <v>Larikslaan 12</v>
      </c>
      <c r="E24" t="str">
        <v>Onbekend</v>
      </c>
      <c r="F24" t="str">
        <v>5691 CL</v>
      </c>
      <c r="G24" t="str">
        <v>Son en Breugel</v>
      </c>
      <c r="H24" t="str">
        <v>Son en Breugel</v>
      </c>
      <c r="I24" t="str">
        <v>Noord-Brabant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1460000</v>
      </c>
      <c r="O24" t="str">
        <v>v.o.n.</v>
      </c>
      <c r="P24" t="str">
        <v>Onbekend</v>
      </c>
      <c r="Q24">
        <v>7978</v>
      </c>
      <c r="R24" t="str">
        <v>Onbekend</v>
      </c>
      <c r="S24" t="str">
        <v>Niet beschikbaar</v>
      </c>
      <c r="T24">
        <v>4</v>
      </c>
      <c r="U24">
        <v>3</v>
      </c>
      <c r="V24" t="str">
        <v>Appartement</v>
      </c>
      <c r="W24" t="str">
        <v>Appartement</v>
      </c>
      <c r="X24" t="str">
        <v>Onbekend</v>
      </c>
      <c r="Y24" t="str">
        <v>Onbekend</v>
      </c>
      <c r="Z24" t="str">
        <v>onbekend</v>
      </c>
      <c r="AA24" t="str">
        <v>2028</v>
      </c>
      <c r="AB24" t="str">
        <v>Nee</v>
      </c>
      <c r="AC24" t="str">
        <v>NEE</v>
      </c>
      <c r="AD24" t="str">
        <v>JA</v>
      </c>
    </row>
  </sheetData>
  <autoFilter ref="A21:AD24"/>
  <ignoredErrors>
    <ignoredError numberStoredAsText="1" sqref="A1:AD24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Valkenswaard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420000</v>
      </c>
    </row>
    <row r="9">
      <c r="A9" t="str">
        <v>Mediaan VON-prijs (€)</v>
      </c>
      <c r="B9">
        <v>420000</v>
      </c>
    </row>
    <row r="10">
      <c r="A10" t="str">
        <v>Gemiddelde VON-prijs per m² (€)</v>
      </c>
      <c r="B10">
        <v>4330</v>
      </c>
    </row>
    <row r="11">
      <c r="A11" t="str">
        <v>Mediaan VON-prijs per m² (€)</v>
      </c>
      <c r="B11">
        <v>4330</v>
      </c>
    </row>
    <row r="12">
      <c r="A12" t="str">
        <v>Gemiddelde GBO (m²)</v>
      </c>
      <c r="B12">
        <v>97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Tussenwoning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Valkenswaard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44428387</v>
      </c>
      <c r="B23" t="str">
        <v>https://www.funda.nl/detail/koop/valkenswaard/huis-de-vlasroot-2/44428387/</v>
      </c>
      <c r="C23" t="str">
        <v>Onbekend</v>
      </c>
      <c r="D23" t="str">
        <v>De Vlasroot 2</v>
      </c>
      <c r="E23" t="str">
        <v>Onbekend</v>
      </c>
      <c r="F23" t="str">
        <v>5555 KR</v>
      </c>
      <c r="G23" t="str">
        <v>Valkenswaard</v>
      </c>
      <c r="H23" t="str">
        <v>Valkenswaard</v>
      </c>
      <c r="I23" t="str">
        <v>Noord-Brabant</v>
      </c>
      <c r="J23" t="str">
        <v>Zuid-Nederland</v>
      </c>
      <c r="K23" t="str">
        <v>Te koop</v>
      </c>
      <c r="L23" t="str">
        <v>Onbekend</v>
      </c>
      <c r="M23" t="str">
        <v>Onbekend</v>
      </c>
      <c r="N23">
        <v>420000</v>
      </c>
      <c r="O23" t="str">
        <v>v.o.n.</v>
      </c>
      <c r="P23">
        <v>97</v>
      </c>
      <c r="Q23">
        <v>4330</v>
      </c>
      <c r="R23">
        <v>101</v>
      </c>
      <c r="S23" t="str">
        <v>A+++</v>
      </c>
      <c r="T23">
        <v>4</v>
      </c>
      <c r="U23">
        <v>3</v>
      </c>
      <c r="V23" t="str">
        <v>Grondgebonden</v>
      </c>
      <c r="W23" t="str">
        <v>Tussenwoning</v>
      </c>
      <c r="X23" t="str">
        <v>N.v.t.</v>
      </c>
      <c r="Y23" t="str">
        <v>Ja</v>
      </c>
      <c r="Z23" t="str">
        <v>openbare parkeerplaats</v>
      </c>
      <c r="AA23" t="str">
        <v>2027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AD8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Veenendaal</v>
      </c>
    </row>
    <row r="3">
      <c r="A3" t="str">
        <v>Samenvatting</v>
      </c>
    </row>
    <row r="4">
      <c r="A4" t="str">
        <v>Aantal woningen</v>
      </c>
      <c r="B4">
        <v>56</v>
      </c>
    </row>
    <row r="5">
      <c r="A5" t="str">
        <v>Aantal te koop</v>
      </c>
      <c r="B5">
        <v>56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534786</v>
      </c>
    </row>
    <row r="9">
      <c r="A9" t="str">
        <v>Mediaan VON-prijs (€)</v>
      </c>
      <c r="B9">
        <v>502250</v>
      </c>
    </row>
    <row r="10">
      <c r="A10" t="str">
        <v>Gemiddelde VON-prijs per m² (€)</v>
      </c>
      <c r="B10">
        <v>5452</v>
      </c>
    </row>
    <row r="11">
      <c r="A11" t="str">
        <v>Mediaan VON-prijs per m² (€)</v>
      </c>
      <c r="B11">
        <v>5439</v>
      </c>
    </row>
    <row r="12">
      <c r="A12" t="str">
        <v>Gemiddelde GBO (m²)</v>
      </c>
      <c r="B12">
        <v>102</v>
      </c>
    </row>
    <row r="13">
      <c r="A13" t="str">
        <v>Gemiddelde looptijd (dagen)</v>
      </c>
      <c r="B13">
        <v>7</v>
      </c>
    </row>
    <row r="14">
      <c r="A14" t="str">
        <v>Aandeel met parkeerplaats (%)</v>
      </c>
      <c r="B14">
        <v>42.9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6</v>
      </c>
    </row>
    <row r="18">
      <c r="A18" t="str">
        <v>2-onder-1-kapwoning</v>
      </c>
      <c r="B18">
        <v>16</v>
      </c>
    </row>
    <row r="20">
      <c r="A20" t="str">
        <v>Uitsplitsing appartementcategorieen</v>
      </c>
      <c r="B20" t="str">
        <v>Aantal</v>
      </c>
    </row>
    <row r="21">
      <c r="A21" t="str">
        <v>Appartement &lt;50 m²</v>
      </c>
      <c r="B21">
        <v>16</v>
      </c>
    </row>
    <row r="22">
      <c r="A22" t="str">
        <v>Appartement 50-75 m²</v>
      </c>
      <c r="B22">
        <v>2</v>
      </c>
    </row>
    <row r="23">
      <c r="A23" t="str">
        <v>Appartement 75-100 m²</v>
      </c>
      <c r="B23">
        <v>8</v>
      </c>
    </row>
    <row r="24">
      <c r="A24" t="str">
        <v>Appartement &gt;100 m²</v>
      </c>
      <c r="B24">
        <v>8</v>
      </c>
    </row>
    <row r="26">
      <c r="A26" t="str">
        <v>Alle woningen in Veenendaal</v>
      </c>
    </row>
    <row r="27">
      <c r="A27" t="str">
        <v>Funda ID</v>
      </c>
      <c r="B27" t="str">
        <v>Funda URL</v>
      </c>
      <c r="C27" t="str">
        <v>Projectnaam</v>
      </c>
      <c r="D27" t="str">
        <v>Adres</v>
      </c>
      <c r="E27" t="str">
        <v>Bouwnummer</v>
      </c>
      <c r="F27" t="str">
        <v>Postcode</v>
      </c>
      <c r="G27" t="str">
        <v>Plaats</v>
      </c>
      <c r="H27" t="str">
        <v>Gemeente</v>
      </c>
      <c r="I27" t="str">
        <v>Provincie</v>
      </c>
      <c r="J27" t="str">
        <v>Regio</v>
      </c>
      <c r="K27" t="str">
        <v>Status</v>
      </c>
      <c r="L27" t="str">
        <v>Datum plaatsing</v>
      </c>
      <c r="M27" t="str">
        <v>Looptijd (dagen)</v>
      </c>
      <c r="N27" t="str">
        <v>Vraagprijs (€)</v>
      </c>
      <c r="O27" t="str">
        <v>Kostenlabel</v>
      </c>
      <c r="P27" t="str">
        <v>GBO (m²)</v>
      </c>
      <c r="Q27" t="str">
        <v>VON-prijs per m² (€)</v>
      </c>
      <c r="R27" t="str">
        <v>Perceeloppervlakte (m²)</v>
      </c>
      <c r="S27" t="str">
        <v>Energielabel</v>
      </c>
      <c r="T27" t="str">
        <v>Aantal kamers</v>
      </c>
      <c r="U27" t="str">
        <v>Aantal slaapkamers</v>
      </c>
      <c r="V27" t="str">
        <v>Woningcategorie</v>
      </c>
      <c r="W27" t="str">
        <v>Woningtype</v>
      </c>
      <c r="X27" t="str">
        <v>Appartement categorie</v>
      </c>
      <c r="Y27" t="str">
        <v>Parkeerplaats</v>
      </c>
      <c r="Z27" t="str">
        <v>Type parkeerplaats</v>
      </c>
      <c r="AA27" t="str">
        <v>Bouwjaar</v>
      </c>
      <c r="AB27" t="str">
        <v>Prijs op aanvraag</v>
      </c>
      <c r="AC27" t="str">
        <v>Outlier flag</v>
      </c>
      <c r="AD27" t="str">
        <v>GemeenteOK</v>
      </c>
    </row>
    <row r="28">
      <c r="A28" t="str">
        <v>44420098</v>
      </c>
      <c r="B28" t="str">
        <v>https://www.funda.nl/detail/koop/veenendaal/huis-brink-bouwnr-6/44420098/</v>
      </c>
      <c r="C28" t="str">
        <v>Linde</v>
      </c>
      <c r="D28" t="str">
        <v>Brink</v>
      </c>
      <c r="E28" t="str">
        <v>6</v>
      </c>
      <c r="F28" t="str">
        <v>3907</v>
      </c>
      <c r="G28" t="str">
        <v>Veenendaal</v>
      </c>
      <c r="H28" t="str">
        <v>Veenendaal</v>
      </c>
      <c r="I28" t="str">
        <v>Utrecht</v>
      </c>
      <c r="J28" t="str">
        <v>West-Nederland</v>
      </c>
      <c r="K28" t="str">
        <v>Te koop</v>
      </c>
      <c r="L28" t="str">
        <v>Onbekend</v>
      </c>
      <c r="M28" t="str">
        <v>Onbekend</v>
      </c>
      <c r="N28">
        <v>650000</v>
      </c>
      <c r="O28" t="str">
        <v>v.o.n.</v>
      </c>
      <c r="P28">
        <v>130</v>
      </c>
      <c r="Q28">
        <v>5000</v>
      </c>
      <c r="R28">
        <v>265</v>
      </c>
      <c r="S28" t="str">
        <v>Niet beschikbaar</v>
      </c>
      <c r="T28">
        <v>5</v>
      </c>
      <c r="U28">
        <v>3</v>
      </c>
      <c r="V28" t="str">
        <v>Grondgebonden</v>
      </c>
      <c r="W28" t="str">
        <v>2-onder-1-kapwoning</v>
      </c>
      <c r="X28" t="str">
        <v>N.v.t.</v>
      </c>
      <c r="Y28" t="str">
        <v>Ja</v>
      </c>
      <c r="Z28" t="str">
        <v>eigen parkeerplaats</v>
      </c>
      <c r="AA28" t="str">
        <v>Na 2020</v>
      </c>
      <c r="AB28" t="str">
        <v>Nee</v>
      </c>
      <c r="AC28" t="str">
        <v>NEE</v>
      </c>
      <c r="AD28" t="str">
        <v>JA</v>
      </c>
    </row>
    <row r="29">
      <c r="A29" t="str">
        <v>44420094</v>
      </c>
      <c r="B29" t="str">
        <v>https://www.funda.nl/detail/koop/veenendaal/huis-park-bouwnr-15/44420094/</v>
      </c>
      <c r="C29" t="str">
        <v>Linde</v>
      </c>
      <c r="D29" t="str">
        <v>Park</v>
      </c>
      <c r="E29" t="str">
        <v>15</v>
      </c>
      <c r="F29" t="str">
        <v>3907</v>
      </c>
      <c r="G29" t="str">
        <v>Veenendaal</v>
      </c>
      <c r="H29" t="str">
        <v>Veenendaal</v>
      </c>
      <c r="I29" t="str">
        <v>Utrecht</v>
      </c>
      <c r="J29" t="str">
        <v>West-Nederland</v>
      </c>
      <c r="K29" t="str">
        <v>Te koop</v>
      </c>
      <c r="L29" t="str">
        <v>Onbekend</v>
      </c>
      <c r="M29" t="str">
        <v>Onbekend</v>
      </c>
      <c r="N29">
        <v>755000</v>
      </c>
      <c r="O29" t="str">
        <v>v.o.n.</v>
      </c>
      <c r="P29">
        <v>156</v>
      </c>
      <c r="Q29">
        <v>4840</v>
      </c>
      <c r="R29">
        <v>345</v>
      </c>
      <c r="S29" t="str">
        <v>Niet beschikbaar</v>
      </c>
      <c r="T29">
        <v>5</v>
      </c>
      <c r="U29">
        <v>3</v>
      </c>
      <c r="V29" t="str">
        <v>Grondgebonden</v>
      </c>
      <c r="W29" t="str">
        <v>2-onder-1-kapwoning</v>
      </c>
      <c r="X29" t="str">
        <v>N.v.t.</v>
      </c>
      <c r="Y29" t="str">
        <v>Ja</v>
      </c>
      <c r="Z29" t="str">
        <v>eigen parkeerplaats</v>
      </c>
      <c r="AA29" t="str">
        <v>2026</v>
      </c>
      <c r="AB29" t="str">
        <v>Nee</v>
      </c>
      <c r="AC29" t="str">
        <v>NEE</v>
      </c>
      <c r="AD29" t="str">
        <v>JA</v>
      </c>
    </row>
    <row r="30">
      <c r="A30" t="str">
        <v>44420093</v>
      </c>
      <c r="B30" t="str">
        <v>https://www.funda.nl/detail/koop/veenendaal/huis-park-bouwnr-13/44420093/</v>
      </c>
      <c r="C30" t="str">
        <v>Linde</v>
      </c>
      <c r="D30" t="str">
        <v>Park</v>
      </c>
      <c r="E30" t="str">
        <v>13</v>
      </c>
      <c r="F30" t="str">
        <v>3907</v>
      </c>
      <c r="G30" t="str">
        <v>Veenendaal</v>
      </c>
      <c r="H30" t="str">
        <v>Veenendaal</v>
      </c>
      <c r="I30" t="str">
        <v>Utrecht</v>
      </c>
      <c r="J30" t="str">
        <v>West-Nederland</v>
      </c>
      <c r="K30" t="str">
        <v>Te koop</v>
      </c>
      <c r="L30" t="str">
        <v>Onbekend</v>
      </c>
      <c r="M30" t="str">
        <v>Onbekend</v>
      </c>
      <c r="N30">
        <v>750000</v>
      </c>
      <c r="O30" t="str">
        <v>v.o.n.</v>
      </c>
      <c r="P30">
        <v>156</v>
      </c>
      <c r="Q30">
        <v>4808</v>
      </c>
      <c r="R30">
        <v>320</v>
      </c>
      <c r="S30" t="str">
        <v>Niet beschikbaar</v>
      </c>
      <c r="T30">
        <v>5</v>
      </c>
      <c r="U30">
        <v>3</v>
      </c>
      <c r="V30" t="str">
        <v>Grondgebonden</v>
      </c>
      <c r="W30" t="str">
        <v>2-onder-1-kapwoning</v>
      </c>
      <c r="X30" t="str">
        <v>N.v.t.</v>
      </c>
      <c r="Y30" t="str">
        <v>Ja</v>
      </c>
      <c r="Z30" t="str">
        <v>eigen parkeerplaats</v>
      </c>
      <c r="AA30" t="str">
        <v>2026</v>
      </c>
      <c r="AB30" t="str">
        <v>Nee</v>
      </c>
      <c r="AC30" t="str">
        <v>NEE</v>
      </c>
      <c r="AD30" t="str">
        <v>JA</v>
      </c>
    </row>
    <row r="31">
      <c r="A31" t="str">
        <v>44420082</v>
      </c>
      <c r="B31" t="str">
        <v>https://www.funda.nl/detail/koop/veenendaal/huis-park-bouwnr-14/44420082/</v>
      </c>
      <c r="C31" t="str">
        <v>Linde</v>
      </c>
      <c r="D31" t="str">
        <v>Park</v>
      </c>
      <c r="E31" t="str">
        <v>14</v>
      </c>
      <c r="F31" t="str">
        <v>3907</v>
      </c>
      <c r="G31" t="str">
        <v>Veenendaal</v>
      </c>
      <c r="H31" t="str">
        <v>Veenendaal</v>
      </c>
      <c r="I31" t="str">
        <v>Utrecht</v>
      </c>
      <c r="J31" t="str">
        <v>West-Nederland</v>
      </c>
      <c r="K31" t="str">
        <v>Te koop</v>
      </c>
      <c r="L31" t="str">
        <v>2026-07-07</v>
      </c>
      <c r="M31">
        <v>6</v>
      </c>
      <c r="N31">
        <v>750000</v>
      </c>
      <c r="O31" t="str">
        <v>v.o.n.</v>
      </c>
      <c r="P31">
        <v>156</v>
      </c>
      <c r="Q31">
        <v>4808</v>
      </c>
      <c r="R31">
        <v>318</v>
      </c>
      <c r="S31" t="str">
        <v>Niet beschikbaar</v>
      </c>
      <c r="T31">
        <v>5</v>
      </c>
      <c r="U31">
        <v>3</v>
      </c>
      <c r="V31" t="str">
        <v>Grondgebonden</v>
      </c>
      <c r="W31" t="str">
        <v>2-onder-1-kapwoning</v>
      </c>
      <c r="X31" t="str">
        <v>N.v.t.</v>
      </c>
      <c r="Y31" t="str">
        <v>Ja</v>
      </c>
      <c r="Z31" t="str">
        <v>eigen parkeerplaats</v>
      </c>
      <c r="AA31" t="str">
        <v>2026</v>
      </c>
      <c r="AB31" t="str">
        <v>Nee</v>
      </c>
      <c r="AC31" t="str">
        <v>NEE</v>
      </c>
      <c r="AD31" t="str">
        <v>JA</v>
      </c>
    </row>
    <row r="32">
      <c r="A32" t="str">
        <v>44420081</v>
      </c>
      <c r="B32" t="str">
        <v>https://www.funda.nl/detail/koop/veenendaal/huis-park-bouwnr-16/44420081/</v>
      </c>
      <c r="C32" t="str">
        <v>Linde</v>
      </c>
      <c r="D32" t="str">
        <v>Park</v>
      </c>
      <c r="E32" t="str">
        <v>16</v>
      </c>
      <c r="F32" t="str">
        <v>3907</v>
      </c>
      <c r="G32" t="str">
        <v>Veenendaal</v>
      </c>
      <c r="H32" t="str">
        <v>Veenendaal</v>
      </c>
      <c r="I32" t="str">
        <v>Utrecht</v>
      </c>
      <c r="J32" t="str">
        <v>West-Nederland</v>
      </c>
      <c r="K32" t="str">
        <v>Te koop</v>
      </c>
      <c r="L32" t="str">
        <v>Onbekend</v>
      </c>
      <c r="M32" t="str">
        <v>Onbekend</v>
      </c>
      <c r="N32">
        <v>755000</v>
      </c>
      <c r="O32" t="str">
        <v>v.o.n.</v>
      </c>
      <c r="P32">
        <v>156</v>
      </c>
      <c r="Q32">
        <v>4840</v>
      </c>
      <c r="R32">
        <v>342</v>
      </c>
      <c r="S32" t="str">
        <v>Niet beschikbaar</v>
      </c>
      <c r="T32">
        <v>5</v>
      </c>
      <c r="U32">
        <v>3</v>
      </c>
      <c r="V32" t="str">
        <v>Grondgebonden</v>
      </c>
      <c r="W32" t="str">
        <v>2-onder-1-kapwoning</v>
      </c>
      <c r="X32" t="str">
        <v>N.v.t.</v>
      </c>
      <c r="Y32" t="str">
        <v>Ja</v>
      </c>
      <c r="Z32" t="str">
        <v>eigen parkeerplaats</v>
      </c>
      <c r="AA32" t="str">
        <v>Na 2020</v>
      </c>
      <c r="AB32" t="str">
        <v>Nee</v>
      </c>
      <c r="AC32" t="str">
        <v>NEE</v>
      </c>
      <c r="AD32" t="str">
        <v>JA</v>
      </c>
    </row>
    <row r="33">
      <c r="A33" t="str">
        <v>44420080</v>
      </c>
      <c r="B33" t="str">
        <v>https://www.funda.nl/detail/koop/veenendaal/huis-brink-bouwnr-8/44420080/</v>
      </c>
      <c r="C33" t="str">
        <v>Linde</v>
      </c>
      <c r="D33" t="str">
        <v>Brink</v>
      </c>
      <c r="E33" t="str">
        <v>8</v>
      </c>
      <c r="F33" t="str">
        <v>3907</v>
      </c>
      <c r="G33" t="str">
        <v>Veenendaal</v>
      </c>
      <c r="H33" t="str">
        <v>Veenendaal</v>
      </c>
      <c r="I33" t="str">
        <v>Utrecht</v>
      </c>
      <c r="J33" t="str">
        <v>West-Nederland</v>
      </c>
      <c r="K33" t="str">
        <v>Te koop</v>
      </c>
      <c r="L33" t="str">
        <v>Onbekend</v>
      </c>
      <c r="M33" t="str">
        <v>Onbekend</v>
      </c>
      <c r="N33">
        <v>650000</v>
      </c>
      <c r="O33" t="str">
        <v>v.o.n.</v>
      </c>
      <c r="P33">
        <v>130</v>
      </c>
      <c r="Q33">
        <v>5000</v>
      </c>
      <c r="R33">
        <v>265</v>
      </c>
      <c r="S33" t="str">
        <v>Niet beschikbaar</v>
      </c>
      <c r="T33">
        <v>5</v>
      </c>
      <c r="U33">
        <v>3</v>
      </c>
      <c r="V33" t="str">
        <v>Grondgebonden</v>
      </c>
      <c r="W33" t="str">
        <v>2-onder-1-kapwoning</v>
      </c>
      <c r="X33" t="str">
        <v>N.v.t.</v>
      </c>
      <c r="Y33" t="str">
        <v>Ja</v>
      </c>
      <c r="Z33" t="str">
        <v>eigen parkeerplaats</v>
      </c>
      <c r="AA33" t="str">
        <v>Na 2020</v>
      </c>
      <c r="AB33" t="str">
        <v>Nee</v>
      </c>
      <c r="AC33" t="str">
        <v>NEE</v>
      </c>
      <c r="AD33" t="str">
        <v>JA</v>
      </c>
    </row>
    <row r="34">
      <c r="A34" t="str">
        <v>44420089</v>
      </c>
      <c r="B34" t="str">
        <v>https://www.funda.nl/detail/koop/veenendaal/huis-brink-bouwnr-7/44420089/</v>
      </c>
      <c r="C34" t="str">
        <v>Linde</v>
      </c>
      <c r="D34" t="str">
        <v>Brink</v>
      </c>
      <c r="E34" t="str">
        <v>7</v>
      </c>
      <c r="F34" t="str">
        <v>3907</v>
      </c>
      <c r="G34" t="str">
        <v>Veenendaal</v>
      </c>
      <c r="H34" t="str">
        <v>Veenendaal</v>
      </c>
      <c r="I34" t="str">
        <v>Utrecht</v>
      </c>
      <c r="J34" t="str">
        <v>West-Nederland</v>
      </c>
      <c r="K34" t="str">
        <v>Te koop</v>
      </c>
      <c r="L34" t="str">
        <v>Onbekend</v>
      </c>
      <c r="M34" t="str">
        <v>Onbekend</v>
      </c>
      <c r="N34">
        <v>650000</v>
      </c>
      <c r="O34" t="str">
        <v>v.o.n.</v>
      </c>
      <c r="P34">
        <v>130</v>
      </c>
      <c r="Q34">
        <v>5000</v>
      </c>
      <c r="R34">
        <v>265</v>
      </c>
      <c r="S34" t="str">
        <v>Niet beschikbaar</v>
      </c>
      <c r="T34">
        <v>5</v>
      </c>
      <c r="U34">
        <v>3</v>
      </c>
      <c r="V34" t="str">
        <v>Grondgebonden</v>
      </c>
      <c r="W34" t="str">
        <v>2-onder-1-kapwoning</v>
      </c>
      <c r="X34" t="str">
        <v>N.v.t.</v>
      </c>
      <c r="Y34" t="str">
        <v>Ja</v>
      </c>
      <c r="Z34" t="str">
        <v>eigen parkeerplaats</v>
      </c>
      <c r="AA34" t="str">
        <v>Na 2020</v>
      </c>
      <c r="AB34" t="str">
        <v>Nee</v>
      </c>
      <c r="AC34" t="str">
        <v>NEE</v>
      </c>
      <c r="AD34" t="str">
        <v>JA</v>
      </c>
    </row>
    <row r="35">
      <c r="A35" t="str">
        <v>44420087</v>
      </c>
      <c r="B35" t="str">
        <v>https://www.funda.nl/detail/koop/veenendaal/huis-brink-bouwnr-4/44420087/</v>
      </c>
      <c r="C35" t="str">
        <v>Linde</v>
      </c>
      <c r="D35" t="str">
        <v>Brink</v>
      </c>
      <c r="E35" t="str">
        <v>4</v>
      </c>
      <c r="F35" t="str">
        <v>3907</v>
      </c>
      <c r="G35" t="str">
        <v>Veenendaal</v>
      </c>
      <c r="H35" t="str">
        <v>Veenendaal</v>
      </c>
      <c r="I35" t="str">
        <v>Utrecht</v>
      </c>
      <c r="J35" t="str">
        <v>West-Nederland</v>
      </c>
      <c r="K35" t="str">
        <v>Te koop</v>
      </c>
      <c r="L35" t="str">
        <v>Onbekend</v>
      </c>
      <c r="M35" t="str">
        <v>Onbekend</v>
      </c>
      <c r="N35">
        <v>650000</v>
      </c>
      <c r="O35" t="str">
        <v>v.o.n.</v>
      </c>
      <c r="P35">
        <v>130</v>
      </c>
      <c r="Q35">
        <v>5000</v>
      </c>
      <c r="R35">
        <v>265</v>
      </c>
      <c r="S35" t="str">
        <v>Niet beschikbaar</v>
      </c>
      <c r="T35">
        <v>5</v>
      </c>
      <c r="U35">
        <v>3</v>
      </c>
      <c r="V35" t="str">
        <v>Grondgebonden</v>
      </c>
      <c r="W35" t="str">
        <v>2-onder-1-kapwoning</v>
      </c>
      <c r="X35" t="str">
        <v>N.v.t.</v>
      </c>
      <c r="Y35" t="str">
        <v>Ja</v>
      </c>
      <c r="Z35" t="str">
        <v>eigen parkeerplaats</v>
      </c>
      <c r="AA35" t="str">
        <v>Na 2020</v>
      </c>
      <c r="AB35" t="str">
        <v>Nee</v>
      </c>
      <c r="AC35" t="str">
        <v>NEE</v>
      </c>
      <c r="AD35" t="str">
        <v>JA</v>
      </c>
    </row>
    <row r="36">
      <c r="A36" t="str">
        <v>44420086</v>
      </c>
      <c r="B36" t="str">
        <v>https://www.funda.nl/detail/koop/veenendaal/huis-brink-bouwnr-3/44420086/</v>
      </c>
      <c r="C36" t="str">
        <v>Linde</v>
      </c>
      <c r="D36" t="str">
        <v>Brink</v>
      </c>
      <c r="E36" t="str">
        <v>3</v>
      </c>
      <c r="F36" t="str">
        <v>3907</v>
      </c>
      <c r="G36" t="str">
        <v>Veenendaal</v>
      </c>
      <c r="H36" t="str">
        <v>Veenendaal</v>
      </c>
      <c r="I36" t="str">
        <v>Utrecht</v>
      </c>
      <c r="J36" t="str">
        <v>West-Nederland</v>
      </c>
      <c r="K36" t="str">
        <v>Te koop</v>
      </c>
      <c r="L36" t="str">
        <v>Onbekend</v>
      </c>
      <c r="M36" t="str">
        <v>Onbekend</v>
      </c>
      <c r="N36">
        <v>650000</v>
      </c>
      <c r="O36" t="str">
        <v>v.o.n.</v>
      </c>
      <c r="P36">
        <v>130</v>
      </c>
      <c r="Q36">
        <v>5000</v>
      </c>
      <c r="R36">
        <v>265</v>
      </c>
      <c r="S36" t="str">
        <v>Niet beschikbaar</v>
      </c>
      <c r="T36">
        <v>5</v>
      </c>
      <c r="U36">
        <v>3</v>
      </c>
      <c r="V36" t="str">
        <v>Grondgebonden</v>
      </c>
      <c r="W36" t="str">
        <v>2-onder-1-kapwoning</v>
      </c>
      <c r="X36" t="str">
        <v>N.v.t.</v>
      </c>
      <c r="Y36" t="str">
        <v>Ja</v>
      </c>
      <c r="Z36" t="str">
        <v>eigen parkeerplaats</v>
      </c>
      <c r="AA36" t="str">
        <v>Na 2020</v>
      </c>
      <c r="AB36" t="str">
        <v>Nee</v>
      </c>
      <c r="AC36" t="str">
        <v>NEE</v>
      </c>
      <c r="AD36" t="str">
        <v>JA</v>
      </c>
    </row>
    <row r="37">
      <c r="A37" t="str">
        <v>44420085</v>
      </c>
      <c r="B37" t="str">
        <v>https://www.funda.nl/detail/koop/veenendaal/huis-brink-bouwnr-2/44420085/</v>
      </c>
      <c r="C37" t="str">
        <v>Linde</v>
      </c>
      <c r="D37" t="str">
        <v>Brink</v>
      </c>
      <c r="E37" t="str">
        <v>2</v>
      </c>
      <c r="F37" t="str">
        <v>3907</v>
      </c>
      <c r="G37" t="str">
        <v>Veenendaal</v>
      </c>
      <c r="H37" t="str">
        <v>Veenendaal</v>
      </c>
      <c r="I37" t="str">
        <v>Utrecht</v>
      </c>
      <c r="J37" t="str">
        <v>West-Nederland</v>
      </c>
      <c r="K37" t="str">
        <v>Te koop</v>
      </c>
      <c r="L37" t="str">
        <v>Onbekend</v>
      </c>
      <c r="M37" t="str">
        <v>Onbekend</v>
      </c>
      <c r="N37">
        <v>650000</v>
      </c>
      <c r="O37" t="str">
        <v>v.o.n.</v>
      </c>
      <c r="P37">
        <v>130</v>
      </c>
      <c r="Q37">
        <v>5000</v>
      </c>
      <c r="R37">
        <v>265</v>
      </c>
      <c r="S37" t="str">
        <v>Niet beschikbaar</v>
      </c>
      <c r="T37">
        <v>5</v>
      </c>
      <c r="U37">
        <v>3</v>
      </c>
      <c r="V37" t="str">
        <v>Grondgebonden</v>
      </c>
      <c r="W37" t="str">
        <v>2-onder-1-kapwoning</v>
      </c>
      <c r="X37" t="str">
        <v>N.v.t.</v>
      </c>
      <c r="Y37" t="str">
        <v>Ja</v>
      </c>
      <c r="Z37" t="str">
        <v>eigen parkeerplaats</v>
      </c>
      <c r="AA37" t="str">
        <v>Na 2020</v>
      </c>
      <c r="AB37" t="str">
        <v>Nee</v>
      </c>
      <c r="AC37" t="str">
        <v>NEE</v>
      </c>
      <c r="AD37" t="str">
        <v>JA</v>
      </c>
    </row>
    <row r="38">
      <c r="A38" t="str">
        <v>44420083</v>
      </c>
      <c r="B38" t="str">
        <v>https://www.funda.nl/detail/koop/veenendaal/huis-brink-bouwnr-5/44420083/</v>
      </c>
      <c r="C38" t="str">
        <v>Linde</v>
      </c>
      <c r="D38" t="str">
        <v>Brink</v>
      </c>
      <c r="E38" t="str">
        <v>5</v>
      </c>
      <c r="F38" t="str">
        <v>3907</v>
      </c>
      <c r="G38" t="str">
        <v>Veenendaal</v>
      </c>
      <c r="H38" t="str">
        <v>Veenendaal</v>
      </c>
      <c r="I38" t="str">
        <v>Utrecht</v>
      </c>
      <c r="J38" t="str">
        <v>West-Nederland</v>
      </c>
      <c r="K38" t="str">
        <v>Te koop</v>
      </c>
      <c r="L38" t="str">
        <v>Onbekend</v>
      </c>
      <c r="M38" t="str">
        <v>Onbekend</v>
      </c>
      <c r="N38">
        <v>650000</v>
      </c>
      <c r="O38" t="str">
        <v>v.o.n.</v>
      </c>
      <c r="P38">
        <v>130</v>
      </c>
      <c r="Q38">
        <v>5000</v>
      </c>
      <c r="R38">
        <v>265</v>
      </c>
      <c r="S38" t="str">
        <v>Niet beschikbaar</v>
      </c>
      <c r="T38">
        <v>5</v>
      </c>
      <c r="U38">
        <v>3</v>
      </c>
      <c r="V38" t="str">
        <v>Grondgebonden</v>
      </c>
      <c r="W38" t="str">
        <v>2-onder-1-kapwoning</v>
      </c>
      <c r="X38" t="str">
        <v>N.v.t.</v>
      </c>
      <c r="Y38" t="str">
        <v>Ja</v>
      </c>
      <c r="Z38" t="str">
        <v>eigen parkeerplaats</v>
      </c>
      <c r="AA38" t="str">
        <v>Na 2020</v>
      </c>
      <c r="AB38" t="str">
        <v>Nee</v>
      </c>
      <c r="AC38" t="str">
        <v>NEE</v>
      </c>
      <c r="AD38" t="str">
        <v>JA</v>
      </c>
    </row>
    <row r="39">
      <c r="A39" t="str">
        <v>44420072</v>
      </c>
      <c r="B39" t="str">
        <v>https://www.funda.nl/detail/koop/veenendaal/huis-brink-bouwnr-1/44420072/</v>
      </c>
      <c r="C39" t="str">
        <v>Linde</v>
      </c>
      <c r="D39" t="str">
        <v>Brink</v>
      </c>
      <c r="E39" t="str">
        <v>1</v>
      </c>
      <c r="F39" t="str">
        <v>3907</v>
      </c>
      <c r="G39" t="str">
        <v>Veenendaal</v>
      </c>
      <c r="H39" t="str">
        <v>Veenendaal</v>
      </c>
      <c r="I39" t="str">
        <v>Utrecht</v>
      </c>
      <c r="J39" t="str">
        <v>West-Nederland</v>
      </c>
      <c r="K39" t="str">
        <v>Te koop</v>
      </c>
      <c r="L39" t="str">
        <v>Onbekend</v>
      </c>
      <c r="M39" t="str">
        <v>Onbekend</v>
      </c>
      <c r="N39">
        <v>660000</v>
      </c>
      <c r="O39" t="str">
        <v>v.o.n.</v>
      </c>
      <c r="P39">
        <v>130</v>
      </c>
      <c r="Q39">
        <v>5077</v>
      </c>
      <c r="R39">
        <v>330</v>
      </c>
      <c r="S39" t="str">
        <v>Niet beschikbaar</v>
      </c>
      <c r="T39">
        <v>5</v>
      </c>
      <c r="U39">
        <v>3</v>
      </c>
      <c r="V39" t="str">
        <v>Grondgebonden</v>
      </c>
      <c r="W39" t="str">
        <v>2-onder-1-kapwoning</v>
      </c>
      <c r="X39" t="str">
        <v>N.v.t.</v>
      </c>
      <c r="Y39" t="str">
        <v>Ja</v>
      </c>
      <c r="Z39" t="str">
        <v>eigen parkeerplaats</v>
      </c>
      <c r="AA39" t="str">
        <v>Na 2020</v>
      </c>
      <c r="AB39" t="str">
        <v>Nee</v>
      </c>
      <c r="AC39" t="str">
        <v>NEE</v>
      </c>
      <c r="AD39" t="str">
        <v>JA</v>
      </c>
    </row>
    <row r="40">
      <c r="A40" t="str">
        <v>44420007</v>
      </c>
      <c r="B40" t="str">
        <v>https://www.funda.nl/detail/koop/veenendaal/huis-levensloopgeschikt-bouwnr-12/44420007/</v>
      </c>
      <c r="C40" t="str">
        <v>Linde</v>
      </c>
      <c r="D40" t="str">
        <v>Levensloopgeschikt</v>
      </c>
      <c r="E40" t="str">
        <v>12</v>
      </c>
      <c r="F40" t="str">
        <v>3907</v>
      </c>
      <c r="G40" t="str">
        <v>Veenendaal</v>
      </c>
      <c r="H40" t="str">
        <v>Veenendaal</v>
      </c>
      <c r="I40" t="str">
        <v>Utrecht</v>
      </c>
      <c r="J40" t="str">
        <v>West-Nederland</v>
      </c>
      <c r="K40" t="str">
        <v>Te koop</v>
      </c>
      <c r="L40" t="str">
        <v>Onbekend</v>
      </c>
      <c r="M40" t="str">
        <v>Onbekend</v>
      </c>
      <c r="N40">
        <v>669000</v>
      </c>
      <c r="O40" t="str">
        <v>v.o.n.</v>
      </c>
      <c r="P40">
        <v>123</v>
      </c>
      <c r="Q40">
        <v>5439</v>
      </c>
      <c r="R40">
        <v>366</v>
      </c>
      <c r="S40" t="str">
        <v>Niet beschikbaar</v>
      </c>
      <c r="T40">
        <v>2</v>
      </c>
      <c r="U40">
        <v>1</v>
      </c>
      <c r="V40" t="str">
        <v>Grondgebonden</v>
      </c>
      <c r="W40" t="str">
        <v>2-onder-1-kapwoning</v>
      </c>
      <c r="X40" t="str">
        <v>N.v.t.</v>
      </c>
      <c r="Y40" t="str">
        <v>Ja</v>
      </c>
      <c r="Z40" t="str">
        <v>eigen parkeerplaats</v>
      </c>
      <c r="AA40" t="str">
        <v>Na 2020</v>
      </c>
      <c r="AB40" t="str">
        <v>Nee</v>
      </c>
      <c r="AC40" t="str">
        <v>NEE</v>
      </c>
      <c r="AD40" t="str">
        <v>JA</v>
      </c>
    </row>
    <row r="41">
      <c r="A41" t="str">
        <v>44420006</v>
      </c>
      <c r="B41" t="str">
        <v>https://www.funda.nl/detail/koop/veenendaal/huis-horizon-bouwnr-18/44420006/</v>
      </c>
      <c r="C41" t="str">
        <v>Linde</v>
      </c>
      <c r="D41" t="str">
        <v>Horizon</v>
      </c>
      <c r="E41" t="str">
        <v>18</v>
      </c>
      <c r="F41" t="str">
        <v>3907</v>
      </c>
      <c r="G41" t="str">
        <v>Veenendaal</v>
      </c>
      <c r="H41" t="str">
        <v>Veenendaal</v>
      </c>
      <c r="I41" t="str">
        <v>Utrecht</v>
      </c>
      <c r="J41" t="str">
        <v>West-Nederland</v>
      </c>
      <c r="K41" t="str">
        <v>Te koop</v>
      </c>
      <c r="L41" t="str">
        <v>Onbekend</v>
      </c>
      <c r="M41" t="str">
        <v>Onbekend</v>
      </c>
      <c r="N41">
        <v>975000</v>
      </c>
      <c r="O41" t="str">
        <v>v.o.n.</v>
      </c>
      <c r="P41">
        <v>171</v>
      </c>
      <c r="Q41">
        <v>5702</v>
      </c>
      <c r="R41">
        <v>530</v>
      </c>
      <c r="S41" t="str">
        <v>Niet beschikbaar</v>
      </c>
      <c r="T41">
        <v>6</v>
      </c>
      <c r="U41">
        <v>4</v>
      </c>
      <c r="V41" t="str">
        <v>Grondgebonden</v>
      </c>
      <c r="W41" t="str">
        <v>Vrijstaande woning</v>
      </c>
      <c r="X41" t="str">
        <v>N.v.t.</v>
      </c>
      <c r="Y41" t="str">
        <v>Ja</v>
      </c>
      <c r="Z41" t="str">
        <v>eigen parkeerplaats</v>
      </c>
      <c r="AA41" t="str">
        <v>Na 2020</v>
      </c>
      <c r="AB41" t="str">
        <v>Nee</v>
      </c>
      <c r="AC41" t="str">
        <v>NEE</v>
      </c>
      <c r="AD41" t="str">
        <v>JA</v>
      </c>
    </row>
    <row r="42">
      <c r="A42" t="str">
        <v>44420004</v>
      </c>
      <c r="B42" t="str">
        <v>https://www.funda.nl/detail/koop/veenendaal/huis-louvre-bouwnr-22/44420004/</v>
      </c>
      <c r="C42" t="str">
        <v>Linde</v>
      </c>
      <c r="D42" t="str">
        <v>Louvre</v>
      </c>
      <c r="E42" t="str">
        <v>22</v>
      </c>
      <c r="F42" t="str">
        <v>3907</v>
      </c>
      <c r="G42" t="str">
        <v>Veenendaal</v>
      </c>
      <c r="H42" t="str">
        <v>Veenendaal</v>
      </c>
      <c r="I42" t="str">
        <v>Utrecht</v>
      </c>
      <c r="J42" t="str">
        <v>West-Nederland</v>
      </c>
      <c r="K42" t="str">
        <v>Te koop</v>
      </c>
      <c r="L42" t="str">
        <v>Onbekend</v>
      </c>
      <c r="M42" t="str">
        <v>Onbekend</v>
      </c>
      <c r="N42">
        <v>950000</v>
      </c>
      <c r="O42" t="str">
        <v>v.o.n.</v>
      </c>
      <c r="P42">
        <v>171</v>
      </c>
      <c r="Q42">
        <v>5556</v>
      </c>
      <c r="R42">
        <v>482</v>
      </c>
      <c r="S42" t="str">
        <v>Niet beschikbaar</v>
      </c>
      <c r="T42">
        <v>6</v>
      </c>
      <c r="U42">
        <v>4</v>
      </c>
      <c r="V42" t="str">
        <v>Grondgebonden</v>
      </c>
      <c r="W42" t="str">
        <v>Vrijstaande woning</v>
      </c>
      <c r="X42" t="str">
        <v>N.v.t.</v>
      </c>
      <c r="Y42" t="str">
        <v>Ja</v>
      </c>
      <c r="Z42" t="str">
        <v>eigen parkeerplaats</v>
      </c>
      <c r="AA42" t="str">
        <v>Na 2020</v>
      </c>
      <c r="AB42" t="str">
        <v>Nee</v>
      </c>
      <c r="AC42" t="str">
        <v>NEE</v>
      </c>
      <c r="AD42" t="str">
        <v>JA</v>
      </c>
    </row>
    <row r="43">
      <c r="A43" t="str">
        <v>44420003</v>
      </c>
      <c r="B43" t="str">
        <v>https://www.funda.nl/detail/koop/veenendaal/huis-horizon-bouwnr-21/44420003/</v>
      </c>
      <c r="C43" t="str">
        <v>Linde</v>
      </c>
      <c r="D43" t="str">
        <v>Horizon</v>
      </c>
      <c r="E43" t="str">
        <v>21</v>
      </c>
      <c r="F43" t="str">
        <v>3907</v>
      </c>
      <c r="G43" t="str">
        <v>Veenendaal</v>
      </c>
      <c r="H43" t="str">
        <v>Veenendaal</v>
      </c>
      <c r="I43" t="str">
        <v>Utrecht</v>
      </c>
      <c r="J43" t="str">
        <v>West-Nederland</v>
      </c>
      <c r="K43" t="str">
        <v>Te koop</v>
      </c>
      <c r="L43" t="str">
        <v>Onbekend</v>
      </c>
      <c r="M43" t="str">
        <v>Onbekend</v>
      </c>
      <c r="N43">
        <v>975000</v>
      </c>
      <c r="O43" t="str">
        <v>v.o.n.</v>
      </c>
      <c r="P43">
        <v>171</v>
      </c>
      <c r="Q43">
        <v>5702</v>
      </c>
      <c r="R43">
        <v>530</v>
      </c>
      <c r="S43" t="str">
        <v>Niet beschikbaar</v>
      </c>
      <c r="T43">
        <v>6</v>
      </c>
      <c r="U43">
        <v>4</v>
      </c>
      <c r="V43" t="str">
        <v>Grondgebonden</v>
      </c>
      <c r="W43" t="str">
        <v>Vrijstaande woning</v>
      </c>
      <c r="X43" t="str">
        <v>N.v.t.</v>
      </c>
      <c r="Y43" t="str">
        <v>Ja</v>
      </c>
      <c r="Z43" t="str">
        <v>eigen parkeerplaats</v>
      </c>
      <c r="AA43" t="str">
        <v>Na 2020</v>
      </c>
      <c r="AB43" t="str">
        <v>Nee</v>
      </c>
      <c r="AC43" t="str">
        <v>NEE</v>
      </c>
      <c r="AD43" t="str">
        <v>JA</v>
      </c>
    </row>
    <row r="44">
      <c r="A44" t="str">
        <v>44420092</v>
      </c>
      <c r="B44" t="str">
        <v>https://www.funda.nl/detail/koop/veenendaal/huis-veranda-bouwnr-17/44420092/</v>
      </c>
      <c r="C44" t="str">
        <v>Linde</v>
      </c>
      <c r="D44" t="str">
        <v>Veranda</v>
      </c>
      <c r="E44" t="str">
        <v>17</v>
      </c>
      <c r="F44" t="str">
        <v>3907</v>
      </c>
      <c r="G44" t="str">
        <v>Veenendaal</v>
      </c>
      <c r="H44" t="str">
        <v>Veenendaal</v>
      </c>
      <c r="I44" t="str">
        <v>Utrecht</v>
      </c>
      <c r="J44" t="str">
        <v>West-Nederland</v>
      </c>
      <c r="K44" t="str">
        <v>Te koop</v>
      </c>
      <c r="L44" t="str">
        <v>Onbekend</v>
      </c>
      <c r="M44" t="str">
        <v>Onbekend</v>
      </c>
      <c r="N44">
        <v>950000</v>
      </c>
      <c r="O44" t="str">
        <v>v.o.n.</v>
      </c>
      <c r="P44">
        <v>171</v>
      </c>
      <c r="Q44">
        <v>5556</v>
      </c>
      <c r="R44">
        <v>480</v>
      </c>
      <c r="S44" t="str">
        <v>Niet beschikbaar</v>
      </c>
      <c r="T44">
        <v>5</v>
      </c>
      <c r="U44">
        <v>3</v>
      </c>
      <c r="V44" t="str">
        <v>Grondgebonden</v>
      </c>
      <c r="W44" t="str">
        <v>Vrijstaande woning</v>
      </c>
      <c r="X44" t="str">
        <v>N.v.t.</v>
      </c>
      <c r="Y44" t="str">
        <v>Ja</v>
      </c>
      <c r="Z44" t="str">
        <v>eigen parkeerplaats</v>
      </c>
      <c r="AA44" t="str">
        <v>Na 2020</v>
      </c>
      <c r="AB44" t="str">
        <v>Nee</v>
      </c>
      <c r="AC44" t="str">
        <v>NEE</v>
      </c>
      <c r="AD44" t="str">
        <v>JA</v>
      </c>
    </row>
    <row r="45">
      <c r="A45" t="str">
        <v>44420091</v>
      </c>
      <c r="B45" t="str">
        <v>https://www.funda.nl/detail/koop/veenendaal/huis-horizon-bouwnr-23/44420091/</v>
      </c>
      <c r="C45" t="str">
        <v>Linde</v>
      </c>
      <c r="D45" t="str">
        <v>Horizon</v>
      </c>
      <c r="E45" t="str">
        <v>23</v>
      </c>
      <c r="F45" t="str">
        <v>3907</v>
      </c>
      <c r="G45" t="str">
        <v>Veenendaal</v>
      </c>
      <c r="H45" t="str">
        <v>Veenendaal</v>
      </c>
      <c r="I45" t="str">
        <v>Utrecht</v>
      </c>
      <c r="J45" t="str">
        <v>West-Nederland</v>
      </c>
      <c r="K45" t="str">
        <v>Te koop</v>
      </c>
      <c r="L45" t="str">
        <v>Onbekend</v>
      </c>
      <c r="M45" t="str">
        <v>Onbekend</v>
      </c>
      <c r="N45">
        <v>975000</v>
      </c>
      <c r="O45" t="str">
        <v>v.o.n.</v>
      </c>
      <c r="P45">
        <v>171</v>
      </c>
      <c r="Q45">
        <v>5702</v>
      </c>
      <c r="R45">
        <v>528</v>
      </c>
      <c r="S45" t="str">
        <v>Niet beschikbaar</v>
      </c>
      <c r="T45">
        <v>6</v>
      </c>
      <c r="U45">
        <v>4</v>
      </c>
      <c r="V45" t="str">
        <v>Grondgebonden</v>
      </c>
      <c r="W45" t="str">
        <v>Vrijstaande woning</v>
      </c>
      <c r="X45" t="str">
        <v>N.v.t.</v>
      </c>
      <c r="Y45" t="str">
        <v>Ja</v>
      </c>
      <c r="Z45" t="str">
        <v>eigen parkeerplaats</v>
      </c>
      <c r="AA45" t="str">
        <v>Na 2020</v>
      </c>
      <c r="AB45" t="str">
        <v>Nee</v>
      </c>
      <c r="AC45" t="str">
        <v>NEE</v>
      </c>
      <c r="AD45" t="str">
        <v>JA</v>
      </c>
    </row>
    <row r="46">
      <c r="A46" t="str">
        <v>44420099</v>
      </c>
      <c r="B46" t="str">
        <v>https://www.funda.nl/detail/koop/veenendaal/huis-louvre-bouwnr-19/44420099/</v>
      </c>
      <c r="C46" t="str">
        <v>Linde</v>
      </c>
      <c r="D46" t="str">
        <v>Louvre</v>
      </c>
      <c r="E46" t="str">
        <v>19</v>
      </c>
      <c r="F46" t="str">
        <v>3907</v>
      </c>
      <c r="G46" t="str">
        <v>Veenendaal</v>
      </c>
      <c r="H46" t="str">
        <v>Veenendaal</v>
      </c>
      <c r="I46" t="str">
        <v>Utrecht</v>
      </c>
      <c r="J46" t="str">
        <v>West-Nederland</v>
      </c>
      <c r="K46" t="str">
        <v>Te koop</v>
      </c>
      <c r="L46" t="str">
        <v>2026-07-07</v>
      </c>
      <c r="M46">
        <v>6</v>
      </c>
      <c r="N46">
        <v>950000</v>
      </c>
      <c r="O46" t="str">
        <v>v.o.n.</v>
      </c>
      <c r="P46">
        <v>171</v>
      </c>
      <c r="Q46">
        <v>5556</v>
      </c>
      <c r="R46">
        <v>482</v>
      </c>
      <c r="S46" t="str">
        <v>Niet beschikbaar</v>
      </c>
      <c r="T46">
        <v>6</v>
      </c>
      <c r="U46">
        <v>4</v>
      </c>
      <c r="V46" t="str">
        <v>Grondgebonden</v>
      </c>
      <c r="W46" t="str">
        <v>Vrijstaande woning</v>
      </c>
      <c r="X46" t="str">
        <v>N.v.t.</v>
      </c>
      <c r="Y46" t="str">
        <v>Ja</v>
      </c>
      <c r="Z46" t="str">
        <v>eigen parkeerplaats</v>
      </c>
      <c r="AA46" t="str">
        <v>Na 2020</v>
      </c>
      <c r="AB46" t="str">
        <v>Nee</v>
      </c>
      <c r="AC46" t="str">
        <v>NEE</v>
      </c>
      <c r="AD46" t="str">
        <v>JA</v>
      </c>
    </row>
    <row r="47">
      <c r="A47" t="str">
        <v>44420097</v>
      </c>
      <c r="B47" t="str">
        <v>https://www.funda.nl/detail/koop/veenendaal/huis-levensloopgeschikt-bouwnr-9/44420097/</v>
      </c>
      <c r="C47" t="str">
        <v>Linde</v>
      </c>
      <c r="D47" t="str">
        <v>Levensloopgeschikt</v>
      </c>
      <c r="E47" t="str">
        <v>9</v>
      </c>
      <c r="F47" t="str">
        <v>3907</v>
      </c>
      <c r="G47" t="str">
        <v>Veenendaal</v>
      </c>
      <c r="H47" t="str">
        <v>Veenendaal</v>
      </c>
      <c r="I47" t="str">
        <v>Utrecht</v>
      </c>
      <c r="J47" t="str">
        <v>West-Nederland</v>
      </c>
      <c r="K47" t="str">
        <v>Te koop</v>
      </c>
      <c r="L47" t="str">
        <v>Onbekend</v>
      </c>
      <c r="M47" t="str">
        <v>Onbekend</v>
      </c>
      <c r="N47">
        <v>669000</v>
      </c>
      <c r="O47" t="str">
        <v>v.o.n.</v>
      </c>
      <c r="P47">
        <v>123</v>
      </c>
      <c r="Q47">
        <v>5439</v>
      </c>
      <c r="R47">
        <v>365</v>
      </c>
      <c r="S47" t="str">
        <v>Niet beschikbaar</v>
      </c>
      <c r="T47">
        <v>2</v>
      </c>
      <c r="U47">
        <v>1</v>
      </c>
      <c r="V47" t="str">
        <v>Grondgebonden</v>
      </c>
      <c r="W47" t="str">
        <v>2-onder-1-kapwoning</v>
      </c>
      <c r="X47" t="str">
        <v>N.v.t.</v>
      </c>
      <c r="Y47" t="str">
        <v>Ja</v>
      </c>
      <c r="Z47" t="str">
        <v>eigen parkeerplaats</v>
      </c>
      <c r="AA47" t="str">
        <v>Na 2020</v>
      </c>
      <c r="AB47" t="str">
        <v>Nee</v>
      </c>
      <c r="AC47" t="str">
        <v>NEE</v>
      </c>
      <c r="AD47" t="str">
        <v>JA</v>
      </c>
    </row>
    <row r="48">
      <c r="A48" t="str">
        <v>44420096</v>
      </c>
      <c r="B48" t="str">
        <v>https://www.funda.nl/detail/koop/veenendaal/huis-levensloopgeschikt-bouwnr-10/44420096/</v>
      </c>
      <c r="C48" t="str">
        <v>Linde</v>
      </c>
      <c r="D48" t="str">
        <v>Levensloopgeschikt</v>
      </c>
      <c r="E48" t="str">
        <v>10</v>
      </c>
      <c r="F48" t="str">
        <v>3907</v>
      </c>
      <c r="G48" t="str">
        <v>Veenendaal</v>
      </c>
      <c r="H48" t="str">
        <v>Veenendaal</v>
      </c>
      <c r="I48" t="str">
        <v>Utrecht</v>
      </c>
      <c r="J48" t="str">
        <v>West-Nederland</v>
      </c>
      <c r="K48" t="str">
        <v>Te koop</v>
      </c>
      <c r="L48" t="str">
        <v>Onbekend</v>
      </c>
      <c r="M48" t="str">
        <v>Onbekend</v>
      </c>
      <c r="N48">
        <v>669000</v>
      </c>
      <c r="O48" t="str">
        <v>v.o.n.</v>
      </c>
      <c r="P48">
        <v>123</v>
      </c>
      <c r="Q48">
        <v>5439</v>
      </c>
      <c r="R48">
        <v>365</v>
      </c>
      <c r="S48" t="str">
        <v>Niet beschikbaar</v>
      </c>
      <c r="T48">
        <v>2</v>
      </c>
      <c r="U48">
        <v>1</v>
      </c>
      <c r="V48" t="str">
        <v>Grondgebonden</v>
      </c>
      <c r="W48" t="str">
        <v>2-onder-1-kapwoning</v>
      </c>
      <c r="X48" t="str">
        <v>N.v.t.</v>
      </c>
      <c r="Y48" t="str">
        <v>Ja</v>
      </c>
      <c r="Z48" t="str">
        <v>eigen parkeerplaats</v>
      </c>
      <c r="AA48" t="str">
        <v>Na 2020</v>
      </c>
      <c r="AB48" t="str">
        <v>Nee</v>
      </c>
      <c r="AC48" t="str">
        <v>NEE</v>
      </c>
      <c r="AD48" t="str">
        <v>JA</v>
      </c>
    </row>
    <row r="49">
      <c r="A49" t="str">
        <v>44420095</v>
      </c>
      <c r="B49" t="str">
        <v>https://www.funda.nl/detail/koop/veenendaal/huis-levensloopgeschikt-bouwnr-11/44420095/</v>
      </c>
      <c r="C49" t="str">
        <v>Linde</v>
      </c>
      <c r="D49" t="str">
        <v>Levensloopgeschikt</v>
      </c>
      <c r="E49" t="str">
        <v>11</v>
      </c>
      <c r="F49" t="str">
        <v>3907</v>
      </c>
      <c r="G49" t="str">
        <v>Veenendaal</v>
      </c>
      <c r="H49" t="str">
        <v>Veenendaal</v>
      </c>
      <c r="I49" t="str">
        <v>Utrecht</v>
      </c>
      <c r="J49" t="str">
        <v>West-Nederland</v>
      </c>
      <c r="K49" t="str">
        <v>Te koop</v>
      </c>
      <c r="L49" t="str">
        <v>Onbekend</v>
      </c>
      <c r="M49" t="str">
        <v>Onbekend</v>
      </c>
      <c r="N49">
        <v>669000</v>
      </c>
      <c r="O49" t="str">
        <v>v.o.n.</v>
      </c>
      <c r="P49">
        <v>123</v>
      </c>
      <c r="Q49">
        <v>5439</v>
      </c>
      <c r="R49">
        <v>365</v>
      </c>
      <c r="S49" t="str">
        <v>Niet beschikbaar</v>
      </c>
      <c r="T49">
        <v>2</v>
      </c>
      <c r="U49">
        <v>1</v>
      </c>
      <c r="V49" t="str">
        <v>Grondgebonden</v>
      </c>
      <c r="W49" t="str">
        <v>2-onder-1-kapwoning</v>
      </c>
      <c r="X49" t="str">
        <v>N.v.t.</v>
      </c>
      <c r="Y49" t="str">
        <v>Ja</v>
      </c>
      <c r="Z49" t="str">
        <v>eigen parkeerplaats</v>
      </c>
      <c r="AA49" t="str">
        <v>Na 2020</v>
      </c>
      <c r="AB49" t="str">
        <v>Nee</v>
      </c>
      <c r="AC49" t="str">
        <v>NEE</v>
      </c>
      <c r="AD49" t="str">
        <v>JA</v>
      </c>
    </row>
    <row r="50">
      <c r="A50" t="str">
        <v>44420122</v>
      </c>
      <c r="B50" t="str">
        <v>https://www.funda.nl/detail/koop/veenendaal/appartement-frans-halslaan-13-09/44420122/</v>
      </c>
      <c r="C50" t="str">
        <v>Onbekend</v>
      </c>
      <c r="D50" t="str">
        <v>Frans Halslaan 13-09</v>
      </c>
      <c r="E50" t="str">
        <v>Onbekend</v>
      </c>
      <c r="F50" t="str">
        <v>3904 XH</v>
      </c>
      <c r="G50" t="str">
        <v>Veenendaal</v>
      </c>
      <c r="H50" t="str">
        <v>Veenendaal</v>
      </c>
      <c r="I50" t="str">
        <v>Utrecht</v>
      </c>
      <c r="J50" t="str">
        <v>West-Nederland</v>
      </c>
      <c r="K50" t="str">
        <v>Te koop</v>
      </c>
      <c r="L50" t="str">
        <v>Onbekend</v>
      </c>
      <c r="M50" t="str">
        <v>Onbekend</v>
      </c>
      <c r="N50">
        <v>414500</v>
      </c>
      <c r="O50" t="str">
        <v>v.o.n.</v>
      </c>
      <c r="P50">
        <v>70</v>
      </c>
      <c r="Q50">
        <v>5921</v>
      </c>
      <c r="R50" t="str">
        <v>Onbekend</v>
      </c>
      <c r="S50" t="str">
        <v>A+++</v>
      </c>
      <c r="T50">
        <v>3</v>
      </c>
      <c r="U50">
        <v>2</v>
      </c>
      <c r="V50" t="str">
        <v>Appartement</v>
      </c>
      <c r="W50" t="str">
        <v>Appartement</v>
      </c>
      <c r="X50" t="str">
        <v>Appartement 50-75 m²</v>
      </c>
      <c r="Y50" t="str">
        <v>Ja</v>
      </c>
      <c r="Z50" t="str">
        <v>openbare parkeerplaats</v>
      </c>
      <c r="AA50" t="str">
        <v>Na 2020</v>
      </c>
      <c r="AB50" t="str">
        <v>Nee</v>
      </c>
      <c r="AC50" t="str">
        <v>NEE</v>
      </c>
      <c r="AD50" t="str">
        <v>JA</v>
      </c>
    </row>
    <row r="51">
      <c r="A51" t="str">
        <v>44420176</v>
      </c>
      <c r="B51" t="str">
        <v>https://www.funda.nl/detail/koop/veenendaal/appartement-frans-halslaan-13-03/44420176/</v>
      </c>
      <c r="C51" t="str">
        <v>Onbekend</v>
      </c>
      <c r="D51" t="str">
        <v>Frans Halslaan 13-03</v>
      </c>
      <c r="E51" t="str">
        <v>Onbekend</v>
      </c>
      <c r="F51" t="str">
        <v>3904 XH</v>
      </c>
      <c r="G51" t="str">
        <v>Veenendaal</v>
      </c>
      <c r="H51" t="str">
        <v>Veenendaal</v>
      </c>
      <c r="I51" t="str">
        <v>Utrecht</v>
      </c>
      <c r="J51" t="str">
        <v>West-Nederland</v>
      </c>
      <c r="K51" t="str">
        <v>Te koop</v>
      </c>
      <c r="L51" t="str">
        <v>2026-07-07</v>
      </c>
      <c r="M51">
        <v>6</v>
      </c>
      <c r="N51">
        <v>414500</v>
      </c>
      <c r="O51" t="str">
        <v>v.o.n.</v>
      </c>
      <c r="P51">
        <v>70</v>
      </c>
      <c r="Q51">
        <v>5921</v>
      </c>
      <c r="R51" t="str">
        <v>Onbekend</v>
      </c>
      <c r="S51" t="str">
        <v>A+++</v>
      </c>
      <c r="T51">
        <v>3</v>
      </c>
      <c r="U51">
        <v>2</v>
      </c>
      <c r="V51" t="str">
        <v>Appartement</v>
      </c>
      <c r="W51" t="str">
        <v>Appartement</v>
      </c>
      <c r="X51" t="str">
        <v>Appartement 50-75 m²</v>
      </c>
      <c r="Y51" t="str">
        <v>Ja</v>
      </c>
      <c r="Z51" t="str">
        <v>openbare parkeerplaats</v>
      </c>
      <c r="AA51" t="str">
        <v>Na 2020</v>
      </c>
      <c r="AB51" t="str">
        <v>Nee</v>
      </c>
      <c r="AC51" t="str">
        <v>NEE</v>
      </c>
      <c r="AD51" t="str">
        <v>JA</v>
      </c>
    </row>
    <row r="52">
      <c r="A52" t="str">
        <v>44427943</v>
      </c>
      <c r="B52" t="str">
        <v>https://www.funda.nl/detail/koop/veenendaal/appartement-driekamerappartementen-bouwnr-162/44427943/</v>
      </c>
      <c r="C52" t="str">
        <v>De Nijverheid - Sentido</v>
      </c>
      <c r="D52" t="str">
        <v>Driekamerappartementen</v>
      </c>
      <c r="E52" t="str">
        <v>162</v>
      </c>
      <c r="F52" t="str">
        <v>3903 BK</v>
      </c>
      <c r="G52" t="str">
        <v>Veenendaal</v>
      </c>
      <c r="H52" t="str">
        <v>Veenendaal</v>
      </c>
      <c r="I52" t="str">
        <v>Utrecht</v>
      </c>
      <c r="J52" t="str">
        <v>West-Nederland</v>
      </c>
      <c r="K52" t="str">
        <v>Te koop</v>
      </c>
      <c r="L52" t="str">
        <v>Onbekend</v>
      </c>
      <c r="M52" t="str">
        <v>Onbekend</v>
      </c>
      <c r="N52">
        <v>537500</v>
      </c>
      <c r="O52" t="str">
        <v>v.o.n.</v>
      </c>
      <c r="P52">
        <v>93</v>
      </c>
      <c r="Q52">
        <v>5780</v>
      </c>
      <c r="R52" t="str">
        <v>Onbekend</v>
      </c>
      <c r="S52" t="str">
        <v>A+</v>
      </c>
      <c r="T52">
        <v>3</v>
      </c>
      <c r="U52">
        <v>2</v>
      </c>
      <c r="V52" t="str">
        <v>Appartement</v>
      </c>
      <c r="W52" t="str">
        <v>Appartement</v>
      </c>
      <c r="X52" t="str">
        <v>Appartement 75-100 m²</v>
      </c>
      <c r="Y52" t="str">
        <v>Onbekend</v>
      </c>
      <c r="Z52" t="str">
        <v>onbekend</v>
      </c>
      <c r="AA52" t="str">
        <v>2027</v>
      </c>
      <c r="AB52" t="str">
        <v>Nee</v>
      </c>
      <c r="AC52" t="str">
        <v>NEE</v>
      </c>
      <c r="AD52" t="str">
        <v>JA</v>
      </c>
    </row>
    <row r="53">
      <c r="A53" t="str">
        <v>44427947</v>
      </c>
      <c r="B53" t="str">
        <v>https://www.funda.nl/detail/koop/veenendaal/appartement-driekamerappartementen-bouwnr-125/44427947/</v>
      </c>
      <c r="C53" t="str">
        <v>De Nijverheid - Sentido</v>
      </c>
      <c r="D53" t="str">
        <v>Driekamerappartementen</v>
      </c>
      <c r="E53" t="str">
        <v>125</v>
      </c>
      <c r="F53" t="str">
        <v>3903 BK</v>
      </c>
      <c r="G53" t="str">
        <v>Veenendaal</v>
      </c>
      <c r="H53" t="str">
        <v>Veenendaal</v>
      </c>
      <c r="I53" t="str">
        <v>Utrecht</v>
      </c>
      <c r="J53" t="str">
        <v>West-Nederland</v>
      </c>
      <c r="K53" t="str">
        <v>Te koop</v>
      </c>
      <c r="L53" t="str">
        <v>Onbekend</v>
      </c>
      <c r="M53" t="str">
        <v>Onbekend</v>
      </c>
      <c r="N53">
        <v>499500</v>
      </c>
      <c r="O53" t="str">
        <v>v.o.n.</v>
      </c>
      <c r="P53">
        <v>93</v>
      </c>
      <c r="Q53">
        <v>5371</v>
      </c>
      <c r="R53" t="str">
        <v>Onbekend</v>
      </c>
      <c r="S53" t="str">
        <v>A++</v>
      </c>
      <c r="T53">
        <v>3</v>
      </c>
      <c r="U53">
        <v>2</v>
      </c>
      <c r="V53" t="str">
        <v>Appartement</v>
      </c>
      <c r="W53" t="str">
        <v>Appartement</v>
      </c>
      <c r="X53" t="str">
        <v>Appartement 75-100 m²</v>
      </c>
      <c r="Y53" t="str">
        <v>Onbekend</v>
      </c>
      <c r="Z53" t="str">
        <v>onbekend</v>
      </c>
      <c r="AA53" t="str">
        <v>2027</v>
      </c>
      <c r="AB53" t="str">
        <v>Nee</v>
      </c>
      <c r="AC53" t="str">
        <v>NEE</v>
      </c>
      <c r="AD53" t="str">
        <v>JA</v>
      </c>
    </row>
    <row r="54">
      <c r="A54" t="str">
        <v>44427945</v>
      </c>
      <c r="B54" t="str">
        <v>https://www.funda.nl/detail/koop/veenendaal/appartement-driekamerappartementen-bouwnr-96/44427945/</v>
      </c>
      <c r="C54" t="str">
        <v>De Nijverheid - Sentido</v>
      </c>
      <c r="D54" t="str">
        <v>Driekamerappartementen</v>
      </c>
      <c r="E54" t="str">
        <v>96</v>
      </c>
      <c r="F54" t="str">
        <v>3903 BK</v>
      </c>
      <c r="G54" t="str">
        <v>Veenendaal</v>
      </c>
      <c r="H54" t="str">
        <v>Veenendaal</v>
      </c>
      <c r="I54" t="str">
        <v>Utrecht</v>
      </c>
      <c r="J54" t="str">
        <v>West-Nederland</v>
      </c>
      <c r="K54" t="str">
        <v>Te koop</v>
      </c>
      <c r="L54" t="str">
        <v>2026-07-05</v>
      </c>
      <c r="M54">
        <v>8</v>
      </c>
      <c r="N54">
        <v>497500</v>
      </c>
      <c r="O54" t="str">
        <v>v.o.n.</v>
      </c>
      <c r="P54">
        <v>93</v>
      </c>
      <c r="Q54">
        <v>5349</v>
      </c>
      <c r="R54" t="str">
        <v>Onbekend</v>
      </c>
      <c r="S54" t="str">
        <v>A+++</v>
      </c>
      <c r="T54">
        <v>3</v>
      </c>
      <c r="U54">
        <v>2</v>
      </c>
      <c r="V54" t="str">
        <v>Appartement</v>
      </c>
      <c r="W54" t="str">
        <v>Appartement</v>
      </c>
      <c r="X54" t="str">
        <v>Appartement 75-100 m²</v>
      </c>
      <c r="Y54" t="str">
        <v>Onbekend</v>
      </c>
      <c r="Z54" t="str">
        <v>onbekend</v>
      </c>
      <c r="AA54" t="str">
        <v>2027</v>
      </c>
      <c r="AB54" t="str">
        <v>Nee</v>
      </c>
      <c r="AC54" t="str">
        <v>NEE</v>
      </c>
      <c r="AD54" t="str">
        <v>JA</v>
      </c>
    </row>
    <row r="55">
      <c r="A55" t="str">
        <v>44427910</v>
      </c>
      <c r="B55" t="str">
        <v>https://www.funda.nl/detail/koop/veenendaal/appartement-driekamerappartementen-bouwnr-146/44427910/</v>
      </c>
      <c r="C55" t="str">
        <v>De Nijverheid - Sentido</v>
      </c>
      <c r="D55" t="str">
        <v>Driekamerappartementen</v>
      </c>
      <c r="E55" t="str">
        <v>146</v>
      </c>
      <c r="F55" t="str">
        <v>3903 BK</v>
      </c>
      <c r="G55" t="str">
        <v>Veenendaal</v>
      </c>
      <c r="H55" t="str">
        <v>Veenendaal</v>
      </c>
      <c r="I55" t="str">
        <v>Utrecht</v>
      </c>
      <c r="J55" t="str">
        <v>West-Nederland</v>
      </c>
      <c r="K55" t="str">
        <v>Te koop</v>
      </c>
      <c r="L55" t="str">
        <v>Onbekend</v>
      </c>
      <c r="M55" t="str">
        <v>Onbekend</v>
      </c>
      <c r="N55">
        <v>505000</v>
      </c>
      <c r="O55" t="str">
        <v>v.o.n.</v>
      </c>
      <c r="P55">
        <v>93</v>
      </c>
      <c r="Q55">
        <v>5430</v>
      </c>
      <c r="R55" t="str">
        <v>Onbekend</v>
      </c>
      <c r="S55" t="str">
        <v>A++</v>
      </c>
      <c r="T55">
        <v>3</v>
      </c>
      <c r="U55">
        <v>2</v>
      </c>
      <c r="V55" t="str">
        <v>Appartement</v>
      </c>
      <c r="W55" t="str">
        <v>Appartement</v>
      </c>
      <c r="X55" t="str">
        <v>Appartement 75-100 m²</v>
      </c>
      <c r="Y55" t="str">
        <v>Onbekend</v>
      </c>
      <c r="Z55" t="str">
        <v>onbekend</v>
      </c>
      <c r="AA55" t="str">
        <v>2027</v>
      </c>
      <c r="AB55" t="str">
        <v>Nee</v>
      </c>
      <c r="AC55" t="str">
        <v>NEE</v>
      </c>
      <c r="AD55" t="str">
        <v>JA</v>
      </c>
    </row>
    <row r="56">
      <c r="A56" t="str">
        <v>44427941</v>
      </c>
      <c r="B56" t="str">
        <v>https://www.funda.nl/detail/koop/veenendaal/appartement-dekwoningen-bouwnr-119/44427941/</v>
      </c>
      <c r="C56" t="str">
        <v>De Nijverheid - Sentido</v>
      </c>
      <c r="D56" t="str">
        <v>Dekwoningen</v>
      </c>
      <c r="E56" t="str">
        <v>119</v>
      </c>
      <c r="F56" t="str">
        <v>3903 BK</v>
      </c>
      <c r="G56" t="str">
        <v>Veenendaal</v>
      </c>
      <c r="H56" t="str">
        <v>Veenendaal</v>
      </c>
      <c r="I56" t="str">
        <v>Utrecht</v>
      </c>
      <c r="J56" t="str">
        <v>West-Nederland</v>
      </c>
      <c r="K56" t="str">
        <v>Te koop</v>
      </c>
      <c r="L56" t="str">
        <v>Onbekend</v>
      </c>
      <c r="M56" t="str">
        <v>Onbekend</v>
      </c>
      <c r="N56">
        <v>449500</v>
      </c>
      <c r="O56" t="str">
        <v>v.o.n.</v>
      </c>
      <c r="P56">
        <v>109</v>
      </c>
      <c r="Q56">
        <v>4124</v>
      </c>
      <c r="R56" t="str">
        <v>Onbekend</v>
      </c>
      <c r="S56" t="str">
        <v>A++</v>
      </c>
      <c r="T56">
        <v>4</v>
      </c>
      <c r="U56">
        <v>3</v>
      </c>
      <c r="V56" t="str">
        <v>Appartement</v>
      </c>
      <c r="W56" t="str">
        <v>Appartement</v>
      </c>
      <c r="X56" t="str">
        <v>Appartement &gt;100 m²</v>
      </c>
      <c r="Y56" t="str">
        <v>Onbekend</v>
      </c>
      <c r="Z56" t="str">
        <v>onbekend</v>
      </c>
      <c r="AA56" t="str">
        <v>2027</v>
      </c>
      <c r="AB56" t="str">
        <v>Nee</v>
      </c>
      <c r="AC56" t="str">
        <v>NEE</v>
      </c>
      <c r="AD56" t="str">
        <v>JA</v>
      </c>
    </row>
    <row r="57">
      <c r="A57" t="str">
        <v>44427946</v>
      </c>
      <c r="B57" t="str">
        <v>https://www.funda.nl/detail/koop/veenendaal/appartement-driekamerappartementen-bouwnr-111/44427946/</v>
      </c>
      <c r="C57" t="str">
        <v>De Nijverheid - Sentido</v>
      </c>
      <c r="D57" t="str">
        <v>Driekamerappartementen</v>
      </c>
      <c r="E57" t="str">
        <v>111</v>
      </c>
      <c r="F57" t="str">
        <v>3903 BK</v>
      </c>
      <c r="G57" t="str">
        <v>Veenendaal</v>
      </c>
      <c r="H57" t="str">
        <v>Veenendaal</v>
      </c>
      <c r="I57" t="str">
        <v>Utrecht</v>
      </c>
      <c r="J57" t="str">
        <v>West-Nederland</v>
      </c>
      <c r="K57" t="str">
        <v>Te koop</v>
      </c>
      <c r="L57" t="str">
        <v>Onbekend</v>
      </c>
      <c r="M57" t="str">
        <v>Onbekend</v>
      </c>
      <c r="N57">
        <v>515000</v>
      </c>
      <c r="O57" t="str">
        <v>v.o.n.</v>
      </c>
      <c r="P57">
        <v>97</v>
      </c>
      <c r="Q57">
        <v>5309</v>
      </c>
      <c r="R57" t="str">
        <v>Onbekend</v>
      </c>
      <c r="S57" t="str">
        <v>A++</v>
      </c>
      <c r="T57">
        <v>3</v>
      </c>
      <c r="U57">
        <v>2</v>
      </c>
      <c r="V57" t="str">
        <v>Appartement</v>
      </c>
      <c r="W57" t="str">
        <v>Appartement</v>
      </c>
      <c r="X57" t="str">
        <v>Appartement 75-100 m²</v>
      </c>
      <c r="Y57" t="str">
        <v>Onbekend</v>
      </c>
      <c r="Z57" t="str">
        <v>onbekend</v>
      </c>
      <c r="AA57" t="str">
        <v>2027</v>
      </c>
      <c r="AB57" t="str">
        <v>Nee</v>
      </c>
      <c r="AC57" t="str">
        <v>NEE</v>
      </c>
      <c r="AD57" t="str">
        <v>JA</v>
      </c>
    </row>
    <row r="58">
      <c r="A58" t="str">
        <v>44427931</v>
      </c>
      <c r="B58" t="str">
        <v>https://www.funda.nl/detail/koop/veenendaal/appartement-dekwoningen-bouwnr-118/44427931/</v>
      </c>
      <c r="C58" t="str">
        <v>De Nijverheid - Sentido</v>
      </c>
      <c r="D58" t="str">
        <v>Dekwoningen</v>
      </c>
      <c r="E58" t="str">
        <v>118</v>
      </c>
      <c r="F58" t="str">
        <v>3903 BK</v>
      </c>
      <c r="G58" t="str">
        <v>Veenendaal</v>
      </c>
      <c r="H58" t="str">
        <v>Veenendaal</v>
      </c>
      <c r="I58" t="str">
        <v>Utrecht</v>
      </c>
      <c r="J58" t="str">
        <v>West-Nederland</v>
      </c>
      <c r="K58" t="str">
        <v>Te koop</v>
      </c>
      <c r="L58" t="str">
        <v>Onbekend</v>
      </c>
      <c r="M58" t="str">
        <v>Onbekend</v>
      </c>
      <c r="N58">
        <v>449500</v>
      </c>
      <c r="O58" t="str">
        <v>v.o.n.</v>
      </c>
      <c r="P58">
        <v>109</v>
      </c>
      <c r="Q58">
        <v>4124</v>
      </c>
      <c r="R58" t="str">
        <v>Onbekend</v>
      </c>
      <c r="S58" t="str">
        <v>A++</v>
      </c>
      <c r="T58">
        <v>4</v>
      </c>
      <c r="U58">
        <v>3</v>
      </c>
      <c r="V58" t="str">
        <v>Appartement</v>
      </c>
      <c r="W58" t="str">
        <v>Appartement</v>
      </c>
      <c r="X58" t="str">
        <v>Appartement &gt;100 m²</v>
      </c>
      <c r="Y58" t="str">
        <v>Onbekend</v>
      </c>
      <c r="Z58" t="str">
        <v>onbekend</v>
      </c>
      <c r="AA58" t="str">
        <v>2027</v>
      </c>
      <c r="AB58" t="str">
        <v>Nee</v>
      </c>
      <c r="AC58" t="str">
        <v>NEE</v>
      </c>
      <c r="AD58" t="str">
        <v>JA</v>
      </c>
    </row>
    <row r="59">
      <c r="A59" t="str">
        <v>44427939</v>
      </c>
      <c r="B59" t="str">
        <v>https://www.funda.nl/detail/koop/veenendaal/appartement-dekwoningen-bouwnr-120/44427939/</v>
      </c>
      <c r="C59" t="str">
        <v>De Nijverheid - Sentido</v>
      </c>
      <c r="D59" t="str">
        <v>Dekwoningen</v>
      </c>
      <c r="E59" t="str">
        <v>120</v>
      </c>
      <c r="F59" t="str">
        <v>3903 BK</v>
      </c>
      <c r="G59" t="str">
        <v>Veenendaal</v>
      </c>
      <c r="H59" t="str">
        <v>Veenendaal</v>
      </c>
      <c r="I59" t="str">
        <v>Utrecht</v>
      </c>
      <c r="J59" t="str">
        <v>West-Nederland</v>
      </c>
      <c r="K59" t="str">
        <v>Te koop</v>
      </c>
      <c r="L59" t="str">
        <v>Onbekend</v>
      </c>
      <c r="M59" t="str">
        <v>Onbekend</v>
      </c>
      <c r="N59">
        <v>449500</v>
      </c>
      <c r="O59" t="str">
        <v>v.o.n.</v>
      </c>
      <c r="P59">
        <v>109</v>
      </c>
      <c r="Q59">
        <v>4124</v>
      </c>
      <c r="R59" t="str">
        <v>Onbekend</v>
      </c>
      <c r="S59" t="str">
        <v>A++</v>
      </c>
      <c r="T59">
        <v>4</v>
      </c>
      <c r="U59">
        <v>3</v>
      </c>
      <c r="V59" t="str">
        <v>Appartement</v>
      </c>
      <c r="W59" t="str">
        <v>Appartement</v>
      </c>
      <c r="X59" t="str">
        <v>Appartement &gt;100 m²</v>
      </c>
      <c r="Y59" t="str">
        <v>Onbekend</v>
      </c>
      <c r="Z59" t="str">
        <v>onbekend</v>
      </c>
      <c r="AA59" t="str">
        <v>2027</v>
      </c>
      <c r="AB59" t="str">
        <v>Nee</v>
      </c>
      <c r="AC59" t="str">
        <v>NEE</v>
      </c>
      <c r="AD59" t="str">
        <v>JA</v>
      </c>
    </row>
    <row r="60">
      <c r="A60" t="str">
        <v>44427934</v>
      </c>
      <c r="B60" t="str">
        <v>https://www.funda.nl/detail/koop/veenendaal/appartement-driekamerappartementen-bouwnr-161/44427934/</v>
      </c>
      <c r="C60" t="str">
        <v>De Nijverheid - Sentido</v>
      </c>
      <c r="D60" t="str">
        <v>Driekamerappartementen</v>
      </c>
      <c r="E60" t="str">
        <v>161</v>
      </c>
      <c r="F60" t="str">
        <v>3903 BK</v>
      </c>
      <c r="G60" t="str">
        <v>Veenendaal</v>
      </c>
      <c r="H60" t="str">
        <v>Veenendaal</v>
      </c>
      <c r="I60" t="str">
        <v>Utrecht</v>
      </c>
      <c r="J60" t="str">
        <v>West-Nederland</v>
      </c>
      <c r="K60" t="str">
        <v>Te koop</v>
      </c>
      <c r="L60" t="str">
        <v>Onbekend</v>
      </c>
      <c r="M60" t="str">
        <v>Onbekend</v>
      </c>
      <c r="N60">
        <v>525000</v>
      </c>
      <c r="O60" t="str">
        <v>v.o.n.</v>
      </c>
      <c r="P60">
        <v>97</v>
      </c>
      <c r="Q60">
        <v>5412</v>
      </c>
      <c r="R60" t="str">
        <v>Onbekend</v>
      </c>
      <c r="S60" t="str">
        <v>A++</v>
      </c>
      <c r="T60">
        <v>3</v>
      </c>
      <c r="U60">
        <v>2</v>
      </c>
      <c r="V60" t="str">
        <v>Appartement</v>
      </c>
      <c r="W60" t="str">
        <v>Appartement</v>
      </c>
      <c r="X60" t="str">
        <v>Appartement 75-100 m²</v>
      </c>
      <c r="Y60" t="str">
        <v>Onbekend</v>
      </c>
      <c r="Z60" t="str">
        <v>onbekend</v>
      </c>
      <c r="AA60" t="str">
        <v>2027</v>
      </c>
      <c r="AB60" t="str">
        <v>Nee</v>
      </c>
      <c r="AC60" t="str">
        <v>NEE</v>
      </c>
      <c r="AD60" t="str">
        <v>JA</v>
      </c>
    </row>
    <row r="61">
      <c r="A61" t="str">
        <v>44427933</v>
      </c>
      <c r="B61" t="str">
        <v>https://www.funda.nl/detail/koop/veenendaal/appartement-driekamerappartementen-bouwnr-176/44427933/</v>
      </c>
      <c r="C61" t="str">
        <v>De Nijverheid - Sentido</v>
      </c>
      <c r="D61" t="str">
        <v>Driekamerappartementen</v>
      </c>
      <c r="E61" t="str">
        <v>176</v>
      </c>
      <c r="F61" t="str">
        <v>3903 BK</v>
      </c>
      <c r="G61" t="str">
        <v>Veenendaal</v>
      </c>
      <c r="H61" t="str">
        <v>Veenendaal</v>
      </c>
      <c r="I61" t="str">
        <v>Utrecht</v>
      </c>
      <c r="J61" t="str">
        <v>West-Nederland</v>
      </c>
      <c r="K61" t="str">
        <v>Te koop</v>
      </c>
      <c r="L61" t="str">
        <v>Onbekend</v>
      </c>
      <c r="M61" t="str">
        <v>Onbekend</v>
      </c>
      <c r="N61">
        <v>530000</v>
      </c>
      <c r="O61" t="str">
        <v>v.o.n.</v>
      </c>
      <c r="P61">
        <v>97</v>
      </c>
      <c r="Q61">
        <v>5464</v>
      </c>
      <c r="R61" t="str">
        <v>Onbekend</v>
      </c>
      <c r="S61" t="str">
        <v>A++</v>
      </c>
      <c r="T61">
        <v>3</v>
      </c>
      <c r="U61">
        <v>2</v>
      </c>
      <c r="V61" t="str">
        <v>Appartement</v>
      </c>
      <c r="W61" t="str">
        <v>Appartement</v>
      </c>
      <c r="X61" t="str">
        <v>Appartement 75-100 m²</v>
      </c>
      <c r="Y61" t="str">
        <v>Onbekend</v>
      </c>
      <c r="Z61" t="str">
        <v>onbekend</v>
      </c>
      <c r="AA61" t="str">
        <v>2027</v>
      </c>
      <c r="AB61" t="str">
        <v>Nee</v>
      </c>
      <c r="AC61" t="str">
        <v>NEE</v>
      </c>
      <c r="AD61" t="str">
        <v>JA</v>
      </c>
    </row>
    <row r="62">
      <c r="A62" t="str">
        <v>44427920</v>
      </c>
      <c r="B62" t="str">
        <v>https://www.funda.nl/detail/koop/veenendaal/appartement-dekwoningen-bouwnr-116/44427920/</v>
      </c>
      <c r="C62" t="str">
        <v>De Nijverheid - Sentido</v>
      </c>
      <c r="D62" t="str">
        <v>Dekwoningen</v>
      </c>
      <c r="E62" t="str">
        <v>116</v>
      </c>
      <c r="F62" t="str">
        <v>3903 BK</v>
      </c>
      <c r="G62" t="str">
        <v>Veenendaal</v>
      </c>
      <c r="H62" t="str">
        <v>Veenendaal</v>
      </c>
      <c r="I62" t="str">
        <v>Utrecht</v>
      </c>
      <c r="J62" t="str">
        <v>West-Nederland</v>
      </c>
      <c r="K62" t="str">
        <v>Te koop</v>
      </c>
      <c r="L62" t="str">
        <v>Onbekend</v>
      </c>
      <c r="M62" t="str">
        <v>Onbekend</v>
      </c>
      <c r="N62">
        <v>449500</v>
      </c>
      <c r="O62" t="str">
        <v>v.o.n.</v>
      </c>
      <c r="P62">
        <v>109</v>
      </c>
      <c r="Q62">
        <v>4124</v>
      </c>
      <c r="R62" t="str">
        <v>Onbekend</v>
      </c>
      <c r="S62" t="str">
        <v>A++</v>
      </c>
      <c r="T62">
        <v>4</v>
      </c>
      <c r="U62">
        <v>3</v>
      </c>
      <c r="V62" t="str">
        <v>Appartement</v>
      </c>
      <c r="W62" t="str">
        <v>Appartement</v>
      </c>
      <c r="X62" t="str">
        <v>Appartement &gt;100 m²</v>
      </c>
      <c r="Y62" t="str">
        <v>Onbekend</v>
      </c>
      <c r="Z62" t="str">
        <v>onbekend</v>
      </c>
      <c r="AA62" t="str">
        <v>2027</v>
      </c>
      <c r="AB62" t="str">
        <v>Nee</v>
      </c>
      <c r="AC62" t="str">
        <v>NEE</v>
      </c>
      <c r="AD62" t="str">
        <v>JA</v>
      </c>
    </row>
    <row r="63">
      <c r="A63" t="str">
        <v>44427929</v>
      </c>
      <c r="B63" t="str">
        <v>https://www.funda.nl/detail/koop/veenendaal/appartement-dekwoningen-bouwnr-117/44427929/</v>
      </c>
      <c r="C63" t="str">
        <v>De Nijverheid - Sentido</v>
      </c>
      <c r="D63" t="str">
        <v>Dekwoningen</v>
      </c>
      <c r="E63" t="str">
        <v>117</v>
      </c>
      <c r="F63" t="str">
        <v>3903 BK</v>
      </c>
      <c r="G63" t="str">
        <v>Veenendaal</v>
      </c>
      <c r="H63" t="str">
        <v>Veenendaal</v>
      </c>
      <c r="I63" t="str">
        <v>Utrecht</v>
      </c>
      <c r="J63" t="str">
        <v>West-Nederland</v>
      </c>
      <c r="K63" t="str">
        <v>Te koop</v>
      </c>
      <c r="L63" t="str">
        <v>Onbekend</v>
      </c>
      <c r="M63" t="str">
        <v>Onbekend</v>
      </c>
      <c r="N63">
        <v>449500</v>
      </c>
      <c r="O63" t="str">
        <v>v.o.n.</v>
      </c>
      <c r="P63">
        <v>109</v>
      </c>
      <c r="Q63">
        <v>4124</v>
      </c>
      <c r="R63" t="str">
        <v>Onbekend</v>
      </c>
      <c r="S63" t="str">
        <v>A++</v>
      </c>
      <c r="T63">
        <v>4</v>
      </c>
      <c r="U63">
        <v>3</v>
      </c>
      <c r="V63" t="str">
        <v>Appartement</v>
      </c>
      <c r="W63" t="str">
        <v>Appartement</v>
      </c>
      <c r="X63" t="str">
        <v>Appartement &gt;100 m²</v>
      </c>
      <c r="Y63" t="str">
        <v>Onbekend</v>
      </c>
      <c r="Z63" t="str">
        <v>onbekend</v>
      </c>
      <c r="AA63" t="str">
        <v>2027</v>
      </c>
      <c r="AB63" t="str">
        <v>Nee</v>
      </c>
      <c r="AC63" t="str">
        <v>NEE</v>
      </c>
      <c r="AD63" t="str">
        <v>JA</v>
      </c>
    </row>
    <row r="64">
      <c r="A64" t="str">
        <v>44427927</v>
      </c>
      <c r="B64" t="str">
        <v>https://www.funda.nl/detail/koop/veenendaal/appartement-dekwoningen-bouwnr-121/44427927/</v>
      </c>
      <c r="C64" t="str">
        <v>De Nijverheid - Sentido</v>
      </c>
      <c r="D64" t="str">
        <v>Dekwoningen</v>
      </c>
      <c r="E64" t="str">
        <v>121</v>
      </c>
      <c r="F64" t="str">
        <v>3903 BK</v>
      </c>
      <c r="G64" t="str">
        <v>Veenendaal</v>
      </c>
      <c r="H64" t="str">
        <v>Veenendaal</v>
      </c>
      <c r="I64" t="str">
        <v>Utrecht</v>
      </c>
      <c r="J64" t="str">
        <v>West-Nederland</v>
      </c>
      <c r="K64" t="str">
        <v>Te koop</v>
      </c>
      <c r="L64" t="str">
        <v>Onbekend</v>
      </c>
      <c r="M64" t="str">
        <v>Onbekend</v>
      </c>
      <c r="N64">
        <v>449500</v>
      </c>
      <c r="O64" t="str">
        <v>v.o.n.</v>
      </c>
      <c r="P64">
        <v>109</v>
      </c>
      <c r="Q64">
        <v>4124</v>
      </c>
      <c r="R64" t="str">
        <v>Onbekend</v>
      </c>
      <c r="S64" t="str">
        <v>A++</v>
      </c>
      <c r="T64">
        <v>4</v>
      </c>
      <c r="U64">
        <v>3</v>
      </c>
      <c r="V64" t="str">
        <v>Appartement</v>
      </c>
      <c r="W64" t="str">
        <v>Appartement</v>
      </c>
      <c r="X64" t="str">
        <v>Appartement &gt;100 m²</v>
      </c>
      <c r="Y64" t="str">
        <v>Onbekend</v>
      </c>
      <c r="Z64" t="str">
        <v>onbekend</v>
      </c>
      <c r="AA64" t="str">
        <v>2027</v>
      </c>
      <c r="AB64" t="str">
        <v>Nee</v>
      </c>
      <c r="AC64" t="str">
        <v>NEE</v>
      </c>
      <c r="AD64" t="str">
        <v>JA</v>
      </c>
    </row>
    <row r="65">
      <c r="A65" t="str">
        <v>44427924</v>
      </c>
      <c r="B65" t="str">
        <v>https://www.funda.nl/detail/koop/veenendaal/appartement-driekamerappartementen-bouwnr-140/44427924/</v>
      </c>
      <c r="C65" t="str">
        <v>De Nijverheid - Sentido</v>
      </c>
      <c r="D65" t="str">
        <v>Driekamerappartementen</v>
      </c>
      <c r="E65" t="str">
        <v>140</v>
      </c>
      <c r="F65" t="str">
        <v>3903 BK</v>
      </c>
      <c r="G65" t="str">
        <v>Veenendaal</v>
      </c>
      <c r="H65" t="str">
        <v>Veenendaal</v>
      </c>
      <c r="I65" t="str">
        <v>Utrecht</v>
      </c>
      <c r="J65" t="str">
        <v>West-Nederland</v>
      </c>
      <c r="K65" t="str">
        <v>Te koop</v>
      </c>
      <c r="L65" t="str">
        <v>Onbekend</v>
      </c>
      <c r="M65" t="str">
        <v>Onbekend</v>
      </c>
      <c r="N65">
        <v>520000</v>
      </c>
      <c r="O65" t="str">
        <v>v.o.n.</v>
      </c>
      <c r="P65">
        <v>97</v>
      </c>
      <c r="Q65">
        <v>5361</v>
      </c>
      <c r="R65" t="str">
        <v>Onbekend</v>
      </c>
      <c r="S65" t="str">
        <v>A+</v>
      </c>
      <c r="T65">
        <v>3</v>
      </c>
      <c r="U65">
        <v>2</v>
      </c>
      <c r="V65" t="str">
        <v>Appartement</v>
      </c>
      <c r="W65" t="str">
        <v>Appartement</v>
      </c>
      <c r="X65" t="str">
        <v>Appartement 75-100 m²</v>
      </c>
      <c r="Y65" t="str">
        <v>Onbekend</v>
      </c>
      <c r="Z65" t="str">
        <v>onbekend</v>
      </c>
      <c r="AA65" t="str">
        <v>2027</v>
      </c>
      <c r="AB65" t="str">
        <v>Nee</v>
      </c>
      <c r="AC65" t="str">
        <v>NEE</v>
      </c>
      <c r="AD65" t="str">
        <v>JA</v>
      </c>
    </row>
    <row r="66">
      <c r="A66" t="str">
        <v>44427919</v>
      </c>
      <c r="B66" t="str">
        <v>https://www.funda.nl/detail/koop/veenendaal/appartement-dekwoningen-bouwnr-123/44427919/</v>
      </c>
      <c r="C66" t="str">
        <v>De Nijverheid - Sentido</v>
      </c>
      <c r="D66" t="str">
        <v>Dekwoningen</v>
      </c>
      <c r="E66" t="str">
        <v>123</v>
      </c>
      <c r="F66" t="str">
        <v>3903 BK</v>
      </c>
      <c r="G66" t="str">
        <v>Veenendaal</v>
      </c>
      <c r="H66" t="str">
        <v>Veenendaal</v>
      </c>
      <c r="I66" t="str">
        <v>Utrecht</v>
      </c>
      <c r="J66" t="str">
        <v>West-Nederland</v>
      </c>
      <c r="K66" t="str">
        <v>Te koop</v>
      </c>
      <c r="L66" t="str">
        <v>Onbekend</v>
      </c>
      <c r="M66" t="str">
        <v>Onbekend</v>
      </c>
      <c r="N66">
        <v>449500</v>
      </c>
      <c r="O66" t="str">
        <v>v.o.n.</v>
      </c>
      <c r="P66">
        <v>109</v>
      </c>
      <c r="Q66">
        <v>4124</v>
      </c>
      <c r="R66" t="str">
        <v>Onbekend</v>
      </c>
      <c r="S66" t="str">
        <v>A++</v>
      </c>
      <c r="T66">
        <v>4</v>
      </c>
      <c r="U66">
        <v>3</v>
      </c>
      <c r="V66" t="str">
        <v>Appartement</v>
      </c>
      <c r="W66" t="str">
        <v>Appartement</v>
      </c>
      <c r="X66" t="str">
        <v>Appartement &gt;100 m²</v>
      </c>
      <c r="Y66" t="str">
        <v>Onbekend</v>
      </c>
      <c r="Z66" t="str">
        <v>onbekend</v>
      </c>
      <c r="AA66" t="str">
        <v>2027</v>
      </c>
      <c r="AB66" t="str">
        <v>Nee</v>
      </c>
      <c r="AC66" t="str">
        <v>NEE</v>
      </c>
      <c r="AD66" t="str">
        <v>JA</v>
      </c>
    </row>
    <row r="67">
      <c r="A67" t="str">
        <v>44427916</v>
      </c>
      <c r="B67" t="str">
        <v>https://www.funda.nl/detail/koop/veenendaal/appartement-dekwoningen-bouwnr-122/44427916/</v>
      </c>
      <c r="C67" t="str">
        <v>De Nijverheid - Sentido</v>
      </c>
      <c r="D67" t="str">
        <v>Dekwoningen</v>
      </c>
      <c r="E67" t="str">
        <v>122</v>
      </c>
      <c r="F67" t="str">
        <v>3903 BK</v>
      </c>
      <c r="G67" t="str">
        <v>Veenendaal</v>
      </c>
      <c r="H67" t="str">
        <v>Veenendaal</v>
      </c>
      <c r="I67" t="str">
        <v>Utrecht</v>
      </c>
      <c r="J67" t="str">
        <v>West-Nederland</v>
      </c>
      <c r="K67" t="str">
        <v>Te koop</v>
      </c>
      <c r="L67" t="str">
        <v>Onbekend</v>
      </c>
      <c r="M67" t="str">
        <v>Onbekend</v>
      </c>
      <c r="N67">
        <v>449500</v>
      </c>
      <c r="O67" t="str">
        <v>v.o.n.</v>
      </c>
      <c r="P67">
        <v>109</v>
      </c>
      <c r="Q67">
        <v>4124</v>
      </c>
      <c r="R67" t="str">
        <v>Onbekend</v>
      </c>
      <c r="S67" t="str">
        <v>A++</v>
      </c>
      <c r="T67">
        <v>4</v>
      </c>
      <c r="U67">
        <v>3</v>
      </c>
      <c r="V67" t="str">
        <v>Appartement</v>
      </c>
      <c r="W67" t="str">
        <v>Appartement</v>
      </c>
      <c r="X67" t="str">
        <v>Appartement &gt;100 m²</v>
      </c>
      <c r="Y67" t="str">
        <v>Onbekend</v>
      </c>
      <c r="Z67" t="str">
        <v>onbekend</v>
      </c>
      <c r="AA67" t="str">
        <v>2027</v>
      </c>
      <c r="AB67" t="str">
        <v>Nee</v>
      </c>
      <c r="AC67" t="str">
        <v>NEE</v>
      </c>
      <c r="AD67" t="str">
        <v>JA</v>
      </c>
    </row>
    <row r="68">
      <c r="A68" t="str">
        <v>44427907</v>
      </c>
      <c r="B68" t="str">
        <v>https://www.funda.nl/detail/koop/veenendaal/appartement-tweekamerappartementen-bouwnr-145/44427907/</v>
      </c>
      <c r="C68" t="str">
        <v>De Nijverheid - Sentido</v>
      </c>
      <c r="D68" t="str">
        <v>Tweekamerappartementen</v>
      </c>
      <c r="E68" t="str">
        <v>145</v>
      </c>
      <c r="F68" t="str">
        <v>3903 BK</v>
      </c>
      <c r="G68" t="str">
        <v>Veenendaal</v>
      </c>
      <c r="H68" t="str">
        <v>Veenendaal</v>
      </c>
      <c r="I68" t="str">
        <v>Utrecht</v>
      </c>
      <c r="J68" t="str">
        <v>West-Nederland</v>
      </c>
      <c r="K68" t="str">
        <v>Te koop</v>
      </c>
      <c r="L68" t="str">
        <v>Onbekend</v>
      </c>
      <c r="M68" t="str">
        <v>Onbekend</v>
      </c>
      <c r="N68">
        <v>299500</v>
      </c>
      <c r="O68" t="str">
        <v>v.o.n.</v>
      </c>
      <c r="P68">
        <v>46</v>
      </c>
      <c r="Q68">
        <v>6511</v>
      </c>
      <c r="R68" t="str">
        <v>Onbekend</v>
      </c>
      <c r="S68" t="str">
        <v>A++</v>
      </c>
      <c r="T68">
        <v>2</v>
      </c>
      <c r="U68">
        <v>1</v>
      </c>
      <c r="V68" t="str">
        <v>Appartement</v>
      </c>
      <c r="W68" t="str">
        <v>Appartement</v>
      </c>
      <c r="X68" t="str">
        <v>Appartement &lt;50 m²</v>
      </c>
      <c r="Y68" t="str">
        <v>Onbekend</v>
      </c>
      <c r="Z68" t="str">
        <v>onbekend</v>
      </c>
      <c r="AA68" t="str">
        <v>2027</v>
      </c>
      <c r="AB68" t="str">
        <v>Nee</v>
      </c>
      <c r="AC68" t="str">
        <v>NEE</v>
      </c>
      <c r="AD68" t="str">
        <v>JA</v>
      </c>
    </row>
    <row r="69">
      <c r="A69" t="str">
        <v>44427949</v>
      </c>
      <c r="B69" t="str">
        <v>https://www.funda.nl/detail/koop/veenendaal/appartement-tweekamerappartementen-bouwnr-168/44427949/</v>
      </c>
      <c r="C69" t="str">
        <v>De Nijverheid - Sentido</v>
      </c>
      <c r="D69" t="str">
        <v>Tweekamerappartementen</v>
      </c>
      <c r="E69" t="str">
        <v>168</v>
      </c>
      <c r="F69" t="str">
        <v>3903 BK</v>
      </c>
      <c r="G69" t="str">
        <v>Veenendaal</v>
      </c>
      <c r="H69" t="str">
        <v>Veenendaal</v>
      </c>
      <c r="I69" t="str">
        <v>Utrecht</v>
      </c>
      <c r="J69" t="str">
        <v>West-Nederland</v>
      </c>
      <c r="K69" t="str">
        <v>Te koop</v>
      </c>
      <c r="L69" t="str">
        <v>2026-07-05</v>
      </c>
      <c r="M69">
        <v>8</v>
      </c>
      <c r="N69">
        <v>297500</v>
      </c>
      <c r="O69" t="str">
        <v>v.o.n.</v>
      </c>
      <c r="P69">
        <v>46</v>
      </c>
      <c r="Q69">
        <v>6467</v>
      </c>
      <c r="R69" t="str">
        <v>Onbekend</v>
      </c>
      <c r="S69" t="str">
        <v>A++</v>
      </c>
      <c r="T69">
        <v>2</v>
      </c>
      <c r="U69">
        <v>1</v>
      </c>
      <c r="V69" t="str">
        <v>Appartement</v>
      </c>
      <c r="W69" t="str">
        <v>Appartement</v>
      </c>
      <c r="X69" t="str">
        <v>Appartement &lt;50 m²</v>
      </c>
      <c r="Y69" t="str">
        <v>Onbekend</v>
      </c>
      <c r="Z69" t="str">
        <v>onbekend</v>
      </c>
      <c r="AA69" t="str">
        <v>2027</v>
      </c>
      <c r="AB69" t="str">
        <v>Nee</v>
      </c>
      <c r="AC69" t="str">
        <v>NEE</v>
      </c>
      <c r="AD69" t="str">
        <v>JA</v>
      </c>
    </row>
    <row r="70">
      <c r="A70" t="str">
        <v>44427948</v>
      </c>
      <c r="B70" t="str">
        <v>https://www.funda.nl/detail/koop/veenendaal/appartement-tweekamerappartementen-bouwnr-174/44427948/</v>
      </c>
      <c r="C70" t="str">
        <v>De Nijverheid - Sentido</v>
      </c>
      <c r="D70" t="str">
        <v>Tweekamerappartementen</v>
      </c>
      <c r="E70" t="str">
        <v>174</v>
      </c>
      <c r="F70" t="str">
        <v>3903 BK</v>
      </c>
      <c r="G70" t="str">
        <v>Veenendaal</v>
      </c>
      <c r="H70" t="str">
        <v>Veenendaal</v>
      </c>
      <c r="I70" t="str">
        <v>Utrecht</v>
      </c>
      <c r="J70" t="str">
        <v>West-Nederland</v>
      </c>
      <c r="K70" t="str">
        <v>Te koop</v>
      </c>
      <c r="L70" t="str">
        <v>Onbekend</v>
      </c>
      <c r="M70" t="str">
        <v>Onbekend</v>
      </c>
      <c r="N70">
        <v>297500</v>
      </c>
      <c r="O70" t="str">
        <v>v.o.n.</v>
      </c>
      <c r="P70">
        <v>46</v>
      </c>
      <c r="Q70">
        <v>6467</v>
      </c>
      <c r="R70" t="str">
        <v>Onbekend</v>
      </c>
      <c r="S70" t="str">
        <v>A++</v>
      </c>
      <c r="T70">
        <v>2</v>
      </c>
      <c r="U70">
        <v>1</v>
      </c>
      <c r="V70" t="str">
        <v>Appartement</v>
      </c>
      <c r="W70" t="str">
        <v>Appartement</v>
      </c>
      <c r="X70" t="str">
        <v>Appartement &lt;50 m²</v>
      </c>
      <c r="Y70" t="str">
        <v>Onbekend</v>
      </c>
      <c r="Z70" t="str">
        <v>onbekend</v>
      </c>
      <c r="AA70" t="str">
        <v>2027</v>
      </c>
      <c r="AB70" t="str">
        <v>Nee</v>
      </c>
      <c r="AC70" t="str">
        <v>NEE</v>
      </c>
      <c r="AD70" t="str">
        <v>JA</v>
      </c>
    </row>
    <row r="71">
      <c r="A71" t="str">
        <v>44427936</v>
      </c>
      <c r="B71" t="str">
        <v>https://www.funda.nl/detail/koop/veenendaal/appartement-tweekamerappartementen-bouwnr-170/44427936/</v>
      </c>
      <c r="C71" t="str">
        <v>De Nijverheid - Sentido</v>
      </c>
      <c r="D71" t="str">
        <v>Tweekamerappartementen</v>
      </c>
      <c r="E71" t="str">
        <v>170</v>
      </c>
      <c r="F71" t="str">
        <v>3903 BK</v>
      </c>
      <c r="G71" t="str">
        <v>Veenendaal</v>
      </c>
      <c r="H71" t="str">
        <v>Veenendaal</v>
      </c>
      <c r="I71" t="str">
        <v>Utrecht</v>
      </c>
      <c r="J71" t="str">
        <v>West-Nederland</v>
      </c>
      <c r="K71" t="str">
        <v>Te koop</v>
      </c>
      <c r="L71" t="str">
        <v>Onbekend</v>
      </c>
      <c r="M71" t="str">
        <v>Onbekend</v>
      </c>
      <c r="N71">
        <v>297500</v>
      </c>
      <c r="O71" t="str">
        <v>v.o.n.</v>
      </c>
      <c r="P71">
        <v>46</v>
      </c>
      <c r="Q71">
        <v>6467</v>
      </c>
      <c r="R71" t="str">
        <v>Onbekend</v>
      </c>
      <c r="S71" t="str">
        <v>A++</v>
      </c>
      <c r="T71">
        <v>2</v>
      </c>
      <c r="U71">
        <v>1</v>
      </c>
      <c r="V71" t="str">
        <v>Appartement</v>
      </c>
      <c r="W71" t="str">
        <v>Appartement</v>
      </c>
      <c r="X71" t="str">
        <v>Appartement &lt;50 m²</v>
      </c>
      <c r="Y71" t="str">
        <v>Onbekend</v>
      </c>
      <c r="Z71" t="str">
        <v>onbekend</v>
      </c>
      <c r="AA71" t="str">
        <v>2027</v>
      </c>
      <c r="AB71" t="str">
        <v>Nee</v>
      </c>
      <c r="AC71" t="str">
        <v>NEE</v>
      </c>
      <c r="AD71" t="str">
        <v>JA</v>
      </c>
    </row>
    <row r="72">
      <c r="A72" t="str">
        <v>44427935</v>
      </c>
      <c r="B72" t="str">
        <v>https://www.funda.nl/detail/koop/veenendaal/appartement-tweekamerappartementen-bouwnr-163/44427935/</v>
      </c>
      <c r="C72" t="str">
        <v>De Nijverheid - Sentido</v>
      </c>
      <c r="D72" t="str">
        <v>Tweekamerappartementen</v>
      </c>
      <c r="E72" t="str">
        <v>163</v>
      </c>
      <c r="F72" t="str">
        <v>3903 BK</v>
      </c>
      <c r="G72" t="str">
        <v>Veenendaal</v>
      </c>
      <c r="H72" t="str">
        <v>Veenendaal</v>
      </c>
      <c r="I72" t="str">
        <v>Utrecht</v>
      </c>
      <c r="J72" t="str">
        <v>West-Nederland</v>
      </c>
      <c r="K72" t="str">
        <v>Te koop</v>
      </c>
      <c r="L72" t="str">
        <v>Onbekend</v>
      </c>
      <c r="M72" t="str">
        <v>Onbekend</v>
      </c>
      <c r="N72">
        <v>309500</v>
      </c>
      <c r="O72" t="str">
        <v>v.o.n.</v>
      </c>
      <c r="P72">
        <v>46</v>
      </c>
      <c r="Q72">
        <v>6728</v>
      </c>
      <c r="R72" t="str">
        <v>Onbekend</v>
      </c>
      <c r="S72" t="str">
        <v>A+</v>
      </c>
      <c r="T72">
        <v>2</v>
      </c>
      <c r="U72">
        <v>1</v>
      </c>
      <c r="V72" t="str">
        <v>Appartement</v>
      </c>
      <c r="W72" t="str">
        <v>Appartement</v>
      </c>
      <c r="X72" t="str">
        <v>Appartement &lt;50 m²</v>
      </c>
      <c r="Y72" t="str">
        <v>Onbekend</v>
      </c>
      <c r="Z72" t="str">
        <v>onbekend</v>
      </c>
      <c r="AA72" t="str">
        <v>2027</v>
      </c>
      <c r="AB72" t="str">
        <v>Nee</v>
      </c>
      <c r="AC72" t="str">
        <v>NEE</v>
      </c>
      <c r="AD72" t="str">
        <v>JA</v>
      </c>
    </row>
    <row r="73">
      <c r="A73" t="str">
        <v>44427928</v>
      </c>
      <c r="B73" t="str">
        <v>https://www.funda.nl/detail/koop/veenendaal/appartement-tweekamerappartementen-bouwnr-166/44427928/</v>
      </c>
      <c r="C73" t="str">
        <v>De Nijverheid - Sentido</v>
      </c>
      <c r="D73" t="str">
        <v>Tweekamerappartementen</v>
      </c>
      <c r="E73" t="str">
        <v>166</v>
      </c>
      <c r="F73" t="str">
        <v>3903 BK</v>
      </c>
      <c r="G73" t="str">
        <v>Veenendaal</v>
      </c>
      <c r="H73" t="str">
        <v>Veenendaal</v>
      </c>
      <c r="I73" t="str">
        <v>Utrecht</v>
      </c>
      <c r="J73" t="str">
        <v>West-Nederland</v>
      </c>
      <c r="K73" t="str">
        <v>Te koop</v>
      </c>
      <c r="L73" t="str">
        <v>Onbekend</v>
      </c>
      <c r="M73" t="str">
        <v>Onbekend</v>
      </c>
      <c r="N73">
        <v>297500</v>
      </c>
      <c r="O73" t="str">
        <v>v.o.n.</v>
      </c>
      <c r="P73">
        <v>46</v>
      </c>
      <c r="Q73">
        <v>6467</v>
      </c>
      <c r="R73" t="str">
        <v>Onbekend</v>
      </c>
      <c r="S73" t="str">
        <v>A++</v>
      </c>
      <c r="T73">
        <v>2</v>
      </c>
      <c r="U73">
        <v>1</v>
      </c>
      <c r="V73" t="str">
        <v>Appartement</v>
      </c>
      <c r="W73" t="str">
        <v>Appartement</v>
      </c>
      <c r="X73" t="str">
        <v>Appartement &lt;50 m²</v>
      </c>
      <c r="Y73" t="str">
        <v>Onbekend</v>
      </c>
      <c r="Z73" t="str">
        <v>onbekend</v>
      </c>
      <c r="AA73" t="str">
        <v>2027</v>
      </c>
      <c r="AB73" t="str">
        <v>Nee</v>
      </c>
      <c r="AC73" t="str">
        <v>NEE</v>
      </c>
      <c r="AD73" t="str">
        <v>JA</v>
      </c>
    </row>
    <row r="74">
      <c r="A74" t="str">
        <v>44427926</v>
      </c>
      <c r="B74" t="str">
        <v>https://www.funda.nl/detail/koop/veenendaal/appartement-tweekamerappartementen-bouwnr-172/44427926/</v>
      </c>
      <c r="C74" t="str">
        <v>De Nijverheid - Sentido</v>
      </c>
      <c r="D74" t="str">
        <v>Tweekamerappartementen</v>
      </c>
      <c r="E74" t="str">
        <v>172</v>
      </c>
      <c r="F74" t="str">
        <v>3903 BK</v>
      </c>
      <c r="G74" t="str">
        <v>Veenendaal</v>
      </c>
      <c r="H74" t="str">
        <v>Veenendaal</v>
      </c>
      <c r="I74" t="str">
        <v>Utrecht</v>
      </c>
      <c r="J74" t="str">
        <v>West-Nederland</v>
      </c>
      <c r="K74" t="str">
        <v>Te koop</v>
      </c>
      <c r="L74" t="str">
        <v>Onbekend</v>
      </c>
      <c r="M74" t="str">
        <v>Onbekend</v>
      </c>
      <c r="N74">
        <v>297500</v>
      </c>
      <c r="O74" t="str">
        <v>v.o.n.</v>
      </c>
      <c r="P74">
        <v>46</v>
      </c>
      <c r="Q74">
        <v>6467</v>
      </c>
      <c r="R74" t="str">
        <v>Onbekend</v>
      </c>
      <c r="S74" t="str">
        <v>A++</v>
      </c>
      <c r="T74">
        <v>2</v>
      </c>
      <c r="U74">
        <v>1</v>
      </c>
      <c r="V74" t="str">
        <v>Appartement</v>
      </c>
      <c r="W74" t="str">
        <v>Appartement</v>
      </c>
      <c r="X74" t="str">
        <v>Appartement &lt;50 m²</v>
      </c>
      <c r="Y74" t="str">
        <v>Onbekend</v>
      </c>
      <c r="Z74" t="str">
        <v>onbekend</v>
      </c>
      <c r="AA74" t="str">
        <v>2027</v>
      </c>
      <c r="AB74" t="str">
        <v>Nee</v>
      </c>
      <c r="AC74" t="str">
        <v>NEE</v>
      </c>
      <c r="AD74" t="str">
        <v>JA</v>
      </c>
    </row>
    <row r="75">
      <c r="A75" t="str">
        <v>44427917</v>
      </c>
      <c r="B75" t="str">
        <v>https://www.funda.nl/detail/koop/veenendaal/appartement-tweekamerappartementen-bouwnr-164/44427917/</v>
      </c>
      <c r="C75" t="str">
        <v>De Nijverheid - Sentido</v>
      </c>
      <c r="D75" t="str">
        <v>Tweekamerappartementen</v>
      </c>
      <c r="E75" t="str">
        <v>164</v>
      </c>
      <c r="F75" t="str">
        <v>3903 BK</v>
      </c>
      <c r="G75" t="str">
        <v>Veenendaal</v>
      </c>
      <c r="H75" t="str">
        <v>Veenendaal</v>
      </c>
      <c r="I75" t="str">
        <v>Utrecht</v>
      </c>
      <c r="J75" t="str">
        <v>West-Nederland</v>
      </c>
      <c r="K75" t="str">
        <v>Te koop</v>
      </c>
      <c r="L75" t="str">
        <v>Onbekend</v>
      </c>
      <c r="M75" t="str">
        <v>Onbekend</v>
      </c>
      <c r="N75">
        <v>297500</v>
      </c>
      <c r="O75" t="str">
        <v>v.o.n.</v>
      </c>
      <c r="P75">
        <v>47</v>
      </c>
      <c r="Q75">
        <v>6330</v>
      </c>
      <c r="R75" t="str">
        <v>Onbekend</v>
      </c>
      <c r="S75" t="str">
        <v>A++</v>
      </c>
      <c r="T75">
        <v>2</v>
      </c>
      <c r="U75">
        <v>1</v>
      </c>
      <c r="V75" t="str">
        <v>Appartement</v>
      </c>
      <c r="W75" t="str">
        <v>Appartement</v>
      </c>
      <c r="X75" t="str">
        <v>Appartement &lt;50 m²</v>
      </c>
      <c r="Y75" t="str">
        <v>Onbekend</v>
      </c>
      <c r="Z75" t="str">
        <v>onbekend</v>
      </c>
      <c r="AA75" t="str">
        <v>2027</v>
      </c>
      <c r="AB75" t="str">
        <v>Nee</v>
      </c>
      <c r="AC75" t="str">
        <v>NEE</v>
      </c>
      <c r="AD75" t="str">
        <v>JA</v>
      </c>
    </row>
    <row r="76">
      <c r="A76" t="str">
        <v>44427914</v>
      </c>
      <c r="B76" t="str">
        <v>https://www.funda.nl/detail/koop/veenendaal/appartement-tweekamerappartementen-bouwnr-147/44427914/</v>
      </c>
      <c r="C76" t="str">
        <v>De Nijverheid - Sentido</v>
      </c>
      <c r="D76" t="str">
        <v>Tweekamerappartementen</v>
      </c>
      <c r="E76" t="str">
        <v>147</v>
      </c>
      <c r="F76" t="str">
        <v>3903 BK</v>
      </c>
      <c r="G76" t="str">
        <v>Veenendaal</v>
      </c>
      <c r="H76" t="str">
        <v>Veenendaal</v>
      </c>
      <c r="I76" t="str">
        <v>Utrecht</v>
      </c>
      <c r="J76" t="str">
        <v>West-Nederland</v>
      </c>
      <c r="K76" t="str">
        <v>Te koop</v>
      </c>
      <c r="L76" t="str">
        <v>Onbekend</v>
      </c>
      <c r="M76" t="str">
        <v>Onbekend</v>
      </c>
      <c r="N76">
        <v>299500</v>
      </c>
      <c r="O76" t="str">
        <v>v.o.n.</v>
      </c>
      <c r="P76">
        <v>47</v>
      </c>
      <c r="Q76">
        <v>6372</v>
      </c>
      <c r="R76" t="str">
        <v>Onbekend</v>
      </c>
      <c r="S76" t="str">
        <v>A++</v>
      </c>
      <c r="T76">
        <v>2</v>
      </c>
      <c r="U76">
        <v>1</v>
      </c>
      <c r="V76" t="str">
        <v>Appartement</v>
      </c>
      <c r="W76" t="str">
        <v>Appartement</v>
      </c>
      <c r="X76" t="str">
        <v>Appartement &lt;50 m²</v>
      </c>
      <c r="Y76" t="str">
        <v>Onbekend</v>
      </c>
      <c r="Z76" t="str">
        <v>onbekend</v>
      </c>
      <c r="AA76" t="str">
        <v>2027</v>
      </c>
      <c r="AB76" t="str">
        <v>Nee</v>
      </c>
      <c r="AC76" t="str">
        <v>NEE</v>
      </c>
      <c r="AD76" t="str">
        <v>JA</v>
      </c>
    </row>
    <row r="77">
      <c r="A77" t="str">
        <v>44427900</v>
      </c>
      <c r="B77" t="str">
        <v>https://www.funda.nl/detail/koop/veenendaal/appartement-tweekamerappartementen-bouwnr-149/44427900/</v>
      </c>
      <c r="C77" t="str">
        <v>De Nijverheid - Sentido</v>
      </c>
      <c r="D77" t="str">
        <v>Tweekamerappartementen</v>
      </c>
      <c r="E77" t="str">
        <v>149</v>
      </c>
      <c r="F77" t="str">
        <v>3903 BK</v>
      </c>
      <c r="G77" t="str">
        <v>Veenendaal</v>
      </c>
      <c r="H77" t="str">
        <v>Veenendaal</v>
      </c>
      <c r="I77" t="str">
        <v>Utrecht</v>
      </c>
      <c r="J77" t="str">
        <v>West-Nederland</v>
      </c>
      <c r="K77" t="str">
        <v>Te koop</v>
      </c>
      <c r="L77" t="str">
        <v>Onbekend</v>
      </c>
      <c r="M77" t="str">
        <v>Onbekend</v>
      </c>
      <c r="N77">
        <v>295000</v>
      </c>
      <c r="O77" t="str">
        <v>v.o.n.</v>
      </c>
      <c r="P77">
        <v>47</v>
      </c>
      <c r="Q77">
        <v>6277</v>
      </c>
      <c r="R77" t="str">
        <v>Onbekend</v>
      </c>
      <c r="S77" t="str">
        <v>A++</v>
      </c>
      <c r="T77">
        <v>2</v>
      </c>
      <c r="U77">
        <v>1</v>
      </c>
      <c r="V77" t="str">
        <v>Appartement</v>
      </c>
      <c r="W77" t="str">
        <v>Appartement</v>
      </c>
      <c r="X77" t="str">
        <v>Appartement &lt;50 m²</v>
      </c>
      <c r="Y77" t="str">
        <v>Onbekend</v>
      </c>
      <c r="Z77" t="str">
        <v>onbekend</v>
      </c>
      <c r="AA77" t="str">
        <v>2027</v>
      </c>
      <c r="AB77" t="str">
        <v>Nee</v>
      </c>
      <c r="AC77" t="str">
        <v>NEE</v>
      </c>
      <c r="AD77" t="str">
        <v>JA</v>
      </c>
    </row>
    <row r="78">
      <c r="A78" t="str">
        <v>44427909</v>
      </c>
      <c r="B78" t="str">
        <v>https://www.funda.nl/detail/koop/veenendaal/appartement-tweekamerappartementen-bouwnr-150/44427909/</v>
      </c>
      <c r="C78" t="str">
        <v>De Nijverheid - Sentido</v>
      </c>
      <c r="D78" t="str">
        <v>Tweekamerappartementen</v>
      </c>
      <c r="E78" t="str">
        <v>150</v>
      </c>
      <c r="F78" t="str">
        <v>3903 BK</v>
      </c>
      <c r="G78" t="str">
        <v>Veenendaal</v>
      </c>
      <c r="H78" t="str">
        <v>Veenendaal</v>
      </c>
      <c r="I78" t="str">
        <v>Utrecht</v>
      </c>
      <c r="J78" t="str">
        <v>West-Nederland</v>
      </c>
      <c r="K78" t="str">
        <v>Te koop</v>
      </c>
      <c r="L78" t="str">
        <v>Onbekend</v>
      </c>
      <c r="M78" t="str">
        <v>Onbekend</v>
      </c>
      <c r="N78">
        <v>289500</v>
      </c>
      <c r="O78" t="str">
        <v>v.o.n.</v>
      </c>
      <c r="P78">
        <v>47</v>
      </c>
      <c r="Q78">
        <v>6160</v>
      </c>
      <c r="R78" t="str">
        <v>Onbekend</v>
      </c>
      <c r="S78" t="str">
        <v>A++</v>
      </c>
      <c r="T78">
        <v>2</v>
      </c>
      <c r="U78">
        <v>1</v>
      </c>
      <c r="V78" t="str">
        <v>Appartement</v>
      </c>
      <c r="W78" t="str">
        <v>Appartement</v>
      </c>
      <c r="X78" t="str">
        <v>Appartement &lt;50 m²</v>
      </c>
      <c r="Y78" t="str">
        <v>Onbekend</v>
      </c>
      <c r="Z78" t="str">
        <v>onbekend</v>
      </c>
      <c r="AA78" t="str">
        <v>2027</v>
      </c>
      <c r="AB78" t="str">
        <v>Nee</v>
      </c>
      <c r="AC78" t="str">
        <v>NEE</v>
      </c>
      <c r="AD78" t="str">
        <v>JA</v>
      </c>
    </row>
    <row r="79">
      <c r="A79" t="str">
        <v>44427906</v>
      </c>
      <c r="B79" t="str">
        <v>https://www.funda.nl/detail/koop/veenendaal/appartement-tweekamerappartementen-bouwnr-95/44427906/</v>
      </c>
      <c r="C79" t="str">
        <v>De Nijverheid - Sentido</v>
      </c>
      <c r="D79" t="str">
        <v>Tweekamerappartementen</v>
      </c>
      <c r="E79" t="str">
        <v>95</v>
      </c>
      <c r="F79" t="str">
        <v>3903 BK</v>
      </c>
      <c r="G79" t="str">
        <v>Veenendaal</v>
      </c>
      <c r="H79" t="str">
        <v>Veenendaal</v>
      </c>
      <c r="I79" t="str">
        <v>Utrecht</v>
      </c>
      <c r="J79" t="str">
        <v>West-Nederland</v>
      </c>
      <c r="K79" t="str">
        <v>Te koop</v>
      </c>
      <c r="L79" t="str">
        <v>Onbekend</v>
      </c>
      <c r="M79" t="str">
        <v>Onbekend</v>
      </c>
      <c r="N79">
        <v>285000</v>
      </c>
      <c r="O79" t="str">
        <v>v.o.n.</v>
      </c>
      <c r="P79">
        <v>46</v>
      </c>
      <c r="Q79">
        <v>6196</v>
      </c>
      <c r="R79" t="str">
        <v>Onbekend</v>
      </c>
      <c r="S79" t="str">
        <v>A++</v>
      </c>
      <c r="T79">
        <v>2</v>
      </c>
      <c r="U79">
        <v>1</v>
      </c>
      <c r="V79" t="str">
        <v>Appartement</v>
      </c>
      <c r="W79" t="str">
        <v>Appartement</v>
      </c>
      <c r="X79" t="str">
        <v>Appartement &lt;50 m²</v>
      </c>
      <c r="Y79" t="str">
        <v>Onbekend</v>
      </c>
      <c r="Z79" t="str">
        <v>onbekend</v>
      </c>
      <c r="AA79" t="str">
        <v>2027</v>
      </c>
      <c r="AB79" t="str">
        <v>Nee</v>
      </c>
      <c r="AC79" t="str">
        <v>NEE</v>
      </c>
      <c r="AD79" t="str">
        <v>JA</v>
      </c>
    </row>
    <row r="80">
      <c r="A80" t="str">
        <v>44427904</v>
      </c>
      <c r="B80" t="str">
        <v>https://www.funda.nl/detail/koop/veenendaal/appartement-tweekamerappartementen-bouwnr-124/44427904/</v>
      </c>
      <c r="C80" t="str">
        <v>De Nijverheid - Sentido</v>
      </c>
      <c r="D80" t="str">
        <v>Tweekamerappartementen</v>
      </c>
      <c r="E80" t="str">
        <v>124</v>
      </c>
      <c r="F80" t="str">
        <v>3903 BK</v>
      </c>
      <c r="G80" t="str">
        <v>Veenendaal</v>
      </c>
      <c r="H80" t="str">
        <v>Veenendaal</v>
      </c>
      <c r="I80" t="str">
        <v>Utrecht</v>
      </c>
      <c r="J80" t="str">
        <v>West-Nederland</v>
      </c>
      <c r="K80" t="str">
        <v>Te koop</v>
      </c>
      <c r="L80" t="str">
        <v>Onbekend</v>
      </c>
      <c r="M80" t="str">
        <v>Onbekend</v>
      </c>
      <c r="N80">
        <v>285000</v>
      </c>
      <c r="O80" t="str">
        <v>v.o.n.</v>
      </c>
      <c r="P80">
        <v>46</v>
      </c>
      <c r="Q80">
        <v>6196</v>
      </c>
      <c r="R80" t="str">
        <v>Onbekend</v>
      </c>
      <c r="S80" t="str">
        <v>A++</v>
      </c>
      <c r="T80">
        <v>2</v>
      </c>
      <c r="U80">
        <v>1</v>
      </c>
      <c r="V80" t="str">
        <v>Appartement</v>
      </c>
      <c r="W80" t="str">
        <v>Appartement</v>
      </c>
      <c r="X80" t="str">
        <v>Appartement &lt;50 m²</v>
      </c>
      <c r="Y80" t="str">
        <v>Onbekend</v>
      </c>
      <c r="Z80" t="str">
        <v>onbekend</v>
      </c>
      <c r="AA80" t="str">
        <v>2027</v>
      </c>
      <c r="AB80" t="str">
        <v>Nee</v>
      </c>
      <c r="AC80" t="str">
        <v>NEE</v>
      </c>
      <c r="AD80" t="str">
        <v>JA</v>
      </c>
    </row>
    <row r="81">
      <c r="A81" t="str">
        <v>44427940</v>
      </c>
      <c r="B81" t="str">
        <v>https://www.funda.nl/detail/koop/veenendaal/appartement-tweekamerappartementen-bouwnr-175/44427940/</v>
      </c>
      <c r="C81" t="str">
        <v>De Nijverheid - Sentido</v>
      </c>
      <c r="D81" t="str">
        <v>Tweekamerappartementen</v>
      </c>
      <c r="E81" t="str">
        <v>175</v>
      </c>
      <c r="F81" t="str">
        <v>3903 BK</v>
      </c>
      <c r="G81" t="str">
        <v>Veenendaal</v>
      </c>
      <c r="H81" t="str">
        <v>Veenendaal</v>
      </c>
      <c r="I81" t="str">
        <v>Utrecht</v>
      </c>
      <c r="J81" t="str">
        <v>West-Nederland</v>
      </c>
      <c r="K81" t="str">
        <v>Te koop</v>
      </c>
      <c r="L81" t="str">
        <v>Onbekend</v>
      </c>
      <c r="M81" t="str">
        <v>Onbekend</v>
      </c>
      <c r="N81">
        <v>292500</v>
      </c>
      <c r="O81" t="str">
        <v>v.o.n.</v>
      </c>
      <c r="P81">
        <v>46</v>
      </c>
      <c r="Q81">
        <v>6359</v>
      </c>
      <c r="R81" t="str">
        <v>Onbekend</v>
      </c>
      <c r="S81" t="str">
        <v>A++</v>
      </c>
      <c r="T81">
        <v>2</v>
      </c>
      <c r="U81">
        <v>1</v>
      </c>
      <c r="V81" t="str">
        <v>Appartement</v>
      </c>
      <c r="W81" t="str">
        <v>Appartement</v>
      </c>
      <c r="X81" t="str">
        <v>Appartement &lt;50 m²</v>
      </c>
      <c r="Y81" t="str">
        <v>Onbekend</v>
      </c>
      <c r="Z81" t="str">
        <v>onbekend</v>
      </c>
      <c r="AA81" t="str">
        <v>2027</v>
      </c>
      <c r="AB81" t="str">
        <v>Nee</v>
      </c>
      <c r="AC81" t="str">
        <v>NEE</v>
      </c>
      <c r="AD81" t="str">
        <v>JA</v>
      </c>
    </row>
    <row r="82">
      <c r="A82" t="str">
        <v>44427944</v>
      </c>
      <c r="B82" t="str">
        <v>https://www.funda.nl/detail/koop/veenendaal/appartement-tweekamerappartementen-bouwnr-171/44427944/</v>
      </c>
      <c r="C82" t="str">
        <v>De Nijverheid - Sentido</v>
      </c>
      <c r="D82" t="str">
        <v>Tweekamerappartementen</v>
      </c>
      <c r="E82" t="str">
        <v>171</v>
      </c>
      <c r="F82" t="str">
        <v>3903 BK</v>
      </c>
      <c r="G82" t="str">
        <v>Veenendaal</v>
      </c>
      <c r="H82" t="str">
        <v>Veenendaal</v>
      </c>
      <c r="I82" t="str">
        <v>Utrecht</v>
      </c>
      <c r="J82" t="str">
        <v>West-Nederland</v>
      </c>
      <c r="K82" t="str">
        <v>Te koop</v>
      </c>
      <c r="L82" t="str">
        <v>Onbekend</v>
      </c>
      <c r="M82" t="str">
        <v>Onbekend</v>
      </c>
      <c r="N82">
        <v>292500</v>
      </c>
      <c r="O82" t="str">
        <v>v.o.n.</v>
      </c>
      <c r="P82">
        <v>46</v>
      </c>
      <c r="Q82">
        <v>6359</v>
      </c>
      <c r="R82" t="str">
        <v>Onbekend</v>
      </c>
      <c r="S82" t="str">
        <v>A++</v>
      </c>
      <c r="T82">
        <v>2</v>
      </c>
      <c r="U82">
        <v>1</v>
      </c>
      <c r="V82" t="str">
        <v>Appartement</v>
      </c>
      <c r="W82" t="str">
        <v>Appartement</v>
      </c>
      <c r="X82" t="str">
        <v>Appartement &lt;50 m²</v>
      </c>
      <c r="Y82" t="str">
        <v>Onbekend</v>
      </c>
      <c r="Z82" t="str">
        <v>onbekend</v>
      </c>
      <c r="AA82" t="str">
        <v>2027</v>
      </c>
      <c r="AB82" t="str">
        <v>Nee</v>
      </c>
      <c r="AC82" t="str">
        <v>NEE</v>
      </c>
      <c r="AD82" t="str">
        <v>JA</v>
      </c>
    </row>
    <row r="83">
      <c r="A83" t="str">
        <v>44427932</v>
      </c>
      <c r="B83" t="str">
        <v>https://www.funda.nl/detail/koop/veenendaal/appartement-tweekamerappartementen-bouwnr-158/44427932/</v>
      </c>
      <c r="C83" t="str">
        <v>De Nijverheid - Sentido</v>
      </c>
      <c r="D83" t="str">
        <v>Tweekamerappartementen</v>
      </c>
      <c r="E83" t="str">
        <v>158</v>
      </c>
      <c r="F83" t="str">
        <v>3903 BK</v>
      </c>
      <c r="G83" t="str">
        <v>Veenendaal</v>
      </c>
      <c r="H83" t="str">
        <v>Veenendaal</v>
      </c>
      <c r="I83" t="str">
        <v>Utrecht</v>
      </c>
      <c r="J83" t="str">
        <v>West-Nederland</v>
      </c>
      <c r="K83" t="str">
        <v>Te koop</v>
      </c>
      <c r="L83" t="str">
        <v>Onbekend</v>
      </c>
      <c r="M83" t="str">
        <v>Onbekend</v>
      </c>
      <c r="N83">
        <v>289500</v>
      </c>
      <c r="O83" t="str">
        <v>v.o.n.</v>
      </c>
      <c r="P83">
        <v>46</v>
      </c>
      <c r="Q83">
        <v>6293</v>
      </c>
      <c r="R83" t="str">
        <v>Onbekend</v>
      </c>
      <c r="S83" t="str">
        <v>A++</v>
      </c>
      <c r="T83">
        <v>2</v>
      </c>
      <c r="U83">
        <v>1</v>
      </c>
      <c r="V83" t="str">
        <v>Appartement</v>
      </c>
      <c r="W83" t="str">
        <v>Appartement</v>
      </c>
      <c r="X83" t="str">
        <v>Appartement &lt;50 m²</v>
      </c>
      <c r="Y83" t="str">
        <v>Onbekend</v>
      </c>
      <c r="Z83" t="str">
        <v>onbekend</v>
      </c>
      <c r="AA83" t="str">
        <v>2027</v>
      </c>
      <c r="AB83" t="str">
        <v>Nee</v>
      </c>
      <c r="AC83" t="str">
        <v>NEE</v>
      </c>
      <c r="AD83" t="str">
        <v>JA</v>
      </c>
    </row>
  </sheetData>
  <autoFilter ref="A27:AD83"/>
  <ignoredErrors>
    <ignoredError numberStoredAsText="1" sqref="A1:AD83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Venlo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445000</v>
      </c>
    </row>
    <row r="9">
      <c r="A9" t="str">
        <v>Mediaan VON-prijs (€)</v>
      </c>
      <c r="B9">
        <v>445000</v>
      </c>
    </row>
    <row r="10">
      <c r="A10" t="str">
        <v>Gemiddelde VON-prijs per m² (€)</v>
      </c>
      <c r="B10">
        <v>6268</v>
      </c>
    </row>
    <row r="11">
      <c r="A11" t="str">
        <v>Mediaan VON-prijs per m² (€)</v>
      </c>
      <c r="B11">
        <v>6268</v>
      </c>
    </row>
    <row r="12">
      <c r="A12" t="str">
        <v>Gemiddelde GBO (m²)</v>
      </c>
      <c r="B12">
        <v>71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50-75 m²</v>
      </c>
      <c r="B19">
        <v>1</v>
      </c>
    </row>
    <row r="21">
      <c r="A21" t="str">
        <v>Alle woningen in Venlo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44422495</v>
      </c>
      <c r="B23" t="str">
        <v>https://www.funda.nl/detail/koop/venlo/appartement-witherenstraat-7-s/44422495/</v>
      </c>
      <c r="C23" t="str">
        <v>Onbekend</v>
      </c>
      <c r="D23" t="str">
        <v>Witherenstraat 7-S</v>
      </c>
      <c r="E23" t="str">
        <v>Onbekend</v>
      </c>
      <c r="F23" t="str">
        <v>5921 GA</v>
      </c>
      <c r="G23" t="str">
        <v>Venlo</v>
      </c>
      <c r="H23" t="str">
        <v>Venlo</v>
      </c>
      <c r="I23" t="str">
        <v>Limburg</v>
      </c>
      <c r="J23" t="str">
        <v>Zuid-Nederland</v>
      </c>
      <c r="K23" t="str">
        <v>Te koop</v>
      </c>
      <c r="L23" t="str">
        <v>Onbekend</v>
      </c>
      <c r="M23" t="str">
        <v>Onbekend</v>
      </c>
      <c r="N23">
        <v>445000</v>
      </c>
      <c r="O23" t="str">
        <v>v.o.n.</v>
      </c>
      <c r="P23">
        <v>71</v>
      </c>
      <c r="Q23">
        <v>6268</v>
      </c>
      <c r="R23" t="str">
        <v>Onbekend</v>
      </c>
      <c r="S23" t="str">
        <v>Niet beschikbaar</v>
      </c>
      <c r="T23">
        <v>2</v>
      </c>
      <c r="U23">
        <v>1</v>
      </c>
      <c r="V23" t="str">
        <v>Appartement</v>
      </c>
      <c r="W23" t="str">
        <v>Appartement</v>
      </c>
      <c r="X23" t="str">
        <v>Appartement 50-75 m²</v>
      </c>
      <c r="Y23" t="str">
        <v>Ja</v>
      </c>
      <c r="Z23" t="str">
        <v>openbare parkeerplaats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Venray</v>
      </c>
    </row>
    <row r="3">
      <c r="A3" t="str">
        <v>Samenvatting</v>
      </c>
    </row>
    <row r="4">
      <c r="A4" t="str">
        <v>Aantal woningen</v>
      </c>
      <c r="B4">
        <v>12</v>
      </c>
    </row>
    <row r="5">
      <c r="A5" t="str">
        <v>Aantal te koop</v>
      </c>
      <c r="B5">
        <v>12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835000</v>
      </c>
    </row>
    <row r="9">
      <c r="A9" t="str">
        <v>Mediaan VON-prijs (€)</v>
      </c>
      <c r="B9">
        <v>845000</v>
      </c>
    </row>
    <row r="10">
      <c r="A10" t="str">
        <v>Gemiddelde VON-prijs per m² (€)</v>
      </c>
      <c r="B10">
        <v>6134</v>
      </c>
    </row>
    <row r="11">
      <c r="A11" t="str">
        <v>Mediaan VON-prijs per m² (€)</v>
      </c>
      <c r="B11">
        <v>6141</v>
      </c>
    </row>
    <row r="12">
      <c r="A12" t="str">
        <v>Gemiddelde GBO (m²)</v>
      </c>
      <c r="B12">
        <v>136</v>
      </c>
    </row>
    <row r="13">
      <c r="A13" t="str">
        <v>Gemiddelde looptijd (dagen)</v>
      </c>
      <c r="B13">
        <v>4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&gt;100 m²</v>
      </c>
      <c r="B19">
        <v>12</v>
      </c>
    </row>
    <row r="21">
      <c r="A21" t="str">
        <v>Alle woningen in Venray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44423854</v>
      </c>
      <c r="B23" t="str">
        <v>https://www.funda.nl/detail/koop/venray/appartement-korte-drilweg-6-k/44423854/</v>
      </c>
      <c r="C23" t="str">
        <v>Villa Vlakwater</v>
      </c>
      <c r="D23" t="str">
        <v>Korte Drilweg 6-K</v>
      </c>
      <c r="E23" t="str">
        <v>Onbekend</v>
      </c>
      <c r="F23" t="str">
        <v>5801 HP</v>
      </c>
      <c r="G23" t="str">
        <v>Venray</v>
      </c>
      <c r="H23" t="str">
        <v>Venray</v>
      </c>
      <c r="I23" t="str">
        <v>Limburg</v>
      </c>
      <c r="J23" t="str">
        <v>Zuid-Nederland</v>
      </c>
      <c r="K23" t="str">
        <v>Te koop</v>
      </c>
      <c r="L23" t="str">
        <v>Onbekend</v>
      </c>
      <c r="M23" t="str">
        <v>Onbekend</v>
      </c>
      <c r="N23">
        <v>720000</v>
      </c>
      <c r="O23" t="str">
        <v>v.o.n.</v>
      </c>
      <c r="P23">
        <v>117</v>
      </c>
      <c r="Q23">
        <v>6154</v>
      </c>
      <c r="R23" t="str">
        <v>Onbekend</v>
      </c>
      <c r="S23" t="str">
        <v>A+++</v>
      </c>
      <c r="T23">
        <v>4</v>
      </c>
      <c r="U23">
        <v>2</v>
      </c>
      <c r="V23" t="str">
        <v>Appartement</v>
      </c>
      <c r="W23" t="str">
        <v>Appartement</v>
      </c>
      <c r="X23" t="str">
        <v>Appartement &gt;100 m²</v>
      </c>
      <c r="Y23" t="str">
        <v>Ja</v>
      </c>
      <c r="Z23" t="str">
        <v>garage</v>
      </c>
      <c r="AA23" t="str">
        <v>2026</v>
      </c>
      <c r="AB23" t="str">
        <v>Nee</v>
      </c>
      <c r="AC23" t="str">
        <v>NEE</v>
      </c>
      <c r="AD23" t="str">
        <v>JA</v>
      </c>
    </row>
    <row r="24">
      <c r="A24" t="str">
        <v>44423855</v>
      </c>
      <c r="B24" t="str">
        <v>https://www.funda.nl/detail/koop/venray/appartement-korte-drilweg-6-h/44423855/</v>
      </c>
      <c r="C24" t="str">
        <v>Villa Vlakwater</v>
      </c>
      <c r="D24" t="str">
        <v>Korte Drilweg 6-H</v>
      </c>
      <c r="E24" t="str">
        <v>Onbekend</v>
      </c>
      <c r="F24" t="str">
        <v>5801 HP</v>
      </c>
      <c r="G24" t="str">
        <v>Venray</v>
      </c>
      <c r="H24" t="str">
        <v>Venray</v>
      </c>
      <c r="I24" t="str">
        <v>Limburg</v>
      </c>
      <c r="J24" t="str">
        <v>Zuid-Nederland</v>
      </c>
      <c r="K24" t="str">
        <v>Te koop</v>
      </c>
      <c r="L24" t="str">
        <v>2026-07-09</v>
      </c>
      <c r="M24">
        <v>4</v>
      </c>
      <c r="N24">
        <v>855000</v>
      </c>
      <c r="O24" t="str">
        <v>v.o.n.</v>
      </c>
      <c r="P24">
        <v>140</v>
      </c>
      <c r="Q24">
        <v>6107</v>
      </c>
      <c r="R24" t="str">
        <v>Onbekend</v>
      </c>
      <c r="S24" t="str">
        <v>A+++</v>
      </c>
      <c r="T24">
        <v>4</v>
      </c>
      <c r="U24">
        <v>2</v>
      </c>
      <c r="V24" t="str">
        <v>Appartement</v>
      </c>
      <c r="W24" t="str">
        <v>Appartement</v>
      </c>
      <c r="X24" t="str">
        <v>Appartement &gt;100 m²</v>
      </c>
      <c r="Y24" t="str">
        <v>Ja</v>
      </c>
      <c r="Z24" t="str">
        <v>garage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44423853</v>
      </c>
      <c r="B25" t="str">
        <v>https://www.funda.nl/detail/koop/venray/appartement-korte-drilweg-6-a/44423853/</v>
      </c>
      <c r="C25" t="str">
        <v>Villa Vlakwater</v>
      </c>
      <c r="D25" t="str">
        <v>Korte Drilweg 6-A</v>
      </c>
      <c r="E25" t="str">
        <v>Onbekend</v>
      </c>
      <c r="F25" t="str">
        <v>5801 HP</v>
      </c>
      <c r="G25" t="str">
        <v>Venray</v>
      </c>
      <c r="H25" t="str">
        <v>Venray</v>
      </c>
      <c r="I25" t="str">
        <v>Limburg</v>
      </c>
      <c r="J25" t="str">
        <v>Zuid-Nederland</v>
      </c>
      <c r="K25" t="str">
        <v>Te koop</v>
      </c>
      <c r="L25" t="str">
        <v>Onbekend</v>
      </c>
      <c r="M25" t="str">
        <v>Onbekend</v>
      </c>
      <c r="N25">
        <v>810000</v>
      </c>
      <c r="O25" t="str">
        <v>v.o.n.</v>
      </c>
      <c r="P25">
        <v>134</v>
      </c>
      <c r="Q25">
        <v>6045</v>
      </c>
      <c r="R25" t="str">
        <v>Onbekend</v>
      </c>
      <c r="S25" t="str">
        <v>A+++</v>
      </c>
      <c r="T25">
        <v>4</v>
      </c>
      <c r="U25">
        <v>2</v>
      </c>
      <c r="V25" t="str">
        <v>Appartement</v>
      </c>
      <c r="W25" t="str">
        <v>Appartement</v>
      </c>
      <c r="X25" t="str">
        <v>Appartement &gt;100 m²</v>
      </c>
      <c r="Y25" t="str">
        <v>Ja</v>
      </c>
      <c r="Z25" t="str">
        <v>garage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44423841</v>
      </c>
      <c r="B26" t="str">
        <v>https://www.funda.nl/detail/koop/venray/appartement-korte-drilweg-6-l/44423841/</v>
      </c>
      <c r="C26" t="str">
        <v>Villa Vlakwater</v>
      </c>
      <c r="D26" t="str">
        <v>Korte Drilweg 6-L</v>
      </c>
      <c r="E26" t="str">
        <v>Onbekend</v>
      </c>
      <c r="F26" t="str">
        <v>5801 HP</v>
      </c>
      <c r="G26" t="str">
        <v>Venray</v>
      </c>
      <c r="H26" t="str">
        <v>Venray</v>
      </c>
      <c r="I26" t="str">
        <v>Limburg</v>
      </c>
      <c r="J26" t="str">
        <v>Zuid-Nederland</v>
      </c>
      <c r="K26" t="str">
        <v>Te koop</v>
      </c>
      <c r="L26" t="str">
        <v>Onbekend</v>
      </c>
      <c r="M26" t="str">
        <v>Onbekend</v>
      </c>
      <c r="N26">
        <v>755000</v>
      </c>
      <c r="O26" t="str">
        <v>v.o.n.</v>
      </c>
      <c r="P26">
        <v>122</v>
      </c>
      <c r="Q26">
        <v>6189</v>
      </c>
      <c r="R26" t="str">
        <v>Onbekend</v>
      </c>
      <c r="S26" t="str">
        <v>A+++</v>
      </c>
      <c r="T26">
        <v>4</v>
      </c>
      <c r="U26">
        <v>2</v>
      </c>
      <c r="V26" t="str">
        <v>Appartement</v>
      </c>
      <c r="W26" t="str">
        <v>Appartement</v>
      </c>
      <c r="X26" t="str">
        <v>Appartement &gt;100 m²</v>
      </c>
      <c r="Y26" t="str">
        <v>Ja</v>
      </c>
      <c r="Z26" t="str">
        <v>garage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44423840</v>
      </c>
      <c r="B27" t="str">
        <v>https://www.funda.nl/detail/koop/venray/appartement-korte-drilweg-6-m/44423840/</v>
      </c>
      <c r="C27" t="str">
        <v>Villa Vlakwater</v>
      </c>
      <c r="D27" t="str">
        <v>Korte Drilweg 6-M</v>
      </c>
      <c r="E27" t="str">
        <v>Onbekend</v>
      </c>
      <c r="F27" t="str">
        <v>5801 HP</v>
      </c>
      <c r="G27" t="str">
        <v>Venray</v>
      </c>
      <c r="H27" t="str">
        <v>Venray</v>
      </c>
      <c r="I27" t="str">
        <v>Limburg</v>
      </c>
      <c r="J27" t="str">
        <v>Zuid-Nederland</v>
      </c>
      <c r="K27" t="str">
        <v>Te koop</v>
      </c>
      <c r="L27" t="str">
        <v>Onbekend</v>
      </c>
      <c r="M27" t="str">
        <v>Onbekend</v>
      </c>
      <c r="N27">
        <v>835000</v>
      </c>
      <c r="O27" t="str">
        <v>v.o.n.</v>
      </c>
      <c r="P27">
        <v>135</v>
      </c>
      <c r="Q27">
        <v>6185</v>
      </c>
      <c r="R27" t="str">
        <v>Onbekend</v>
      </c>
      <c r="S27" t="str">
        <v>A+++</v>
      </c>
      <c r="T27">
        <v>4</v>
      </c>
      <c r="U27">
        <v>2</v>
      </c>
      <c r="V27" t="str">
        <v>Appartement</v>
      </c>
      <c r="W27" t="str">
        <v>Appartement</v>
      </c>
      <c r="X27" t="str">
        <v>Appartement &gt;100 m²</v>
      </c>
      <c r="Y27" t="str">
        <v>Ja</v>
      </c>
      <c r="Z27" t="str">
        <v>garage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44423849</v>
      </c>
      <c r="B28" t="str">
        <v>https://www.funda.nl/detail/koop/venray/appartement-korte-drilweg-6-b/44423849/</v>
      </c>
      <c r="C28" t="str">
        <v>Villa Vlakwater</v>
      </c>
      <c r="D28" t="str">
        <v>Korte Drilweg 6-B</v>
      </c>
      <c r="E28" t="str">
        <v>Onbekend</v>
      </c>
      <c r="F28" t="str">
        <v>5801 HP</v>
      </c>
      <c r="G28" t="str">
        <v>Venray</v>
      </c>
      <c r="H28" t="str">
        <v>Venray</v>
      </c>
      <c r="I28" t="str">
        <v>Limburg</v>
      </c>
      <c r="J28" t="str">
        <v>Zuid-Nederland</v>
      </c>
      <c r="K28" t="str">
        <v>Te koop</v>
      </c>
      <c r="L28" t="str">
        <v>Onbekend</v>
      </c>
      <c r="M28" t="str">
        <v>Onbekend</v>
      </c>
      <c r="N28">
        <v>855000</v>
      </c>
      <c r="O28" t="str">
        <v>v.o.n.</v>
      </c>
      <c r="P28">
        <v>141</v>
      </c>
      <c r="Q28">
        <v>6064</v>
      </c>
      <c r="R28" t="str">
        <v>Onbekend</v>
      </c>
      <c r="S28" t="str">
        <v>A+++</v>
      </c>
      <c r="T28">
        <v>4</v>
      </c>
      <c r="U28">
        <v>2</v>
      </c>
      <c r="V28" t="str">
        <v>Appartement</v>
      </c>
      <c r="W28" t="str">
        <v>Appartement</v>
      </c>
      <c r="X28" t="str">
        <v>Appartement &gt;100 m²</v>
      </c>
      <c r="Y28" t="str">
        <v>Ja</v>
      </c>
      <c r="Z28" t="str">
        <v>garage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44423848</v>
      </c>
      <c r="B29" t="str">
        <v>https://www.funda.nl/detail/koop/venray/appartement-korte-drilweg-6-c/44423848/</v>
      </c>
      <c r="C29" t="str">
        <v>Villa Vlakwater</v>
      </c>
      <c r="D29" t="str">
        <v>Korte Drilweg 6-C</v>
      </c>
      <c r="E29" t="str">
        <v>Onbekend</v>
      </c>
      <c r="F29" t="str">
        <v>5801 HP</v>
      </c>
      <c r="G29" t="str">
        <v>Venray</v>
      </c>
      <c r="H29" t="str">
        <v>Venray</v>
      </c>
      <c r="I29" t="str">
        <v>Limburg</v>
      </c>
      <c r="J29" t="str">
        <v>Zuid-Nederland</v>
      </c>
      <c r="K29" t="str">
        <v>Te koop</v>
      </c>
      <c r="L29" t="str">
        <v>Onbekend</v>
      </c>
      <c r="M29" t="str">
        <v>Onbekend</v>
      </c>
      <c r="N29">
        <v>925000</v>
      </c>
      <c r="O29" t="str">
        <v>v.o.n.</v>
      </c>
      <c r="P29">
        <v>150</v>
      </c>
      <c r="Q29">
        <v>6167</v>
      </c>
      <c r="R29" t="str">
        <v>Onbekend</v>
      </c>
      <c r="S29" t="str">
        <v>A+++</v>
      </c>
      <c r="T29">
        <v>4</v>
      </c>
      <c r="U29">
        <v>2</v>
      </c>
      <c r="V29" t="str">
        <v>Appartement</v>
      </c>
      <c r="W29" t="str">
        <v>Appartement</v>
      </c>
      <c r="X29" t="str">
        <v>Appartement &gt;100 m²</v>
      </c>
      <c r="Y29" t="str">
        <v>Ja</v>
      </c>
      <c r="Z29" t="str">
        <v>garage</v>
      </c>
      <c r="AA29" t="str">
        <v>2026</v>
      </c>
      <c r="AB29" t="str">
        <v>Nee</v>
      </c>
      <c r="AC29" t="str">
        <v>NEE</v>
      </c>
      <c r="AD29" t="str">
        <v>JA</v>
      </c>
    </row>
    <row r="30">
      <c r="A30" t="str">
        <v>44423847</v>
      </c>
      <c r="B30" t="str">
        <v>https://www.funda.nl/detail/koop/venray/appartement-korte-drilweg-6-n/44423847/</v>
      </c>
      <c r="C30" t="str">
        <v>Villa Vlakwater</v>
      </c>
      <c r="D30" t="str">
        <v>Korte Drilweg 6-N</v>
      </c>
      <c r="E30" t="str">
        <v>Onbekend</v>
      </c>
      <c r="F30" t="str">
        <v>5801 HP</v>
      </c>
      <c r="G30" t="str">
        <v>Venray</v>
      </c>
      <c r="H30" t="str">
        <v>Venray</v>
      </c>
      <c r="I30" t="str">
        <v>Limburg</v>
      </c>
      <c r="J30" t="str">
        <v>Zuid-Nederland</v>
      </c>
      <c r="K30" t="str">
        <v>Te koop</v>
      </c>
      <c r="L30" t="str">
        <v>Onbekend</v>
      </c>
      <c r="M30" t="str">
        <v>Onbekend</v>
      </c>
      <c r="N30">
        <v>755000</v>
      </c>
      <c r="O30" t="str">
        <v>v.o.n.</v>
      </c>
      <c r="P30">
        <v>122</v>
      </c>
      <c r="Q30">
        <v>6189</v>
      </c>
      <c r="R30" t="str">
        <v>Onbekend</v>
      </c>
      <c r="S30" t="str">
        <v>A+++</v>
      </c>
      <c r="T30">
        <v>4</v>
      </c>
      <c r="U30">
        <v>2</v>
      </c>
      <c r="V30" t="str">
        <v>Appartement</v>
      </c>
      <c r="W30" t="str">
        <v>Appartement</v>
      </c>
      <c r="X30" t="str">
        <v>Appartement &gt;100 m²</v>
      </c>
      <c r="Y30" t="str">
        <v>Ja</v>
      </c>
      <c r="Z30" t="str">
        <v>garage</v>
      </c>
      <c r="AA30" t="str">
        <v>2026</v>
      </c>
      <c r="AB30" t="str">
        <v>Nee</v>
      </c>
      <c r="AC30" t="str">
        <v>NEE</v>
      </c>
      <c r="AD30" t="str">
        <v>JA</v>
      </c>
    </row>
    <row r="31">
      <c r="A31" t="str">
        <v>44423846</v>
      </c>
      <c r="B31" t="str">
        <v>https://www.funda.nl/detail/koop/venray/appartement-korte-drilweg-6-e/44423846/</v>
      </c>
      <c r="C31" t="str">
        <v>Villa Vlakwater</v>
      </c>
      <c r="D31" t="str">
        <v>Korte Drilweg 6-E</v>
      </c>
      <c r="E31" t="str">
        <v>Onbekend</v>
      </c>
      <c r="F31" t="str">
        <v>5801 HP</v>
      </c>
      <c r="G31" t="str">
        <v>Venray</v>
      </c>
      <c r="H31" t="str">
        <v>Venray</v>
      </c>
      <c r="I31" t="str">
        <v>Limburg</v>
      </c>
      <c r="J31" t="str">
        <v>Zuid-Nederland</v>
      </c>
      <c r="K31" t="str">
        <v>Te koop</v>
      </c>
      <c r="L31" t="str">
        <v>Onbekend</v>
      </c>
      <c r="M31" t="str">
        <v>Onbekend</v>
      </c>
      <c r="N31">
        <v>825000</v>
      </c>
      <c r="O31" t="str">
        <v>v.o.n.</v>
      </c>
      <c r="P31">
        <v>134</v>
      </c>
      <c r="Q31">
        <v>6157</v>
      </c>
      <c r="R31" t="str">
        <v>Onbekend</v>
      </c>
      <c r="S31" t="str">
        <v>A+++</v>
      </c>
      <c r="T31">
        <v>4</v>
      </c>
      <c r="U31">
        <v>2</v>
      </c>
      <c r="V31" t="str">
        <v>Appartement</v>
      </c>
      <c r="W31" t="str">
        <v>Appartement</v>
      </c>
      <c r="X31" t="str">
        <v>Appartement &gt;100 m²</v>
      </c>
      <c r="Y31" t="str">
        <v>Ja</v>
      </c>
      <c r="Z31" t="str">
        <v>garage</v>
      </c>
      <c r="AA31" t="str">
        <v>2026</v>
      </c>
      <c r="AB31" t="str">
        <v>Nee</v>
      </c>
      <c r="AC31" t="str">
        <v>NEE</v>
      </c>
      <c r="AD31" t="str">
        <v>JA</v>
      </c>
    </row>
    <row r="32">
      <c r="A32" t="str">
        <v>44423844</v>
      </c>
      <c r="B32" t="str">
        <v>https://www.funda.nl/detail/koop/venray/appartement-korte-drilweg-6-f/44423844/</v>
      </c>
      <c r="C32" t="str">
        <v>Villa Vlakwater</v>
      </c>
      <c r="D32" t="str">
        <v>Korte Drilweg 6-F</v>
      </c>
      <c r="E32" t="str">
        <v>Onbekend</v>
      </c>
      <c r="F32" t="str">
        <v>5801 HP</v>
      </c>
      <c r="G32" t="str">
        <v>Venray</v>
      </c>
      <c r="H32" t="str">
        <v>Venray</v>
      </c>
      <c r="I32" t="str">
        <v>Limburg</v>
      </c>
      <c r="J32" t="str">
        <v>Zuid-Nederland</v>
      </c>
      <c r="K32" t="str">
        <v>Te koop</v>
      </c>
      <c r="L32" t="str">
        <v>Onbekend</v>
      </c>
      <c r="M32" t="str">
        <v>Onbekend</v>
      </c>
      <c r="N32">
        <v>855000</v>
      </c>
      <c r="O32" t="str">
        <v>v.o.n.</v>
      </c>
      <c r="P32">
        <v>140</v>
      </c>
      <c r="Q32">
        <v>6107</v>
      </c>
      <c r="R32" t="str">
        <v>Onbekend</v>
      </c>
      <c r="S32" t="str">
        <v>A+++</v>
      </c>
      <c r="T32">
        <v>4</v>
      </c>
      <c r="U32">
        <v>2</v>
      </c>
      <c r="V32" t="str">
        <v>Appartement</v>
      </c>
      <c r="W32" t="str">
        <v>Appartement</v>
      </c>
      <c r="X32" t="str">
        <v>Appartement &gt;100 m²</v>
      </c>
      <c r="Y32" t="str">
        <v>Ja</v>
      </c>
      <c r="Z32" t="str">
        <v>garage</v>
      </c>
      <c r="AA32" t="str">
        <v>2026</v>
      </c>
      <c r="AB32" t="str">
        <v>Nee</v>
      </c>
      <c r="AC32" t="str">
        <v>NEE</v>
      </c>
      <c r="AD32" t="str">
        <v>JA</v>
      </c>
    </row>
    <row r="33">
      <c r="A33" t="str">
        <v>44423843</v>
      </c>
      <c r="B33" t="str">
        <v>https://www.funda.nl/detail/koop/venray/appartement-korte-drilweg-6-g/44423843/</v>
      </c>
      <c r="C33" t="str">
        <v>Villa Vlakwater</v>
      </c>
      <c r="D33" t="str">
        <v>Korte Drilweg 6-G</v>
      </c>
      <c r="E33" t="str">
        <v>Onbekend</v>
      </c>
      <c r="F33" t="str">
        <v>5801 HP</v>
      </c>
      <c r="G33" t="str">
        <v>Venray</v>
      </c>
      <c r="H33" t="str">
        <v>Venray</v>
      </c>
      <c r="I33" t="str">
        <v>Limburg</v>
      </c>
      <c r="J33" t="str">
        <v>Zuid-Nederland</v>
      </c>
      <c r="K33" t="str">
        <v>Te koop</v>
      </c>
      <c r="L33" t="str">
        <v>Onbekend</v>
      </c>
      <c r="M33" t="str">
        <v>Onbekend</v>
      </c>
      <c r="N33">
        <v>960000</v>
      </c>
      <c r="O33" t="str">
        <v>v.o.n.</v>
      </c>
      <c r="P33">
        <v>157</v>
      </c>
      <c r="Q33">
        <v>6115</v>
      </c>
      <c r="R33" t="str">
        <v>Onbekend</v>
      </c>
      <c r="S33" t="str">
        <v>A+++</v>
      </c>
      <c r="T33">
        <v>4</v>
      </c>
      <c r="U33">
        <v>2</v>
      </c>
      <c r="V33" t="str">
        <v>Appartement</v>
      </c>
      <c r="W33" t="str">
        <v>Appartement</v>
      </c>
      <c r="X33" t="str">
        <v>Appartement &gt;100 m²</v>
      </c>
      <c r="Y33" t="str">
        <v>Ja</v>
      </c>
      <c r="Z33" t="str">
        <v>garage</v>
      </c>
      <c r="AA33" t="str">
        <v>2026</v>
      </c>
      <c r="AB33" t="str">
        <v>Nee</v>
      </c>
      <c r="AC33" t="str">
        <v>NEE</v>
      </c>
      <c r="AD33" t="str">
        <v>JA</v>
      </c>
    </row>
    <row r="34">
      <c r="A34" t="str">
        <v>44423831</v>
      </c>
      <c r="B34" t="str">
        <v>https://www.funda.nl/detail/koop/venray/appartement-korte-drilweg-6-d/44423831/</v>
      </c>
      <c r="C34" t="str">
        <v>Villa Vlakwater</v>
      </c>
      <c r="D34" t="str">
        <v>Korte Drilweg 6-D</v>
      </c>
      <c r="E34" t="str">
        <v>Onbekend</v>
      </c>
      <c r="F34" t="str">
        <v>5801 HP</v>
      </c>
      <c r="G34" t="str">
        <v>Venray</v>
      </c>
      <c r="H34" t="str">
        <v>Venray</v>
      </c>
      <c r="I34" t="str">
        <v>Limburg</v>
      </c>
      <c r="J34" t="str">
        <v>Zuid-Nederland</v>
      </c>
      <c r="K34" t="str">
        <v>Te koop</v>
      </c>
      <c r="L34" t="str">
        <v>Onbekend</v>
      </c>
      <c r="M34" t="str">
        <v>Onbekend</v>
      </c>
      <c r="N34">
        <v>870000</v>
      </c>
      <c r="O34" t="str">
        <v>v.o.n.</v>
      </c>
      <c r="P34">
        <v>142</v>
      </c>
      <c r="Q34">
        <v>6127</v>
      </c>
      <c r="R34" t="str">
        <v>Onbekend</v>
      </c>
      <c r="S34" t="str">
        <v>A+++</v>
      </c>
      <c r="T34">
        <v>4</v>
      </c>
      <c r="U34">
        <v>2</v>
      </c>
      <c r="V34" t="str">
        <v>Appartement</v>
      </c>
      <c r="W34" t="str">
        <v>Appartement</v>
      </c>
      <c r="X34" t="str">
        <v>Appartement &gt;100 m²</v>
      </c>
      <c r="Y34" t="str">
        <v>Ja</v>
      </c>
      <c r="Z34" t="str">
        <v>garage</v>
      </c>
      <c r="AA34" t="str">
        <v>2026</v>
      </c>
      <c r="AB34" t="str">
        <v>Nee</v>
      </c>
      <c r="AC34" t="str">
        <v>NEE</v>
      </c>
      <c r="AD34" t="str">
        <v>JA</v>
      </c>
    </row>
  </sheetData>
  <autoFilter ref="A22:AD34"/>
  <ignoredErrors>
    <ignoredError numberStoredAsText="1" sqref="A1:AD34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Vlaardingen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875052</v>
      </c>
    </row>
    <row r="9">
      <c r="A9" t="str">
        <v>Mediaan VON-prijs (€)</v>
      </c>
      <c r="B9">
        <v>875052</v>
      </c>
    </row>
    <row r="10">
      <c r="A10" t="str">
        <v>Gemiddelde VON-prijs per m² (€)</v>
      </c>
      <c r="B10">
        <v>5209</v>
      </c>
    </row>
    <row r="11">
      <c r="A11" t="str">
        <v>Mediaan VON-prijs per m² (€)</v>
      </c>
      <c r="B11">
        <v>5209</v>
      </c>
    </row>
    <row r="12">
      <c r="A12" t="str">
        <v>Gemiddelde GBO (m²)</v>
      </c>
      <c r="B12">
        <v>168</v>
      </c>
    </row>
    <row r="13">
      <c r="A13" t="str">
        <v>Gemiddelde looptijd (dagen)</v>
      </c>
      <c r="B13">
        <v>0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2-onder-1-kapwoning</v>
      </c>
      <c r="B17">
        <v>1</v>
      </c>
    </row>
    <row r="19">
      <c r="A19" t="str">
        <v>Uitsplitsing appartementcategorieen</v>
      </c>
      <c r="B19" t="str">
        <v>Aantal</v>
      </c>
    </row>
    <row r="21">
      <c r="A21" t="str">
        <v>Alle woningen in Vlaardingen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44420251</v>
      </c>
      <c r="B23" t="str">
        <v>https://www.funda.nl/detail/koop/vlaardingen/huis-excellent-bouwnr-317/44420251/</v>
      </c>
      <c r="C23" t="str">
        <v>Park Vijfsluizen fase E</v>
      </c>
      <c r="D23" t="str">
        <v>Excellent</v>
      </c>
      <c r="E23" t="str">
        <v>317</v>
      </c>
      <c r="F23" t="str">
        <v>3135 BT</v>
      </c>
      <c r="G23" t="str">
        <v>Vlaardingen</v>
      </c>
      <c r="H23" t="str">
        <v>Vlaardingen</v>
      </c>
      <c r="I23" t="str">
        <v>Zuid-Holland</v>
      </c>
      <c r="J23" t="str">
        <v>West-Nederland</v>
      </c>
      <c r="K23" t="str">
        <v>Te koop</v>
      </c>
      <c r="L23" t="str">
        <v>Onbekend</v>
      </c>
      <c r="M23" t="str">
        <v>Onbekend</v>
      </c>
      <c r="N23">
        <v>875052</v>
      </c>
      <c r="O23" t="str">
        <v>v.o.n.</v>
      </c>
      <c r="P23">
        <v>168</v>
      </c>
      <c r="Q23">
        <v>5209</v>
      </c>
      <c r="R23" t="str">
        <v>Onbekend</v>
      </c>
      <c r="S23" t="str">
        <v>Niet beschikbaar</v>
      </c>
      <c r="T23">
        <v>5</v>
      </c>
      <c r="U23">
        <v>3</v>
      </c>
      <c r="V23" t="str">
        <v>Grondgebonden</v>
      </c>
      <c r="W23" t="str">
        <v>2-onder-1-kapwoning</v>
      </c>
      <c r="X23" t="str">
        <v>N.v.t.</v>
      </c>
      <c r="Y23" t="str">
        <v>Ja</v>
      </c>
      <c r="Z23" t="str">
        <v>eigen parkeerplaats</v>
      </c>
      <c r="AA23" t="str">
        <v>2025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Voorne aan Zee</v>
      </c>
    </row>
    <row r="3">
      <c r="A3" t="str">
        <v>Samenvatting</v>
      </c>
    </row>
    <row r="4">
      <c r="A4" t="str">
        <v>Aantal woningen</v>
      </c>
      <c r="B4">
        <v>25</v>
      </c>
    </row>
    <row r="5">
      <c r="A5" t="str">
        <v>Aantal te koop</v>
      </c>
      <c r="B5">
        <v>25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617500</v>
      </c>
    </row>
    <row r="9">
      <c r="A9" t="str">
        <v>Mediaan VON-prijs (€)</v>
      </c>
      <c r="B9">
        <v>577500</v>
      </c>
    </row>
    <row r="10">
      <c r="A10" t="str">
        <v>Gemiddelde VON-prijs per m² (€)</v>
      </c>
      <c r="B10">
        <v>4398</v>
      </c>
    </row>
    <row r="11">
      <c r="A11" t="str">
        <v>Mediaan VON-prijs per m² (€)</v>
      </c>
      <c r="B11">
        <v>4163</v>
      </c>
    </row>
    <row r="12">
      <c r="A12" t="str">
        <v>Gemiddelde GBO (m²)</v>
      </c>
      <c r="B12">
        <v>140</v>
      </c>
    </row>
    <row r="13">
      <c r="A13" t="str">
        <v>Gemiddelde looptijd (dagen)</v>
      </c>
      <c r="B13">
        <v>5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2-onder-1-kapwoning</v>
      </c>
      <c r="B17">
        <v>6</v>
      </c>
    </row>
    <row r="18">
      <c r="A18" t="str">
        <v>Hoekwoning</v>
      </c>
      <c r="B18">
        <v>8</v>
      </c>
    </row>
    <row r="19">
      <c r="A19" t="str">
        <v>Tussenwoning</v>
      </c>
      <c r="B19">
        <v>11</v>
      </c>
    </row>
    <row r="21">
      <c r="A21" t="str">
        <v>Uitsplitsing appartementcategorieen</v>
      </c>
      <c r="B21" t="str">
        <v>Aantal</v>
      </c>
    </row>
    <row r="23">
      <c r="A23" t="str">
        <v>Alle woningen in Voorne aan Zee</v>
      </c>
    </row>
    <row r="24">
      <c r="A24" t="str">
        <v>Funda ID</v>
      </c>
      <c r="B24" t="str">
        <v>Funda URL</v>
      </c>
      <c r="C24" t="str">
        <v>Projectnaam</v>
      </c>
      <c r="D24" t="str">
        <v>Adres</v>
      </c>
      <c r="E24" t="str">
        <v>Bouwnummer</v>
      </c>
      <c r="F24" t="str">
        <v>Postcode</v>
      </c>
      <c r="G24" t="str">
        <v>Plaats</v>
      </c>
      <c r="H24" t="str">
        <v>Gemeente</v>
      </c>
      <c r="I24" t="str">
        <v>Provincie</v>
      </c>
      <c r="J24" t="str">
        <v>Regio</v>
      </c>
      <c r="K24" t="str">
        <v>Status</v>
      </c>
      <c r="L24" t="str">
        <v>Datum plaatsing</v>
      </c>
      <c r="M24" t="str">
        <v>Looptijd (dagen)</v>
      </c>
      <c r="N24" t="str">
        <v>Vraagprijs (€)</v>
      </c>
      <c r="O24" t="str">
        <v>Kostenlabel</v>
      </c>
      <c r="P24" t="str">
        <v>GBO (m²)</v>
      </c>
      <c r="Q24" t="str">
        <v>VON-prijs per m² (€)</v>
      </c>
      <c r="R24" t="str">
        <v>Perceeloppervlakte (m²)</v>
      </c>
      <c r="S24" t="str">
        <v>Energielabel</v>
      </c>
      <c r="T24" t="str">
        <v>Aantal kamers</v>
      </c>
      <c r="U24" t="str">
        <v>Aantal slaapkamers</v>
      </c>
      <c r="V24" t="str">
        <v>Woningcategorie</v>
      </c>
      <c r="W24" t="str">
        <v>Woningtype</v>
      </c>
      <c r="X24" t="str">
        <v>Appartement categorie</v>
      </c>
      <c r="Y24" t="str">
        <v>Parkeerplaats</v>
      </c>
      <c r="Z24" t="str">
        <v>Type parkeerplaats</v>
      </c>
      <c r="AA24" t="str">
        <v>Bouwjaar</v>
      </c>
      <c r="AB24" t="str">
        <v>Prijs op aanvraag</v>
      </c>
      <c r="AC24" t="str">
        <v>Outlier flag</v>
      </c>
      <c r="AD24" t="str">
        <v>GemeenteOK</v>
      </c>
    </row>
    <row r="25">
      <c r="A25" t="str">
        <v>44422630</v>
      </c>
      <c r="B25" t="str">
        <v>https://www.funda.nl/detail/koop/brielle/huis-buitenplaats-brielle-fase-1b-bouwnummer-2-bouwnr-227/44422630/</v>
      </c>
      <c r="C25" t="str">
        <v>Buitenplaats Brielle fase 1B</v>
      </c>
      <c r="D25" t="str">
        <v>Buitenplaats Brielle fase 1B - Bouwnummer 2</v>
      </c>
      <c r="E25" t="str">
        <v>227</v>
      </c>
      <c r="F25" t="str">
        <v>3232 GA</v>
      </c>
      <c r="G25" t="str">
        <v>Brielle</v>
      </c>
      <c r="H25" t="str">
        <v>Voorne aan Zee</v>
      </c>
      <c r="I25" t="str">
        <v>Zuid-Holland</v>
      </c>
      <c r="J25" t="str">
        <v>West-Nederland</v>
      </c>
      <c r="K25" t="str">
        <v>Te koop</v>
      </c>
      <c r="L25" t="str">
        <v>Onbekend</v>
      </c>
      <c r="M25" t="str">
        <v>Onbekend</v>
      </c>
      <c r="N25">
        <v>549500</v>
      </c>
      <c r="O25" t="str">
        <v>v.o.n.</v>
      </c>
      <c r="P25">
        <v>132</v>
      </c>
      <c r="Q25">
        <v>4163</v>
      </c>
      <c r="R25" t="str">
        <v>Onbekend</v>
      </c>
      <c r="S25" t="str">
        <v>A++++</v>
      </c>
      <c r="T25">
        <v>5</v>
      </c>
      <c r="U25">
        <v>3</v>
      </c>
      <c r="V25" t="str">
        <v>Grondgebonden</v>
      </c>
      <c r="W25" t="str">
        <v>Tussenwoning</v>
      </c>
      <c r="X25" t="str">
        <v>N.v.t.</v>
      </c>
      <c r="Y25" t="str">
        <v>Ja</v>
      </c>
      <c r="Z25" t="str">
        <v>openbare parkeerplaats</v>
      </c>
      <c r="AA25" t="str">
        <v>Na 2020</v>
      </c>
      <c r="AB25" t="str">
        <v>Nee</v>
      </c>
      <c r="AC25" t="str">
        <v>NEE</v>
      </c>
      <c r="AD25" t="str">
        <v>JA</v>
      </c>
    </row>
    <row r="26">
      <c r="A26" t="str">
        <v>44422639</v>
      </c>
      <c r="B26" t="str">
        <v>https://www.funda.nl/detail/koop/brielle/huis-buitenplaats-brielle-fase-1b-bouwnummer-2-bouwnr-228/44422639/</v>
      </c>
      <c r="C26" t="str">
        <v>Buitenplaats Brielle fase 1B</v>
      </c>
      <c r="D26" t="str">
        <v>Buitenplaats Brielle fase 1B - Bouwnummer 2</v>
      </c>
      <c r="E26" t="str">
        <v>228</v>
      </c>
      <c r="F26" t="str">
        <v>3232 GA</v>
      </c>
      <c r="G26" t="str">
        <v>Brielle</v>
      </c>
      <c r="H26" t="str">
        <v>Voorne aan Zee</v>
      </c>
      <c r="I26" t="str">
        <v>Zuid-Holland</v>
      </c>
      <c r="J26" t="str">
        <v>West-Nederland</v>
      </c>
      <c r="K26" t="str">
        <v>Te koop</v>
      </c>
      <c r="L26" t="str">
        <v>Onbekend</v>
      </c>
      <c r="M26" t="str">
        <v>Onbekend</v>
      </c>
      <c r="N26">
        <v>521500</v>
      </c>
      <c r="O26" t="str">
        <v>v.o.n.</v>
      </c>
      <c r="P26">
        <v>128</v>
      </c>
      <c r="Q26">
        <v>4074</v>
      </c>
      <c r="R26" t="str">
        <v>Onbekend</v>
      </c>
      <c r="S26" t="str">
        <v>A++++</v>
      </c>
      <c r="T26">
        <v>5</v>
      </c>
      <c r="U26">
        <v>3</v>
      </c>
      <c r="V26" t="str">
        <v>Grondgebonden</v>
      </c>
      <c r="W26" t="str">
        <v>Tussenwoning</v>
      </c>
      <c r="X26" t="str">
        <v>N.v.t.</v>
      </c>
      <c r="Y26" t="str">
        <v>Ja</v>
      </c>
      <c r="Z26" t="str">
        <v>openbare parkeerplaats</v>
      </c>
      <c r="AA26" t="str">
        <v>Na 2020</v>
      </c>
      <c r="AB26" t="str">
        <v>Nee</v>
      </c>
      <c r="AC26" t="str">
        <v>NEE</v>
      </c>
      <c r="AD26" t="str">
        <v>JA</v>
      </c>
    </row>
    <row r="27">
      <c r="A27" t="str">
        <v>44422638</v>
      </c>
      <c r="B27" t="str">
        <v>https://www.funda.nl/detail/koop/brielle/huis-buitenplaats-brielle-fase-1b-bouwnummer-0-bouwnr-067/44422638/</v>
      </c>
      <c r="C27" t="str">
        <v>Buitenplaats Brielle fase 1B</v>
      </c>
      <c r="D27" t="str">
        <v>Buitenplaats Brielle fase 1B - Bouwnummer 0</v>
      </c>
      <c r="E27" t="str">
        <v>067</v>
      </c>
      <c r="F27" t="str">
        <v>3232 GA</v>
      </c>
      <c r="G27" t="str">
        <v>Brielle</v>
      </c>
      <c r="H27" t="str">
        <v>Voorne aan Zee</v>
      </c>
      <c r="I27" t="str">
        <v>Zuid-Holland</v>
      </c>
      <c r="J27" t="str">
        <v>West-Nederland</v>
      </c>
      <c r="K27" t="str">
        <v>Te koop</v>
      </c>
      <c r="L27" t="str">
        <v>Onbekend</v>
      </c>
      <c r="M27" t="str">
        <v>Onbekend</v>
      </c>
      <c r="N27">
        <v>524000</v>
      </c>
      <c r="O27" t="str">
        <v>v.o.n.</v>
      </c>
      <c r="P27">
        <v>128</v>
      </c>
      <c r="Q27">
        <v>4094</v>
      </c>
      <c r="R27" t="str">
        <v>Onbekend</v>
      </c>
      <c r="S27" t="str">
        <v>A++++</v>
      </c>
      <c r="T27">
        <v>5</v>
      </c>
      <c r="U27">
        <v>3</v>
      </c>
      <c r="V27" t="str">
        <v>Grondgebonden</v>
      </c>
      <c r="W27" t="str">
        <v>Tussenwoning</v>
      </c>
      <c r="X27" t="str">
        <v>N.v.t.</v>
      </c>
      <c r="Y27" t="str">
        <v>Ja</v>
      </c>
      <c r="Z27" t="str">
        <v>openbare parkeerplaats</v>
      </c>
      <c r="AA27" t="str">
        <v>Na 2020</v>
      </c>
      <c r="AB27" t="str">
        <v>Nee</v>
      </c>
      <c r="AC27" t="str">
        <v>NEE</v>
      </c>
      <c r="AD27" t="str">
        <v>JA</v>
      </c>
    </row>
    <row r="28">
      <c r="A28" t="str">
        <v>44422637</v>
      </c>
      <c r="B28" t="str">
        <v>https://www.funda.nl/detail/koop/brielle/huis-buitenplaats-brielle-fase-1b-bouwnummer-0-bouwnr-071/44422637/</v>
      </c>
      <c r="C28" t="str">
        <v>Buitenplaats Brielle fase 1B</v>
      </c>
      <c r="D28" t="str">
        <v>Buitenplaats Brielle fase 1B - Bouwnummer 0</v>
      </c>
      <c r="E28" t="str">
        <v>071</v>
      </c>
      <c r="F28" t="str">
        <v>3232 GA</v>
      </c>
      <c r="G28" t="str">
        <v>Brielle</v>
      </c>
      <c r="H28" t="str">
        <v>Voorne aan Zee</v>
      </c>
      <c r="I28" t="str">
        <v>Zuid-Holland</v>
      </c>
      <c r="J28" t="str">
        <v>West-Nederland</v>
      </c>
      <c r="K28" t="str">
        <v>Te koop</v>
      </c>
      <c r="L28" t="str">
        <v>Onbekend</v>
      </c>
      <c r="M28" t="str">
        <v>Onbekend</v>
      </c>
      <c r="N28">
        <v>529000</v>
      </c>
      <c r="O28" t="str">
        <v>v.o.n.</v>
      </c>
      <c r="P28">
        <v>130</v>
      </c>
      <c r="Q28">
        <v>4069</v>
      </c>
      <c r="R28" t="str">
        <v>Onbekend</v>
      </c>
      <c r="S28" t="str">
        <v>A++++</v>
      </c>
      <c r="T28">
        <v>5</v>
      </c>
      <c r="U28">
        <v>3</v>
      </c>
      <c r="V28" t="str">
        <v>Grondgebonden</v>
      </c>
      <c r="W28" t="str">
        <v>Tussenwoning</v>
      </c>
      <c r="X28" t="str">
        <v>N.v.t.</v>
      </c>
      <c r="Y28" t="str">
        <v>Ja</v>
      </c>
      <c r="Z28" t="str">
        <v>openbare parkeerplaats</v>
      </c>
      <c r="AA28" t="str">
        <v>Na 2020</v>
      </c>
      <c r="AB28" t="str">
        <v>Nee</v>
      </c>
      <c r="AC28" t="str">
        <v>NEE</v>
      </c>
      <c r="AD28" t="str">
        <v>JA</v>
      </c>
    </row>
    <row r="29">
      <c r="A29" t="str">
        <v>44422636</v>
      </c>
      <c r="B29" t="str">
        <v>https://www.funda.nl/detail/koop/brielle/huis-buitenplaats-brielle-fase-1b-bouwnummer-0-bouwnr-072/44422636/</v>
      </c>
      <c r="C29" t="str">
        <v>Buitenplaats Brielle fase 1B</v>
      </c>
      <c r="D29" t="str">
        <v>Buitenplaats Brielle fase 1B - Bouwnummer 0</v>
      </c>
      <c r="E29" t="str">
        <v>072</v>
      </c>
      <c r="F29" t="str">
        <v>3232 GA</v>
      </c>
      <c r="G29" t="str">
        <v>Brielle</v>
      </c>
      <c r="H29" t="str">
        <v>Voorne aan Zee</v>
      </c>
      <c r="I29" t="str">
        <v>Zuid-Holland</v>
      </c>
      <c r="J29" t="str">
        <v>West-Nederland</v>
      </c>
      <c r="K29" t="str">
        <v>Te koop</v>
      </c>
      <c r="L29" t="str">
        <v>Onbekend</v>
      </c>
      <c r="M29" t="str">
        <v>Onbekend</v>
      </c>
      <c r="N29">
        <v>555000</v>
      </c>
      <c r="O29" t="str">
        <v>v.o.n.</v>
      </c>
      <c r="P29">
        <v>128</v>
      </c>
      <c r="Q29">
        <v>4336</v>
      </c>
      <c r="R29" t="str">
        <v>Onbekend</v>
      </c>
      <c r="S29" t="str">
        <v>A++++</v>
      </c>
      <c r="T29">
        <v>5</v>
      </c>
      <c r="U29">
        <v>3</v>
      </c>
      <c r="V29" t="str">
        <v>Grondgebonden</v>
      </c>
      <c r="W29" t="str">
        <v>Hoekwoning</v>
      </c>
      <c r="X29" t="str">
        <v>N.v.t.</v>
      </c>
      <c r="Y29" t="str">
        <v>Ja</v>
      </c>
      <c r="Z29" t="str">
        <v>openbare parkeerplaats</v>
      </c>
      <c r="AA29" t="str">
        <v>Na 2020</v>
      </c>
      <c r="AB29" t="str">
        <v>Nee</v>
      </c>
      <c r="AC29" t="str">
        <v>NEE</v>
      </c>
      <c r="AD29" t="str">
        <v>JA</v>
      </c>
    </row>
    <row r="30">
      <c r="A30" t="str">
        <v>44422635</v>
      </c>
      <c r="B30" t="str">
        <v>https://www.funda.nl/detail/koop/brielle/huis-buitenplaats-brielle-fase-1b-bouwnummer-0-bouwnr-086/44422635/</v>
      </c>
      <c r="C30" t="str">
        <v>Buitenplaats Brielle fase 1B</v>
      </c>
      <c r="D30" t="str">
        <v>Buitenplaats Brielle fase 1B - Bouwnummer 0</v>
      </c>
      <c r="E30" t="str">
        <v>086</v>
      </c>
      <c r="F30" t="str">
        <v>3232 GA</v>
      </c>
      <c r="G30" t="str">
        <v>Brielle</v>
      </c>
      <c r="H30" t="str">
        <v>Voorne aan Zee</v>
      </c>
      <c r="I30" t="str">
        <v>Zuid-Holland</v>
      </c>
      <c r="J30" t="str">
        <v>West-Nederland</v>
      </c>
      <c r="K30" t="str">
        <v>Te koop</v>
      </c>
      <c r="L30" t="str">
        <v>Onbekend</v>
      </c>
      <c r="M30" t="str">
        <v>Onbekend</v>
      </c>
      <c r="N30">
        <v>577500</v>
      </c>
      <c r="O30" t="str">
        <v>v.o.n.</v>
      </c>
      <c r="P30">
        <v>145</v>
      </c>
      <c r="Q30">
        <v>3983</v>
      </c>
      <c r="R30" t="str">
        <v>Onbekend</v>
      </c>
      <c r="S30" t="str">
        <v>A++++</v>
      </c>
      <c r="T30">
        <v>6</v>
      </c>
      <c r="U30">
        <v>5</v>
      </c>
      <c r="V30" t="str">
        <v>Grondgebonden</v>
      </c>
      <c r="W30" t="str">
        <v>Tussenwoning</v>
      </c>
      <c r="X30" t="str">
        <v>N.v.t.</v>
      </c>
      <c r="Y30" t="str">
        <v>Ja</v>
      </c>
      <c r="Z30" t="str">
        <v>openbare parkeerplaats</v>
      </c>
      <c r="AA30" t="str">
        <v>Na 2020</v>
      </c>
      <c r="AB30" t="str">
        <v>Nee</v>
      </c>
      <c r="AC30" t="str">
        <v>NEE</v>
      </c>
      <c r="AD30" t="str">
        <v>JA</v>
      </c>
    </row>
    <row r="31">
      <c r="A31" t="str">
        <v>44422634</v>
      </c>
      <c r="B31" t="str">
        <v>https://www.funda.nl/detail/koop/brielle/huis-buitenplaats-brielle-fase-1b-bouwnummer-0-bouwnr-087/44422634/</v>
      </c>
      <c r="C31" t="str">
        <v>Buitenplaats Brielle fase 1B</v>
      </c>
      <c r="D31" t="str">
        <v>Buitenplaats Brielle fase 1B - Bouwnummer 0</v>
      </c>
      <c r="E31" t="str">
        <v>087</v>
      </c>
      <c r="F31" t="str">
        <v>3232 GA</v>
      </c>
      <c r="G31" t="str">
        <v>Brielle</v>
      </c>
      <c r="H31" t="str">
        <v>Voorne aan Zee</v>
      </c>
      <c r="I31" t="str">
        <v>Zuid-Holland</v>
      </c>
      <c r="J31" t="str">
        <v>West-Nederland</v>
      </c>
      <c r="K31" t="str">
        <v>Te koop</v>
      </c>
      <c r="L31" t="str">
        <v>Onbekend</v>
      </c>
      <c r="M31" t="str">
        <v>Onbekend</v>
      </c>
      <c r="N31">
        <v>560000</v>
      </c>
      <c r="O31" t="str">
        <v>v.o.n.</v>
      </c>
      <c r="P31">
        <v>141</v>
      </c>
      <c r="Q31">
        <v>3972</v>
      </c>
      <c r="R31" t="str">
        <v>Onbekend</v>
      </c>
      <c r="S31" t="str">
        <v>A++++</v>
      </c>
      <c r="T31">
        <v>5</v>
      </c>
      <c r="U31">
        <v>4</v>
      </c>
      <c r="V31" t="str">
        <v>Grondgebonden</v>
      </c>
      <c r="W31" t="str">
        <v>Tussenwoning</v>
      </c>
      <c r="X31" t="str">
        <v>N.v.t.</v>
      </c>
      <c r="Y31" t="str">
        <v>Ja</v>
      </c>
      <c r="Z31" t="str">
        <v>openbare parkeerplaats</v>
      </c>
      <c r="AA31" t="str">
        <v>Na 2020</v>
      </c>
      <c r="AB31" t="str">
        <v>Nee</v>
      </c>
      <c r="AC31" t="str">
        <v>NEE</v>
      </c>
      <c r="AD31" t="str">
        <v>JA</v>
      </c>
    </row>
    <row r="32">
      <c r="A32" t="str">
        <v>44422633</v>
      </c>
      <c r="B32" t="str">
        <v>https://www.funda.nl/detail/koop/brielle/huis-buitenplaats-brielle-fase-1b-bouwnummer-2-bouwnr-226/44422633/</v>
      </c>
      <c r="C32" t="str">
        <v>Buitenplaats Brielle fase 1B</v>
      </c>
      <c r="D32" t="str">
        <v>Buitenplaats Brielle fase 1B - Bouwnummer 2</v>
      </c>
      <c r="E32" t="str">
        <v>226</v>
      </c>
      <c r="F32" t="str">
        <v>3232 GA</v>
      </c>
      <c r="G32" t="str">
        <v>Brielle</v>
      </c>
      <c r="H32" t="str">
        <v>Voorne aan Zee</v>
      </c>
      <c r="I32" t="str">
        <v>Zuid-Holland</v>
      </c>
      <c r="J32" t="str">
        <v>West-Nederland</v>
      </c>
      <c r="K32" t="str">
        <v>Te koop</v>
      </c>
      <c r="L32" t="str">
        <v>Onbekend</v>
      </c>
      <c r="M32" t="str">
        <v>Onbekend</v>
      </c>
      <c r="N32">
        <v>559500</v>
      </c>
      <c r="O32" t="str">
        <v>v.o.n.</v>
      </c>
      <c r="P32">
        <v>128</v>
      </c>
      <c r="Q32">
        <v>4371</v>
      </c>
      <c r="R32" t="str">
        <v>Onbekend</v>
      </c>
      <c r="S32" t="str">
        <v>A++++</v>
      </c>
      <c r="T32">
        <v>5</v>
      </c>
      <c r="U32">
        <v>3</v>
      </c>
      <c r="V32" t="str">
        <v>Grondgebonden</v>
      </c>
      <c r="W32" t="str">
        <v>Hoekwoning</v>
      </c>
      <c r="X32" t="str">
        <v>N.v.t.</v>
      </c>
      <c r="Y32" t="str">
        <v>Ja</v>
      </c>
      <c r="Z32" t="str">
        <v>openbare parkeerplaats</v>
      </c>
      <c r="AA32" t="str">
        <v>Na 2020</v>
      </c>
      <c r="AB32" t="str">
        <v>Nee</v>
      </c>
      <c r="AC32" t="str">
        <v>NEE</v>
      </c>
      <c r="AD32" t="str">
        <v>JA</v>
      </c>
    </row>
    <row r="33">
      <c r="A33" t="str">
        <v>44422622</v>
      </c>
      <c r="B33" t="str">
        <v>https://www.funda.nl/detail/koop/brielle/huis-buitenplaats-brielle-fase-1b-bouwnummer-0-bouwnr-069/44422622/</v>
      </c>
      <c r="C33" t="str">
        <v>Buitenplaats Brielle fase 1B</v>
      </c>
      <c r="D33" t="str">
        <v>Buitenplaats Brielle fase 1B - Bouwnummer 0</v>
      </c>
      <c r="E33" t="str">
        <v>069</v>
      </c>
      <c r="F33" t="str">
        <v>3232 GA</v>
      </c>
      <c r="G33" t="str">
        <v>Brielle</v>
      </c>
      <c r="H33" t="str">
        <v>Voorne aan Zee</v>
      </c>
      <c r="I33" t="str">
        <v>Zuid-Holland</v>
      </c>
      <c r="J33" t="str">
        <v>West-Nederland</v>
      </c>
      <c r="K33" t="str">
        <v>Te koop</v>
      </c>
      <c r="L33" t="str">
        <v>Onbekend</v>
      </c>
      <c r="M33" t="str">
        <v>Onbekend</v>
      </c>
      <c r="N33">
        <v>597000</v>
      </c>
      <c r="O33" t="str">
        <v>v.o.n.</v>
      </c>
      <c r="P33">
        <v>134</v>
      </c>
      <c r="Q33">
        <v>4455</v>
      </c>
      <c r="R33" t="str">
        <v>Onbekend</v>
      </c>
      <c r="S33" t="str">
        <v>A++++</v>
      </c>
      <c r="T33">
        <v>5</v>
      </c>
      <c r="U33">
        <v>3</v>
      </c>
      <c r="V33" t="str">
        <v>Grondgebonden</v>
      </c>
      <c r="W33" t="str">
        <v>Hoekwoning</v>
      </c>
      <c r="X33" t="str">
        <v>N.v.t.</v>
      </c>
      <c r="Y33" t="str">
        <v>Ja</v>
      </c>
      <c r="Z33" t="str">
        <v>openbare parkeerplaats</v>
      </c>
      <c r="AA33" t="str">
        <v>Na 2020</v>
      </c>
      <c r="AB33" t="str">
        <v>Nee</v>
      </c>
      <c r="AC33" t="str">
        <v>NEE</v>
      </c>
      <c r="AD33" t="str">
        <v>JA</v>
      </c>
    </row>
    <row r="34">
      <c r="A34" t="str">
        <v>44422621</v>
      </c>
      <c r="B34" t="str">
        <v>https://www.funda.nl/detail/koop/brielle/huis-buitenplaats-brielle-fase-1b-bouwnummer-0-bouwnr-046/44422621/</v>
      </c>
      <c r="C34" t="str">
        <v>Buitenplaats Brielle fase 1B</v>
      </c>
      <c r="D34" t="str">
        <v>Buitenplaats Brielle fase 1B - Bouwnummer 0</v>
      </c>
      <c r="E34" t="str">
        <v>046</v>
      </c>
      <c r="F34" t="str">
        <v>3232 GA</v>
      </c>
      <c r="G34" t="str">
        <v>Brielle</v>
      </c>
      <c r="H34" t="str">
        <v>Voorne aan Zee</v>
      </c>
      <c r="I34" t="str">
        <v>Zuid-Holland</v>
      </c>
      <c r="J34" t="str">
        <v>West-Nederland</v>
      </c>
      <c r="K34" t="str">
        <v>Te koop</v>
      </c>
      <c r="L34" t="str">
        <v>2026-07-08</v>
      </c>
      <c r="M34">
        <v>5</v>
      </c>
      <c r="N34">
        <v>812500</v>
      </c>
      <c r="O34" t="str">
        <v>v.o.n.</v>
      </c>
      <c r="P34">
        <v>158</v>
      </c>
      <c r="Q34">
        <v>5142</v>
      </c>
      <c r="R34" t="str">
        <v>Onbekend</v>
      </c>
      <c r="S34" t="str">
        <v>A++++</v>
      </c>
      <c r="T34">
        <v>5</v>
      </c>
      <c r="U34">
        <v>3</v>
      </c>
      <c r="V34" t="str">
        <v>Grondgebonden</v>
      </c>
      <c r="W34" t="str">
        <v>2-onder-1-kapwoning</v>
      </c>
      <c r="X34" t="str">
        <v>N.v.t.</v>
      </c>
      <c r="Y34" t="str">
        <v>Ja</v>
      </c>
      <c r="Z34" t="str">
        <v>eigen parkeerplaats</v>
      </c>
      <c r="AA34" t="str">
        <v>Na 2020</v>
      </c>
      <c r="AB34" t="str">
        <v>Nee</v>
      </c>
      <c r="AC34" t="str">
        <v>NEE</v>
      </c>
      <c r="AD34" t="str">
        <v>JA</v>
      </c>
    </row>
    <row r="35">
      <c r="A35" t="str">
        <v>44422620</v>
      </c>
      <c r="B35" t="str">
        <v>https://www.funda.nl/detail/koop/brielle/huis-buitenplaats-brielle-fase-1b-bouwnummer-0-bouwnr-088/44422620/</v>
      </c>
      <c r="C35" t="str">
        <v>Buitenplaats Brielle fase 1B</v>
      </c>
      <c r="D35" t="str">
        <v>Buitenplaats Brielle fase 1B - Bouwnummer 0</v>
      </c>
      <c r="E35" t="str">
        <v>088</v>
      </c>
      <c r="F35" t="str">
        <v>3232 GA</v>
      </c>
      <c r="G35" t="str">
        <v>Brielle</v>
      </c>
      <c r="H35" t="str">
        <v>Voorne aan Zee</v>
      </c>
      <c r="I35" t="str">
        <v>Zuid-Holland</v>
      </c>
      <c r="J35" t="str">
        <v>West-Nederland</v>
      </c>
      <c r="K35" t="str">
        <v>Te koop</v>
      </c>
      <c r="L35" t="str">
        <v>Onbekend</v>
      </c>
      <c r="M35" t="str">
        <v>Onbekend</v>
      </c>
      <c r="N35">
        <v>597500</v>
      </c>
      <c r="O35" t="str">
        <v>v.o.n.</v>
      </c>
      <c r="P35">
        <v>145</v>
      </c>
      <c r="Q35">
        <v>4121</v>
      </c>
      <c r="R35" t="str">
        <v>Onbekend</v>
      </c>
      <c r="S35" t="str">
        <v>A++++</v>
      </c>
      <c r="T35">
        <v>6</v>
      </c>
      <c r="U35">
        <v>5</v>
      </c>
      <c r="V35" t="str">
        <v>Grondgebonden</v>
      </c>
      <c r="W35" t="str">
        <v>Hoekwoning</v>
      </c>
      <c r="X35" t="str">
        <v>N.v.t.</v>
      </c>
      <c r="Y35" t="str">
        <v>Ja</v>
      </c>
      <c r="Z35" t="str">
        <v>openbare parkeerplaats</v>
      </c>
      <c r="AA35" t="str">
        <v>Na 2020</v>
      </c>
      <c r="AB35" t="str">
        <v>Nee</v>
      </c>
      <c r="AC35" t="str">
        <v>NEE</v>
      </c>
      <c r="AD35" t="str">
        <v>JA</v>
      </c>
    </row>
    <row r="36">
      <c r="A36" t="str">
        <v>44422629</v>
      </c>
      <c r="B36" t="str">
        <v>https://www.funda.nl/detail/koop/brielle/huis-buitenplaats-brielle-fase-1b-bouwnummer-0-bouwnr-085/44422629/</v>
      </c>
      <c r="C36" t="str">
        <v>Buitenplaats Brielle fase 1B</v>
      </c>
      <c r="D36" t="str">
        <v>Buitenplaats Brielle fase 1B - Bouwnummer 0</v>
      </c>
      <c r="E36" t="str">
        <v>085</v>
      </c>
      <c r="F36" t="str">
        <v>3232 GA</v>
      </c>
      <c r="G36" t="str">
        <v>Brielle</v>
      </c>
      <c r="H36" t="str">
        <v>Voorne aan Zee</v>
      </c>
      <c r="I36" t="str">
        <v>Zuid-Holland</v>
      </c>
      <c r="J36" t="str">
        <v>West-Nederland</v>
      </c>
      <c r="K36" t="str">
        <v>Te koop</v>
      </c>
      <c r="L36" t="str">
        <v>Onbekend</v>
      </c>
      <c r="M36" t="str">
        <v>Onbekend</v>
      </c>
      <c r="N36">
        <v>577500</v>
      </c>
      <c r="O36" t="str">
        <v>v.o.n.</v>
      </c>
      <c r="P36">
        <v>145</v>
      </c>
      <c r="Q36">
        <v>3983</v>
      </c>
      <c r="R36" t="str">
        <v>Onbekend</v>
      </c>
      <c r="S36" t="str">
        <v>A++++</v>
      </c>
      <c r="T36">
        <v>6</v>
      </c>
      <c r="U36">
        <v>5</v>
      </c>
      <c r="V36" t="str">
        <v>Grondgebonden</v>
      </c>
      <c r="W36" t="str">
        <v>Tussenwoning</v>
      </c>
      <c r="X36" t="str">
        <v>N.v.t.</v>
      </c>
      <c r="Y36" t="str">
        <v>Ja</v>
      </c>
      <c r="Z36" t="str">
        <v>openbare parkeerplaats</v>
      </c>
      <c r="AA36" t="str">
        <v>Na 2020</v>
      </c>
      <c r="AB36" t="str">
        <v>Nee</v>
      </c>
      <c r="AC36" t="str">
        <v>NEE</v>
      </c>
      <c r="AD36" t="str">
        <v>JA</v>
      </c>
    </row>
    <row r="37">
      <c r="A37" t="str">
        <v>44422628</v>
      </c>
      <c r="B37" t="str">
        <v>https://www.funda.nl/detail/koop/brielle/huis-buitenplaats-brielle-fase-1b-bouwnummer-0-bouwnr-083/44422628/</v>
      </c>
      <c r="C37" t="str">
        <v>Buitenplaats Brielle fase 1B</v>
      </c>
      <c r="D37" t="str">
        <v>Buitenplaats Brielle fase 1B - Bouwnummer 0</v>
      </c>
      <c r="E37" t="str">
        <v>083</v>
      </c>
      <c r="F37" t="str">
        <v>3232 GA</v>
      </c>
      <c r="G37" t="str">
        <v>Brielle</v>
      </c>
      <c r="H37" t="str">
        <v>Voorne aan Zee</v>
      </c>
      <c r="I37" t="str">
        <v>Zuid-Holland</v>
      </c>
      <c r="J37" t="str">
        <v>West-Nederland</v>
      </c>
      <c r="K37" t="str">
        <v>Te koop</v>
      </c>
      <c r="L37" t="str">
        <v>Onbekend</v>
      </c>
      <c r="M37" t="str">
        <v>Onbekend</v>
      </c>
      <c r="N37">
        <v>577500</v>
      </c>
      <c r="O37" t="str">
        <v>v.o.n.</v>
      </c>
      <c r="P37">
        <v>145</v>
      </c>
      <c r="Q37">
        <v>3983</v>
      </c>
      <c r="R37" t="str">
        <v>Onbekend</v>
      </c>
      <c r="S37" t="str">
        <v>A++++</v>
      </c>
      <c r="T37">
        <v>6</v>
      </c>
      <c r="U37">
        <v>5</v>
      </c>
      <c r="V37" t="str">
        <v>Grondgebonden</v>
      </c>
      <c r="W37" t="str">
        <v>Tussenwoning</v>
      </c>
      <c r="X37" t="str">
        <v>N.v.t.</v>
      </c>
      <c r="Y37" t="str">
        <v>Ja</v>
      </c>
      <c r="Z37" t="str">
        <v>openbare parkeerplaats</v>
      </c>
      <c r="AA37" t="str">
        <v>Na 2020</v>
      </c>
      <c r="AB37" t="str">
        <v>Nee</v>
      </c>
      <c r="AC37" t="str">
        <v>NEE</v>
      </c>
      <c r="AD37" t="str">
        <v>JA</v>
      </c>
    </row>
    <row r="38">
      <c r="A38" t="str">
        <v>44422625</v>
      </c>
      <c r="B38" t="str">
        <v>https://www.funda.nl/detail/koop/brielle/huis-buitenplaats-brielle-fase-1b-bouwnummer-0-bouwnr-082/44422625/</v>
      </c>
      <c r="C38" t="str">
        <v>Buitenplaats Brielle fase 1B</v>
      </c>
      <c r="D38" t="str">
        <v>Buitenplaats Brielle fase 1B - Bouwnummer 0</v>
      </c>
      <c r="E38" t="str">
        <v>082</v>
      </c>
      <c r="F38" t="str">
        <v>3232 GA</v>
      </c>
      <c r="G38" t="str">
        <v>Brielle</v>
      </c>
      <c r="H38" t="str">
        <v>Voorne aan Zee</v>
      </c>
      <c r="I38" t="str">
        <v>Zuid-Holland</v>
      </c>
      <c r="J38" t="str">
        <v>West-Nederland</v>
      </c>
      <c r="K38" t="str">
        <v>Te koop</v>
      </c>
      <c r="L38" t="str">
        <v>Onbekend</v>
      </c>
      <c r="M38" t="str">
        <v>Onbekend</v>
      </c>
      <c r="N38">
        <v>587000</v>
      </c>
      <c r="O38" t="str">
        <v>v.o.n.</v>
      </c>
      <c r="P38">
        <v>141</v>
      </c>
      <c r="Q38">
        <v>4163</v>
      </c>
      <c r="R38" t="str">
        <v>Onbekend</v>
      </c>
      <c r="S38" t="str">
        <v>A++++</v>
      </c>
      <c r="T38">
        <v>5</v>
      </c>
      <c r="U38">
        <v>4</v>
      </c>
      <c r="V38" t="str">
        <v>Grondgebonden</v>
      </c>
      <c r="W38" t="str">
        <v>Hoekwoning</v>
      </c>
      <c r="X38" t="str">
        <v>N.v.t.</v>
      </c>
      <c r="Y38" t="str">
        <v>Ja</v>
      </c>
      <c r="Z38" t="str">
        <v>openbare parkeerplaats</v>
      </c>
      <c r="AA38" t="str">
        <v>Na 2020</v>
      </c>
      <c r="AB38" t="str">
        <v>Nee</v>
      </c>
      <c r="AC38" t="str">
        <v>NEE</v>
      </c>
      <c r="AD38" t="str">
        <v>JA</v>
      </c>
    </row>
    <row r="39">
      <c r="A39" t="str">
        <v>44422624</v>
      </c>
      <c r="B39" t="str">
        <v>https://www.funda.nl/detail/koop/brielle/huis-buitenplaats-brielle-fase-1b-bouwnummer-0-bouwnr-065/44422624/</v>
      </c>
      <c r="C39" t="str">
        <v>Buitenplaats Brielle fase 1B</v>
      </c>
      <c r="D39" t="str">
        <v>Buitenplaats Brielle fase 1B - Bouwnummer 0</v>
      </c>
      <c r="E39" t="str">
        <v>065</v>
      </c>
      <c r="F39" t="str">
        <v>3232 GA</v>
      </c>
      <c r="G39" t="str">
        <v>Brielle</v>
      </c>
      <c r="H39" t="str">
        <v>Voorne aan Zee</v>
      </c>
      <c r="I39" t="str">
        <v>Zuid-Holland</v>
      </c>
      <c r="J39" t="str">
        <v>West-Nederland</v>
      </c>
      <c r="K39" t="str">
        <v>Te koop</v>
      </c>
      <c r="L39" t="str">
        <v>Onbekend</v>
      </c>
      <c r="M39" t="str">
        <v>Onbekend</v>
      </c>
      <c r="N39">
        <v>574000</v>
      </c>
      <c r="O39" t="str">
        <v>v.o.n.</v>
      </c>
      <c r="P39">
        <v>128</v>
      </c>
      <c r="Q39">
        <v>4484</v>
      </c>
      <c r="R39" t="str">
        <v>Onbekend</v>
      </c>
      <c r="S39" t="str">
        <v>A++++</v>
      </c>
      <c r="T39">
        <v>5</v>
      </c>
      <c r="U39">
        <v>3</v>
      </c>
      <c r="V39" t="str">
        <v>Grondgebonden</v>
      </c>
      <c r="W39" t="str">
        <v>Hoekwoning</v>
      </c>
      <c r="X39" t="str">
        <v>N.v.t.</v>
      </c>
      <c r="Y39" t="str">
        <v>Ja</v>
      </c>
      <c r="Z39" t="str">
        <v>openbare parkeerplaats</v>
      </c>
      <c r="AA39" t="str">
        <v>Na 2020</v>
      </c>
      <c r="AB39" t="str">
        <v>Nee</v>
      </c>
      <c r="AC39" t="str">
        <v>NEE</v>
      </c>
      <c r="AD39" t="str">
        <v>JA</v>
      </c>
    </row>
    <row r="40">
      <c r="A40" t="str">
        <v>44422623</v>
      </c>
      <c r="B40" t="str">
        <v>https://www.funda.nl/detail/koop/brielle/huis-buitenplaats-brielle-fase-1b-bouwnummer-2-bouwnr-229/44422623/</v>
      </c>
      <c r="C40" t="str">
        <v>Buitenplaats Brielle fase 1B</v>
      </c>
      <c r="D40" t="str">
        <v>Buitenplaats Brielle fase 1B - Bouwnummer 2</v>
      </c>
      <c r="E40" t="str">
        <v>229</v>
      </c>
      <c r="F40" t="str">
        <v>3232 GA</v>
      </c>
      <c r="G40" t="str">
        <v>Brielle</v>
      </c>
      <c r="H40" t="str">
        <v>Voorne aan Zee</v>
      </c>
      <c r="I40" t="str">
        <v>Zuid-Holland</v>
      </c>
      <c r="J40" t="str">
        <v>West-Nederland</v>
      </c>
      <c r="K40" t="str">
        <v>Te koop</v>
      </c>
      <c r="L40" t="str">
        <v>Onbekend</v>
      </c>
      <c r="M40" t="str">
        <v>Onbekend</v>
      </c>
      <c r="N40">
        <v>554500</v>
      </c>
      <c r="O40" t="str">
        <v>v.o.n.</v>
      </c>
      <c r="P40">
        <v>128</v>
      </c>
      <c r="Q40">
        <v>4332</v>
      </c>
      <c r="R40" t="str">
        <v>Onbekend</v>
      </c>
      <c r="S40" t="str">
        <v>A++++</v>
      </c>
      <c r="T40">
        <v>5</v>
      </c>
      <c r="U40">
        <v>3</v>
      </c>
      <c r="V40" t="str">
        <v>Grondgebonden</v>
      </c>
      <c r="W40" t="str">
        <v>Hoekwoning</v>
      </c>
      <c r="X40" t="str">
        <v>N.v.t.</v>
      </c>
      <c r="Y40" t="str">
        <v>Ja</v>
      </c>
      <c r="Z40" t="str">
        <v>openbare parkeerplaats</v>
      </c>
      <c r="AA40" t="str">
        <v>Na 2020</v>
      </c>
      <c r="AB40" t="str">
        <v>Nee</v>
      </c>
      <c r="AC40" t="str">
        <v>NEE</v>
      </c>
      <c r="AD40" t="str">
        <v>JA</v>
      </c>
    </row>
    <row r="41">
      <c r="A41" t="str">
        <v>44422612</v>
      </c>
      <c r="B41" t="str">
        <v>https://www.funda.nl/detail/koop/brielle/huis-buitenplaats-brielle-fase-1b-bouwnummer-0-bouwnr-070/44422612/</v>
      </c>
      <c r="C41" t="str">
        <v>Buitenplaats Brielle fase 1B</v>
      </c>
      <c r="D41" t="str">
        <v>Buitenplaats Brielle fase 1B - Bouwnummer 0</v>
      </c>
      <c r="E41" t="str">
        <v>070</v>
      </c>
      <c r="F41" t="str">
        <v>3232 GA</v>
      </c>
      <c r="G41" t="str">
        <v>Brielle</v>
      </c>
      <c r="H41" t="str">
        <v>Voorne aan Zee</v>
      </c>
      <c r="I41" t="str">
        <v>Zuid-Holland</v>
      </c>
      <c r="J41" t="str">
        <v>West-Nederland</v>
      </c>
      <c r="K41" t="str">
        <v>Te koop</v>
      </c>
      <c r="L41" t="str">
        <v>Onbekend</v>
      </c>
      <c r="M41" t="str">
        <v>Onbekend</v>
      </c>
      <c r="N41">
        <v>531000</v>
      </c>
      <c r="O41" t="str">
        <v>v.o.n.</v>
      </c>
      <c r="P41">
        <v>130</v>
      </c>
      <c r="Q41">
        <v>4085</v>
      </c>
      <c r="R41" t="str">
        <v>Onbekend</v>
      </c>
      <c r="S41" t="str">
        <v>A++++</v>
      </c>
      <c r="T41">
        <v>5</v>
      </c>
      <c r="U41">
        <v>3</v>
      </c>
      <c r="V41" t="str">
        <v>Grondgebonden</v>
      </c>
      <c r="W41" t="str">
        <v>Tussenwoning</v>
      </c>
      <c r="X41" t="str">
        <v>N.v.t.</v>
      </c>
      <c r="Y41" t="str">
        <v>Ja</v>
      </c>
      <c r="Z41" t="str">
        <v>openbare parkeerplaats</v>
      </c>
      <c r="AA41" t="str">
        <v>Na 2020</v>
      </c>
      <c r="AB41" t="str">
        <v>Nee</v>
      </c>
      <c r="AC41" t="str">
        <v>NEE</v>
      </c>
      <c r="AD41" t="str">
        <v>JA</v>
      </c>
    </row>
    <row r="42">
      <c r="A42" t="str">
        <v>44422611</v>
      </c>
      <c r="B42" t="str">
        <v>https://www.funda.nl/detail/koop/brielle/huis-buitenplaats-brielle-fase-1b-bouwnummer-0-bouwnr-084/44422611/</v>
      </c>
      <c r="C42" t="str">
        <v>Buitenplaats Brielle fase 1B</v>
      </c>
      <c r="D42" t="str">
        <v>Buitenplaats Brielle fase 1B - Bouwnummer 0</v>
      </c>
      <c r="E42" t="str">
        <v>084</v>
      </c>
      <c r="F42" t="str">
        <v>3232 GA</v>
      </c>
      <c r="G42" t="str">
        <v>Brielle</v>
      </c>
      <c r="H42" t="str">
        <v>Voorne aan Zee</v>
      </c>
      <c r="I42" t="str">
        <v>Zuid-Holland</v>
      </c>
      <c r="J42" t="str">
        <v>West-Nederland</v>
      </c>
      <c r="K42" t="str">
        <v>Te koop</v>
      </c>
      <c r="L42" t="str">
        <v>Onbekend</v>
      </c>
      <c r="M42" t="str">
        <v>Onbekend</v>
      </c>
      <c r="N42">
        <v>560000</v>
      </c>
      <c r="O42" t="str">
        <v>v.o.n.</v>
      </c>
      <c r="P42">
        <v>141</v>
      </c>
      <c r="Q42">
        <v>3972</v>
      </c>
      <c r="R42" t="str">
        <v>Onbekend</v>
      </c>
      <c r="S42" t="str">
        <v>A++++</v>
      </c>
      <c r="T42">
        <v>5</v>
      </c>
      <c r="U42">
        <v>4</v>
      </c>
      <c r="V42" t="str">
        <v>Grondgebonden</v>
      </c>
      <c r="W42" t="str">
        <v>Tussenwoning</v>
      </c>
      <c r="X42" t="str">
        <v>N.v.t.</v>
      </c>
      <c r="Y42" t="str">
        <v>Ja</v>
      </c>
      <c r="Z42" t="str">
        <v>openbare parkeerplaats</v>
      </c>
      <c r="AA42" t="str">
        <v>Na 2020</v>
      </c>
      <c r="AB42" t="str">
        <v>Nee</v>
      </c>
      <c r="AC42" t="str">
        <v>NEE</v>
      </c>
      <c r="AD42" t="str">
        <v>JA</v>
      </c>
    </row>
    <row r="43">
      <c r="A43" t="str">
        <v>44422610</v>
      </c>
      <c r="B43" t="str">
        <v>https://www.funda.nl/detail/koop/brielle/huis-buitenplaats-brielle-fase-1b-bouwnummer-0-bouwnr-045/44422610/</v>
      </c>
      <c r="C43" t="str">
        <v>Buitenplaats Brielle fase 1B</v>
      </c>
      <c r="D43" t="str">
        <v>Buitenplaats Brielle fase 1B - Bouwnummer 0</v>
      </c>
      <c r="E43" t="str">
        <v>045</v>
      </c>
      <c r="F43" t="str">
        <v>3232 GA</v>
      </c>
      <c r="G43" t="str">
        <v>Brielle</v>
      </c>
      <c r="H43" t="str">
        <v>Voorne aan Zee</v>
      </c>
      <c r="I43" t="str">
        <v>Zuid-Holland</v>
      </c>
      <c r="J43" t="str">
        <v>West-Nederland</v>
      </c>
      <c r="K43" t="str">
        <v>Te koop</v>
      </c>
      <c r="L43" t="str">
        <v>Onbekend</v>
      </c>
      <c r="M43" t="str">
        <v>Onbekend</v>
      </c>
      <c r="N43">
        <v>770000</v>
      </c>
      <c r="O43" t="str">
        <v>v.o.n.</v>
      </c>
      <c r="P43">
        <v>152</v>
      </c>
      <c r="Q43">
        <v>5066</v>
      </c>
      <c r="R43" t="str">
        <v>Onbekend</v>
      </c>
      <c r="S43" t="str">
        <v>A++++</v>
      </c>
      <c r="T43">
        <v>5</v>
      </c>
      <c r="U43">
        <v>3</v>
      </c>
      <c r="V43" t="str">
        <v>Grondgebonden</v>
      </c>
      <c r="W43" t="str">
        <v>2-onder-1-kapwoning</v>
      </c>
      <c r="X43" t="str">
        <v>N.v.t.</v>
      </c>
      <c r="Y43" t="str">
        <v>Ja</v>
      </c>
      <c r="Z43" t="str">
        <v>eigen parkeerplaats</v>
      </c>
      <c r="AA43" t="str">
        <v>Na 2020</v>
      </c>
      <c r="AB43" t="str">
        <v>Nee</v>
      </c>
      <c r="AC43" t="str">
        <v>NEE</v>
      </c>
      <c r="AD43" t="str">
        <v>JA</v>
      </c>
    </row>
    <row r="44">
      <c r="A44" t="str">
        <v>44422618</v>
      </c>
      <c r="B44" t="str">
        <v>https://www.funda.nl/detail/koop/brielle/huis-buitenplaats-brielle-fase-1b-bouwnummer-0-bouwnr-068/44422618/</v>
      </c>
      <c r="C44" t="str">
        <v>Buitenplaats Brielle fase 1B</v>
      </c>
      <c r="D44" t="str">
        <v>Buitenplaats Brielle fase 1B - Bouwnummer 0</v>
      </c>
      <c r="E44" t="str">
        <v>068</v>
      </c>
      <c r="F44" t="str">
        <v>3232 GA</v>
      </c>
      <c r="G44" t="str">
        <v>Brielle</v>
      </c>
      <c r="H44" t="str">
        <v>Voorne aan Zee</v>
      </c>
      <c r="I44" t="str">
        <v>Zuid-Holland</v>
      </c>
      <c r="J44" t="str">
        <v>West-Nederland</v>
      </c>
      <c r="K44" t="str">
        <v>Te koop</v>
      </c>
      <c r="L44" t="str">
        <v>Onbekend</v>
      </c>
      <c r="M44" t="str">
        <v>Onbekend</v>
      </c>
      <c r="N44">
        <v>599000</v>
      </c>
      <c r="O44" t="str">
        <v>v.o.n.</v>
      </c>
      <c r="P44">
        <v>134</v>
      </c>
      <c r="Q44">
        <v>4470</v>
      </c>
      <c r="R44" t="str">
        <v>Onbekend</v>
      </c>
      <c r="S44" t="str">
        <v>A++++</v>
      </c>
      <c r="T44">
        <v>5</v>
      </c>
      <c r="U44">
        <v>3</v>
      </c>
      <c r="V44" t="str">
        <v>Grondgebonden</v>
      </c>
      <c r="W44" t="str">
        <v>Hoekwoning</v>
      </c>
      <c r="X44" t="str">
        <v>N.v.t.</v>
      </c>
      <c r="Y44" t="str">
        <v>Ja</v>
      </c>
      <c r="Z44" t="str">
        <v>openbare parkeerplaats</v>
      </c>
      <c r="AA44" t="str">
        <v>Na 2020</v>
      </c>
      <c r="AB44" t="str">
        <v>Nee</v>
      </c>
      <c r="AC44" t="str">
        <v>NEE</v>
      </c>
      <c r="AD44" t="str">
        <v>JA</v>
      </c>
    </row>
    <row r="45">
      <c r="A45" t="str">
        <v>44422617</v>
      </c>
      <c r="B45" t="str">
        <v>https://www.funda.nl/detail/koop/brielle/huis-buitenplaats-brielle-fase-1b-bouwnummer-0-bouwnr-066/44422617/</v>
      </c>
      <c r="C45" t="str">
        <v>Buitenplaats Brielle fase 1B</v>
      </c>
      <c r="D45" t="str">
        <v>Buitenplaats Brielle fase 1B - Bouwnummer 0</v>
      </c>
      <c r="E45" t="str">
        <v>066</v>
      </c>
      <c r="F45" t="str">
        <v>3232 GA</v>
      </c>
      <c r="G45" t="str">
        <v>Brielle</v>
      </c>
      <c r="H45" t="str">
        <v>Voorne aan Zee</v>
      </c>
      <c r="I45" t="str">
        <v>Zuid-Holland</v>
      </c>
      <c r="J45" t="str">
        <v>West-Nederland</v>
      </c>
      <c r="K45" t="str">
        <v>Te koop</v>
      </c>
      <c r="L45" t="str">
        <v>Onbekend</v>
      </c>
      <c r="M45" t="str">
        <v>Onbekend</v>
      </c>
      <c r="N45">
        <v>549000</v>
      </c>
      <c r="O45" t="str">
        <v>v.o.n.</v>
      </c>
      <c r="P45">
        <v>132</v>
      </c>
      <c r="Q45">
        <v>4159</v>
      </c>
      <c r="R45" t="str">
        <v>Onbekend</v>
      </c>
      <c r="S45" t="str">
        <v>A++++</v>
      </c>
      <c r="T45">
        <v>5</v>
      </c>
      <c r="U45">
        <v>3</v>
      </c>
      <c r="V45" t="str">
        <v>Grondgebonden</v>
      </c>
      <c r="W45" t="str">
        <v>Tussenwoning</v>
      </c>
      <c r="X45" t="str">
        <v>N.v.t.</v>
      </c>
      <c r="Y45" t="str">
        <v>Ja</v>
      </c>
      <c r="Z45" t="str">
        <v>openbare parkeerplaats</v>
      </c>
      <c r="AA45" t="str">
        <v>Na 2020</v>
      </c>
      <c r="AB45" t="str">
        <v>Nee</v>
      </c>
      <c r="AC45" t="str">
        <v>NEE</v>
      </c>
      <c r="AD45" t="str">
        <v>JA</v>
      </c>
    </row>
    <row r="46">
      <c r="A46" t="str">
        <v>44422616</v>
      </c>
      <c r="B46" t="str">
        <v>https://www.funda.nl/detail/koop/brielle/huis-buitenplaats-brielle-fase-1b-bouwnummer-0-bouwnr-042/44422616/</v>
      </c>
      <c r="C46" t="str">
        <v>Buitenplaats Brielle fase 1B</v>
      </c>
      <c r="D46" t="str">
        <v>Buitenplaats Brielle fase 1B - Bouwnummer 0</v>
      </c>
      <c r="E46" t="str">
        <v>042</v>
      </c>
      <c r="F46" t="str">
        <v>3232 GA</v>
      </c>
      <c r="G46" t="str">
        <v>Brielle</v>
      </c>
      <c r="H46" t="str">
        <v>Voorne aan Zee</v>
      </c>
      <c r="I46" t="str">
        <v>Zuid-Holland</v>
      </c>
      <c r="J46" t="str">
        <v>West-Nederland</v>
      </c>
      <c r="K46" t="str">
        <v>Te koop</v>
      </c>
      <c r="L46" t="str">
        <v>Onbekend</v>
      </c>
      <c r="M46" t="str">
        <v>Onbekend</v>
      </c>
      <c r="N46">
        <v>792500</v>
      </c>
      <c r="O46" t="str">
        <v>v.o.n.</v>
      </c>
      <c r="P46">
        <v>155</v>
      </c>
      <c r="Q46">
        <v>5113</v>
      </c>
      <c r="R46" t="str">
        <v>Onbekend</v>
      </c>
      <c r="S46" t="str">
        <v>A++++</v>
      </c>
      <c r="T46">
        <v>5</v>
      </c>
      <c r="U46">
        <v>3</v>
      </c>
      <c r="V46" t="str">
        <v>Grondgebonden</v>
      </c>
      <c r="W46" t="str">
        <v>2-onder-1-kapwoning</v>
      </c>
      <c r="X46" t="str">
        <v>N.v.t.</v>
      </c>
      <c r="Y46" t="str">
        <v>Ja</v>
      </c>
      <c r="Z46" t="str">
        <v>eigen parkeerplaats</v>
      </c>
      <c r="AA46" t="str">
        <v>Na 2020</v>
      </c>
      <c r="AB46" t="str">
        <v>Nee</v>
      </c>
      <c r="AC46" t="str">
        <v>NEE</v>
      </c>
      <c r="AD46" t="str">
        <v>JA</v>
      </c>
    </row>
    <row r="47">
      <c r="A47" t="str">
        <v>44422615</v>
      </c>
      <c r="B47" t="str">
        <v>https://www.funda.nl/detail/koop/brielle/huis-buitenplaats-brielle-fase-1b-bouwnummer-0-bouwnr-041/44422615/</v>
      </c>
      <c r="C47" t="str">
        <v>Buitenplaats Brielle fase 1B</v>
      </c>
      <c r="D47" t="str">
        <v>Buitenplaats Brielle fase 1B - Bouwnummer 0</v>
      </c>
      <c r="E47" t="str">
        <v>041</v>
      </c>
      <c r="F47" t="str">
        <v>3232 GA</v>
      </c>
      <c r="G47" t="str">
        <v>Brielle</v>
      </c>
      <c r="H47" t="str">
        <v>Voorne aan Zee</v>
      </c>
      <c r="I47" t="str">
        <v>Zuid-Holland</v>
      </c>
      <c r="J47" t="str">
        <v>West-Nederland</v>
      </c>
      <c r="K47" t="str">
        <v>Te koop</v>
      </c>
      <c r="L47" t="str">
        <v>Onbekend</v>
      </c>
      <c r="M47" t="str">
        <v>Onbekend</v>
      </c>
      <c r="N47">
        <v>815000</v>
      </c>
      <c r="O47" t="str">
        <v>v.o.n.</v>
      </c>
      <c r="P47">
        <v>155</v>
      </c>
      <c r="Q47">
        <v>5258</v>
      </c>
      <c r="R47" t="str">
        <v>Onbekend</v>
      </c>
      <c r="S47" t="str">
        <v>A++++</v>
      </c>
      <c r="T47">
        <v>5</v>
      </c>
      <c r="U47">
        <v>3</v>
      </c>
      <c r="V47" t="str">
        <v>Grondgebonden</v>
      </c>
      <c r="W47" t="str">
        <v>2-onder-1-kapwoning</v>
      </c>
      <c r="X47" t="str">
        <v>N.v.t.</v>
      </c>
      <c r="Y47" t="str">
        <v>Ja</v>
      </c>
      <c r="Z47" t="str">
        <v>eigen parkeerplaats</v>
      </c>
      <c r="AA47" t="str">
        <v>Na 2020</v>
      </c>
      <c r="AB47" t="str">
        <v>Nee</v>
      </c>
      <c r="AC47" t="str">
        <v>NEE</v>
      </c>
      <c r="AD47" t="str">
        <v>JA</v>
      </c>
    </row>
    <row r="48">
      <c r="A48" t="str">
        <v>44422614</v>
      </c>
      <c r="B48" t="str">
        <v>https://www.funda.nl/detail/koop/brielle/huis-buitenplaats-brielle-fase-1b-bouwnummer-0-bouwnr-043/44422614/</v>
      </c>
      <c r="C48" t="str">
        <v>Buitenplaats Brielle fase 1B</v>
      </c>
      <c r="D48" t="str">
        <v>Buitenplaats Brielle fase 1B - Bouwnummer 0</v>
      </c>
      <c r="E48" t="str">
        <v>043</v>
      </c>
      <c r="F48" t="str">
        <v>3232 GA</v>
      </c>
      <c r="G48" t="str">
        <v>Brielle</v>
      </c>
      <c r="H48" t="str">
        <v>Voorne aan Zee</v>
      </c>
      <c r="I48" t="str">
        <v>Zuid-Holland</v>
      </c>
      <c r="J48" t="str">
        <v>West-Nederland</v>
      </c>
      <c r="K48" t="str">
        <v>Te koop</v>
      </c>
      <c r="L48" t="str">
        <v>Onbekend</v>
      </c>
      <c r="M48" t="str">
        <v>Onbekend</v>
      </c>
      <c r="N48">
        <v>797500</v>
      </c>
      <c r="O48" t="str">
        <v>v.o.n.</v>
      </c>
      <c r="P48">
        <v>158</v>
      </c>
      <c r="Q48">
        <v>5047</v>
      </c>
      <c r="R48" t="str">
        <v>Onbekend</v>
      </c>
      <c r="S48" t="str">
        <v>A++++</v>
      </c>
      <c r="T48">
        <v>5</v>
      </c>
      <c r="U48">
        <v>3</v>
      </c>
      <c r="V48" t="str">
        <v>Grondgebonden</v>
      </c>
      <c r="W48" t="str">
        <v>2-onder-1-kapwoning</v>
      </c>
      <c r="X48" t="str">
        <v>N.v.t.</v>
      </c>
      <c r="Y48" t="str">
        <v>Ja</v>
      </c>
      <c r="Z48" t="str">
        <v>eigen parkeerplaats</v>
      </c>
      <c r="AA48" t="str">
        <v>Na 2020</v>
      </c>
      <c r="AB48" t="str">
        <v>Nee</v>
      </c>
      <c r="AC48" t="str">
        <v>NEE</v>
      </c>
      <c r="AD48" t="str">
        <v>JA</v>
      </c>
    </row>
    <row r="49">
      <c r="A49" t="str">
        <v>44422613</v>
      </c>
      <c r="B49" t="str">
        <v>https://www.funda.nl/detail/koop/brielle/huis-buitenplaats-brielle-fase-1b-bouwnummer-0-bouwnr-044/44422613/</v>
      </c>
      <c r="C49" t="str">
        <v>Buitenplaats Brielle fase 1B</v>
      </c>
      <c r="D49" t="str">
        <v>Buitenplaats Brielle fase 1B - Bouwnummer 0</v>
      </c>
      <c r="E49" t="str">
        <v>044</v>
      </c>
      <c r="F49" t="str">
        <v>3232 GA</v>
      </c>
      <c r="G49" t="str">
        <v>Brielle</v>
      </c>
      <c r="H49" t="str">
        <v>Voorne aan Zee</v>
      </c>
      <c r="I49" t="str">
        <v>Zuid-Holland</v>
      </c>
      <c r="J49" t="str">
        <v>West-Nederland</v>
      </c>
      <c r="K49" t="str">
        <v>Te koop</v>
      </c>
      <c r="L49" t="str">
        <v>2026-07-08</v>
      </c>
      <c r="M49">
        <v>5</v>
      </c>
      <c r="N49">
        <v>770000</v>
      </c>
      <c r="O49" t="str">
        <v>v.o.n.</v>
      </c>
      <c r="P49">
        <v>152</v>
      </c>
      <c r="Q49">
        <v>5066</v>
      </c>
      <c r="R49" t="str">
        <v>Onbekend</v>
      </c>
      <c r="S49" t="str">
        <v>A++++</v>
      </c>
      <c r="T49">
        <v>5</v>
      </c>
      <c r="U49">
        <v>3</v>
      </c>
      <c r="V49" t="str">
        <v>Grondgebonden</v>
      </c>
      <c r="W49" t="str">
        <v>2-onder-1-kapwoning</v>
      </c>
      <c r="X49" t="str">
        <v>N.v.t.</v>
      </c>
      <c r="Y49" t="str">
        <v>Ja</v>
      </c>
      <c r="Z49" t="str">
        <v>eigen parkeerplaats</v>
      </c>
      <c r="AA49" t="str">
        <v>Na 2020</v>
      </c>
      <c r="AB49" t="str">
        <v>Nee</v>
      </c>
      <c r="AC49" t="str">
        <v>NEE</v>
      </c>
      <c r="AD49" t="str">
        <v>JA</v>
      </c>
    </row>
  </sheetData>
  <autoFilter ref="A24:AD49"/>
  <ignoredErrors>
    <ignoredError numberStoredAsText="1" sqref="A1:AD49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AD90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Waalre</v>
      </c>
    </row>
    <row r="3">
      <c r="A3" t="str">
        <v>Samenvatting</v>
      </c>
    </row>
    <row r="4">
      <c r="A4" t="str">
        <v>Aantal woningen</v>
      </c>
      <c r="B4">
        <v>67</v>
      </c>
    </row>
    <row r="5">
      <c r="A5" t="str">
        <v>Aantal te koop</v>
      </c>
      <c r="B5">
        <v>67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603963</v>
      </c>
    </row>
    <row r="9">
      <c r="A9" t="str">
        <v>Mediaan VON-prijs (€)</v>
      </c>
      <c r="B9">
        <v>347000</v>
      </c>
    </row>
    <row r="10">
      <c r="A10" t="str">
        <v>Gemiddelde VON-prijs per m² (€)</v>
      </c>
      <c r="B10">
        <v>6824</v>
      </c>
    </row>
    <row r="11">
      <c r="A11" t="str">
        <v>Mediaan VON-prijs per m² (€)</v>
      </c>
      <c r="B11">
        <v>6806</v>
      </c>
    </row>
    <row r="12">
      <c r="A12" t="str">
        <v>Gemiddelde GBO (m²)</v>
      </c>
      <c r="B12">
        <v>89</v>
      </c>
    </row>
    <row r="13">
      <c r="A13" t="str">
        <v>Gemiddelde looptijd (dagen)</v>
      </c>
      <c r="B13">
        <v>4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&lt;50 m²</v>
      </c>
      <c r="B19">
        <v>34</v>
      </c>
    </row>
    <row r="20">
      <c r="A20" t="str">
        <v>Appartement &gt;100 m²</v>
      </c>
      <c r="B20">
        <v>33</v>
      </c>
    </row>
    <row r="22">
      <c r="A22" t="str">
        <v>Alle woningen in Waalre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44424942</v>
      </c>
      <c r="B24" t="str">
        <v>https://www.funda.nl/detail/koop/waalre/appartement-b3-02-2kmr-s1-rudolf-brabantia-bouwnr-35/44424942/</v>
      </c>
      <c r="C24" t="str">
        <v>Brabantiapark - Waalre</v>
      </c>
      <c r="D24" t="str">
        <v>B3-02 | 2kmr | S1 | Rudolf | Brabantia</v>
      </c>
      <c r="E24" t="str">
        <v>35</v>
      </c>
      <c r="F24" t="str">
        <v>5583 BP</v>
      </c>
      <c r="G24" t="str">
        <v>Waalre</v>
      </c>
      <c r="H24" t="str">
        <v>Waalre</v>
      </c>
      <c r="I24" t="str">
        <v>Noord-Brabant</v>
      </c>
      <c r="J24" t="str">
        <v>Zuid-Nederland</v>
      </c>
      <c r="K24" t="str">
        <v>Te koop</v>
      </c>
      <c r="L24" t="str">
        <v>Onbekend</v>
      </c>
      <c r="M24" t="str">
        <v>Onbekend</v>
      </c>
      <c r="N24">
        <v>339000</v>
      </c>
      <c r="O24" t="str">
        <v>v.o.n.</v>
      </c>
      <c r="P24">
        <v>49</v>
      </c>
      <c r="Q24">
        <v>6918</v>
      </c>
      <c r="R24" t="str">
        <v>Onbekend</v>
      </c>
      <c r="S24" t="str">
        <v>A++</v>
      </c>
      <c r="T24">
        <v>2</v>
      </c>
      <c r="U24">
        <v>1</v>
      </c>
      <c r="V24" t="str">
        <v>Appartement</v>
      </c>
      <c r="W24" t="str">
        <v>Appartement</v>
      </c>
      <c r="X24" t="str">
        <v>Appartement &lt;50 m²</v>
      </c>
      <c r="Y24" t="str">
        <v>Ja</v>
      </c>
      <c r="Z24" t="str">
        <v>garage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44424941</v>
      </c>
      <c r="B25" t="str">
        <v>https://www.funda.nl/detail/koop/waalre/appartement-b2-16-penthouse-m-petrus-brabantia-bouwnr-33/44424941/</v>
      </c>
      <c r="C25" t="str">
        <v>Brabantiapark - Waalre</v>
      </c>
      <c r="D25" t="str">
        <v>B2-16 | Penthouse | M | Petrus | Brabantia</v>
      </c>
      <c r="E25" t="str">
        <v>33</v>
      </c>
      <c r="F25" t="str">
        <v>5583 BP</v>
      </c>
      <c r="G25" t="str">
        <v>Waalre</v>
      </c>
      <c r="H25" t="str">
        <v>Waalre</v>
      </c>
      <c r="I25" t="str">
        <v>Noord-Brabant</v>
      </c>
      <c r="J25" t="str">
        <v>Zuid-Nederland</v>
      </c>
      <c r="K25" t="str">
        <v>Te koop</v>
      </c>
      <c r="L25" t="str">
        <v>2026-07-09</v>
      </c>
      <c r="M25">
        <v>4</v>
      </c>
      <c r="N25">
        <v>1150000</v>
      </c>
      <c r="O25" t="str">
        <v>v.o.n.</v>
      </c>
      <c r="P25">
        <v>160</v>
      </c>
      <c r="Q25">
        <v>7188</v>
      </c>
      <c r="R25" t="str">
        <v>Onbekend</v>
      </c>
      <c r="S25" t="str">
        <v>A++</v>
      </c>
      <c r="T25">
        <v>5</v>
      </c>
      <c r="U25">
        <v>3</v>
      </c>
      <c r="V25" t="str">
        <v>Appartement</v>
      </c>
      <c r="W25" t="str">
        <v>Appartement</v>
      </c>
      <c r="X25" t="str">
        <v>Appartement &gt;100 m²</v>
      </c>
      <c r="Y25" t="str">
        <v>Ja</v>
      </c>
      <c r="Z25" t="str">
        <v>garage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44424940</v>
      </c>
      <c r="B26" t="str">
        <v>https://www.funda.nl/detail/koop/waalre/appartement-b3-01-2kmr-s1-rudolf-brabantia-bouwnr-34/44424940/</v>
      </c>
      <c r="C26" t="str">
        <v>Brabantiapark - Waalre</v>
      </c>
      <c r="D26" t="str">
        <v>B3-01 | 2kmr | S1 | Rudolf | Brabantia</v>
      </c>
      <c r="E26" t="str">
        <v>34</v>
      </c>
      <c r="F26" t="str">
        <v>5583 BP</v>
      </c>
      <c r="G26" t="str">
        <v>Waalre</v>
      </c>
      <c r="H26" t="str">
        <v>Waalre</v>
      </c>
      <c r="I26" t="str">
        <v>Noord-Brabant</v>
      </c>
      <c r="J26" t="str">
        <v>Zuid-Nederland</v>
      </c>
      <c r="K26" t="str">
        <v>Te koop</v>
      </c>
      <c r="L26" t="str">
        <v>Onbekend</v>
      </c>
      <c r="M26" t="str">
        <v>Onbekend</v>
      </c>
      <c r="N26">
        <v>339000</v>
      </c>
      <c r="O26" t="str">
        <v>v.o.n.</v>
      </c>
      <c r="P26">
        <v>49</v>
      </c>
      <c r="Q26">
        <v>6918</v>
      </c>
      <c r="R26" t="str">
        <v>Onbekend</v>
      </c>
      <c r="S26" t="str">
        <v>A++</v>
      </c>
      <c r="T26">
        <v>2</v>
      </c>
      <c r="U26">
        <v>1</v>
      </c>
      <c r="V26" t="str">
        <v>Appartement</v>
      </c>
      <c r="W26" t="str">
        <v>Appartement</v>
      </c>
      <c r="X26" t="str">
        <v>Appartement &lt;50 m²</v>
      </c>
      <c r="Y26" t="str">
        <v>Ja</v>
      </c>
      <c r="Z26" t="str">
        <v>garage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44424944</v>
      </c>
      <c r="B27" t="str">
        <v>https://www.funda.nl/detail/koop/waalre/appartement-b3-05-2kmr-s1-rudolf-brabantia-bouwnr-38/44424944/</v>
      </c>
      <c r="C27" t="str">
        <v>Brabantiapark - Waalre</v>
      </c>
      <c r="D27" t="str">
        <v>B3-05 | 2kmr | S1 | Rudolf | Brabantia</v>
      </c>
      <c r="E27" t="str">
        <v>38</v>
      </c>
      <c r="F27" t="str">
        <v>5583 BP</v>
      </c>
      <c r="G27" t="str">
        <v>Waalre</v>
      </c>
      <c r="H27" t="str">
        <v>Waalre</v>
      </c>
      <c r="I27" t="str">
        <v>Noord-Brabant</v>
      </c>
      <c r="J27" t="str">
        <v>Zuid-Nederland</v>
      </c>
      <c r="K27" t="str">
        <v>Te koop</v>
      </c>
      <c r="L27" t="str">
        <v>Onbekend</v>
      </c>
      <c r="M27" t="str">
        <v>Onbekend</v>
      </c>
      <c r="N27">
        <v>345500</v>
      </c>
      <c r="O27" t="str">
        <v>v.o.n.</v>
      </c>
      <c r="P27">
        <v>49</v>
      </c>
      <c r="Q27">
        <v>7051</v>
      </c>
      <c r="R27" t="str">
        <v>Onbekend</v>
      </c>
      <c r="S27" t="str">
        <v>A++</v>
      </c>
      <c r="T27">
        <v>2</v>
      </c>
      <c r="U27">
        <v>1</v>
      </c>
      <c r="V27" t="str">
        <v>Appartement</v>
      </c>
      <c r="W27" t="str">
        <v>Appartement</v>
      </c>
      <c r="X27" t="str">
        <v>Appartement &lt;50 m²</v>
      </c>
      <c r="Y27" t="str">
        <v>Ja</v>
      </c>
      <c r="Z27" t="str">
        <v>garage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44424933</v>
      </c>
      <c r="B28" t="str">
        <v>https://www.funda.nl/detail/koop/waalre/appartement-b3-08-2kmr-s1-rudolf-brabantia-bouwnr-41/44424933/</v>
      </c>
      <c r="C28" t="str">
        <v>Brabantiapark - Waalre</v>
      </c>
      <c r="D28" t="str">
        <v>B3-08 | 2kmr | S1 | Rudolf | Brabantia</v>
      </c>
      <c r="E28" t="str">
        <v>41</v>
      </c>
      <c r="F28" t="str">
        <v>5583 BP</v>
      </c>
      <c r="G28" t="str">
        <v>Waalre</v>
      </c>
      <c r="H28" t="str">
        <v>Waalre</v>
      </c>
      <c r="I28" t="str">
        <v>Noord-Brabant</v>
      </c>
      <c r="J28" t="str">
        <v>Zuid-Nederland</v>
      </c>
      <c r="K28" t="str">
        <v>Te koop</v>
      </c>
      <c r="L28" t="str">
        <v>Onbekend</v>
      </c>
      <c r="M28" t="str">
        <v>Onbekend</v>
      </c>
      <c r="N28">
        <v>345500</v>
      </c>
      <c r="O28" t="str">
        <v>v.o.n.</v>
      </c>
      <c r="P28">
        <v>49</v>
      </c>
      <c r="Q28">
        <v>7051</v>
      </c>
      <c r="R28" t="str">
        <v>Onbekend</v>
      </c>
      <c r="S28" t="str">
        <v>A++</v>
      </c>
      <c r="T28">
        <v>2</v>
      </c>
      <c r="U28">
        <v>1</v>
      </c>
      <c r="V28" t="str">
        <v>Appartement</v>
      </c>
      <c r="W28" t="str">
        <v>Appartement</v>
      </c>
      <c r="X28" t="str">
        <v>Appartement &lt;50 m²</v>
      </c>
      <c r="Y28" t="str">
        <v>Ja</v>
      </c>
      <c r="Z28" t="str">
        <v>garage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44424925</v>
      </c>
      <c r="B29" t="str">
        <v>https://www.funda.nl/detail/koop/waalre/appartement-b1-17-penthouse-k-dorus-brabantia-bouwnr-17/44424925/</v>
      </c>
      <c r="C29" t="str">
        <v>Brabantiapark - Waalre</v>
      </c>
      <c r="D29" t="str">
        <v>B1-17 | Penthouse | K | Dorus | Brabantia</v>
      </c>
      <c r="E29" t="str">
        <v>17</v>
      </c>
      <c r="F29" t="str">
        <v>5583 BP</v>
      </c>
      <c r="G29" t="str">
        <v>Waalre</v>
      </c>
      <c r="H29" t="str">
        <v>Waalre</v>
      </c>
      <c r="I29" t="str">
        <v>Noord-Brabant</v>
      </c>
      <c r="J29" t="str">
        <v>Zuid-Nederland</v>
      </c>
      <c r="K29" t="str">
        <v>Te koop</v>
      </c>
      <c r="L29" t="str">
        <v>Onbekend</v>
      </c>
      <c r="M29" t="str">
        <v>Onbekend</v>
      </c>
      <c r="N29">
        <v>1225000</v>
      </c>
      <c r="O29" t="str">
        <v>v.o.n.</v>
      </c>
      <c r="P29">
        <v>177</v>
      </c>
      <c r="Q29">
        <v>6921</v>
      </c>
      <c r="R29" t="str">
        <v>Onbekend</v>
      </c>
      <c r="S29" t="str">
        <v>A++</v>
      </c>
      <c r="T29">
        <v>4</v>
      </c>
      <c r="U29">
        <v>3</v>
      </c>
      <c r="V29" t="str">
        <v>Appartement</v>
      </c>
      <c r="W29" t="str">
        <v>Appartement</v>
      </c>
      <c r="X29" t="str">
        <v>Appartement &gt;100 m²</v>
      </c>
      <c r="Y29" t="str">
        <v>Ja</v>
      </c>
      <c r="Z29" t="str">
        <v>garage</v>
      </c>
      <c r="AA29" t="str">
        <v>2026</v>
      </c>
      <c r="AB29" t="str">
        <v>Nee</v>
      </c>
      <c r="AC29" t="str">
        <v>NEE</v>
      </c>
      <c r="AD29" t="str">
        <v>JA</v>
      </c>
    </row>
    <row r="30">
      <c r="A30" t="str">
        <v>44424079</v>
      </c>
      <c r="B30" t="str">
        <v>https://www.funda.nl/detail/koop/waalre/appartement-b3-21-2kmr-s5-rudolf-brabantia-bouwnr-54/44424079/</v>
      </c>
      <c r="C30" t="str">
        <v>Brabantiapark - Waalre</v>
      </c>
      <c r="D30" t="str">
        <v>B3-21 | 2kmr | S5 | Rudolf | Brabantia</v>
      </c>
      <c r="E30" t="str">
        <v>54</v>
      </c>
      <c r="F30" t="str">
        <v>5583 BP</v>
      </c>
      <c r="G30" t="str">
        <v>Waalre</v>
      </c>
      <c r="H30" t="str">
        <v>Waalre</v>
      </c>
      <c r="I30" t="str">
        <v>Noord-Brabant</v>
      </c>
      <c r="J30" t="str">
        <v>Zuid-Nederland</v>
      </c>
      <c r="K30" t="str">
        <v>Te koop</v>
      </c>
      <c r="L30" t="str">
        <v>Onbekend</v>
      </c>
      <c r="M30" t="str">
        <v>Onbekend</v>
      </c>
      <c r="N30">
        <v>337000</v>
      </c>
      <c r="O30" t="str">
        <v>v.o.n.</v>
      </c>
      <c r="P30">
        <v>49</v>
      </c>
      <c r="Q30">
        <v>6878</v>
      </c>
      <c r="R30" t="str">
        <v>Onbekend</v>
      </c>
      <c r="S30" t="str">
        <v>A++</v>
      </c>
      <c r="T30">
        <v>2</v>
      </c>
      <c r="U30">
        <v>1</v>
      </c>
      <c r="V30" t="str">
        <v>Appartement</v>
      </c>
      <c r="W30" t="str">
        <v>Appartement</v>
      </c>
      <c r="X30" t="str">
        <v>Appartement &lt;50 m²</v>
      </c>
      <c r="Y30" t="str">
        <v>Ja</v>
      </c>
      <c r="Z30" t="str">
        <v>garage</v>
      </c>
      <c r="AA30" t="str">
        <v>2026</v>
      </c>
      <c r="AB30" t="str">
        <v>Nee</v>
      </c>
      <c r="AC30" t="str">
        <v>NEE</v>
      </c>
      <c r="AD30" t="str">
        <v>JA</v>
      </c>
    </row>
    <row r="31">
      <c r="A31" t="str">
        <v>44424077</v>
      </c>
      <c r="B31" t="str">
        <v>https://www.funda.nl/detail/koop/waalre/appartement-b3-28-2kmr-s5-rudolf-brabantia-bouwnr-61/44424077/</v>
      </c>
      <c r="C31" t="str">
        <v>Brabantiapark - Waalre</v>
      </c>
      <c r="D31" t="str">
        <v>B3-28 | 2kmr | S5 | Rudolf | Brabantia</v>
      </c>
      <c r="E31" t="str">
        <v>61</v>
      </c>
      <c r="F31" t="str">
        <v>5583 BP</v>
      </c>
      <c r="G31" t="str">
        <v>Waalre</v>
      </c>
      <c r="H31" t="str">
        <v>Waalre</v>
      </c>
      <c r="I31" t="str">
        <v>Noord-Brabant</v>
      </c>
      <c r="J31" t="str">
        <v>Zuid-Nederland</v>
      </c>
      <c r="K31" t="str">
        <v>Te koop</v>
      </c>
      <c r="L31" t="str">
        <v>Onbekend</v>
      </c>
      <c r="M31" t="str">
        <v>Onbekend</v>
      </c>
      <c r="N31">
        <v>337000</v>
      </c>
      <c r="O31" t="str">
        <v>v.o.n.</v>
      </c>
      <c r="P31">
        <v>49</v>
      </c>
      <c r="Q31">
        <v>6878</v>
      </c>
      <c r="R31" t="str">
        <v>Onbekend</v>
      </c>
      <c r="S31" t="str">
        <v>A++</v>
      </c>
      <c r="T31">
        <v>2</v>
      </c>
      <c r="U31">
        <v>1</v>
      </c>
      <c r="V31" t="str">
        <v>Appartement</v>
      </c>
      <c r="W31" t="str">
        <v>Appartement</v>
      </c>
      <c r="X31" t="str">
        <v>Appartement &lt;50 m²</v>
      </c>
      <c r="Y31" t="str">
        <v>Ja</v>
      </c>
      <c r="Z31" t="str">
        <v>garage</v>
      </c>
      <c r="AA31" t="str">
        <v>2026</v>
      </c>
      <c r="AB31" t="str">
        <v>Nee</v>
      </c>
      <c r="AC31" t="str">
        <v>NEE</v>
      </c>
      <c r="AD31" t="str">
        <v>JA</v>
      </c>
    </row>
    <row r="32">
      <c r="A32" t="str">
        <v>44424076</v>
      </c>
      <c r="B32" t="str">
        <v>https://www.funda.nl/detail/koop/waalre/appartement-b3-26-2kmr-s4-rudolf-brabantia-bouwnr-59/44424076/</v>
      </c>
      <c r="C32" t="str">
        <v>Brabantiapark - Waalre</v>
      </c>
      <c r="D32" t="str">
        <v>B3-26 | 2kmr | S4 | Rudolf | Brabantia</v>
      </c>
      <c r="E32" t="str">
        <v>59</v>
      </c>
      <c r="F32" t="str">
        <v>5583 BP</v>
      </c>
      <c r="G32" t="str">
        <v>Waalre</v>
      </c>
      <c r="H32" t="str">
        <v>Waalre</v>
      </c>
      <c r="I32" t="str">
        <v>Noord-Brabant</v>
      </c>
      <c r="J32" t="str">
        <v>Zuid-Nederland</v>
      </c>
      <c r="K32" t="str">
        <v>Te koop</v>
      </c>
      <c r="L32" t="str">
        <v>Onbekend</v>
      </c>
      <c r="M32" t="str">
        <v>Onbekend</v>
      </c>
      <c r="N32">
        <v>332500</v>
      </c>
      <c r="O32" t="str">
        <v>v.o.n.</v>
      </c>
      <c r="P32">
        <v>49</v>
      </c>
      <c r="Q32">
        <v>6786</v>
      </c>
      <c r="R32" t="str">
        <v>Onbekend</v>
      </c>
      <c r="S32" t="str">
        <v>A++</v>
      </c>
      <c r="T32">
        <v>2</v>
      </c>
      <c r="U32">
        <v>1</v>
      </c>
      <c r="V32" t="str">
        <v>Appartement</v>
      </c>
      <c r="W32" t="str">
        <v>Appartement</v>
      </c>
      <c r="X32" t="str">
        <v>Appartement &lt;50 m²</v>
      </c>
      <c r="Y32" t="str">
        <v>Ja</v>
      </c>
      <c r="Z32" t="str">
        <v>garage</v>
      </c>
      <c r="AA32" t="str">
        <v>2026</v>
      </c>
      <c r="AB32" t="str">
        <v>Nee</v>
      </c>
      <c r="AC32" t="str">
        <v>NEE</v>
      </c>
      <c r="AD32" t="str">
        <v>JA</v>
      </c>
    </row>
    <row r="33">
      <c r="A33" t="str">
        <v>44424075</v>
      </c>
      <c r="B33" t="str">
        <v>https://www.funda.nl/detail/koop/waalre/appartement-b3-29-2kmr-s4-rudolf-brabantia-bouwnr-62/44424075/</v>
      </c>
      <c r="C33" t="str">
        <v>Brabantiapark - Waalre</v>
      </c>
      <c r="D33" t="str">
        <v>B3-29 | 2kmr | S4 | Rudolf | Brabantia</v>
      </c>
      <c r="E33" t="str">
        <v>62</v>
      </c>
      <c r="F33" t="str">
        <v>5583 BP</v>
      </c>
      <c r="G33" t="str">
        <v>Waalre</v>
      </c>
      <c r="H33" t="str">
        <v>Waalre</v>
      </c>
      <c r="I33" t="str">
        <v>Noord-Brabant</v>
      </c>
      <c r="J33" t="str">
        <v>Zuid-Nederland</v>
      </c>
      <c r="K33" t="str">
        <v>Te koop</v>
      </c>
      <c r="L33" t="str">
        <v>Onbekend</v>
      </c>
      <c r="M33" t="str">
        <v>Onbekend</v>
      </c>
      <c r="N33">
        <v>337000</v>
      </c>
      <c r="O33" t="str">
        <v>v.o.n.</v>
      </c>
      <c r="P33">
        <v>49</v>
      </c>
      <c r="Q33">
        <v>6878</v>
      </c>
      <c r="R33" t="str">
        <v>Onbekend</v>
      </c>
      <c r="S33" t="str">
        <v>A++</v>
      </c>
      <c r="T33">
        <v>2</v>
      </c>
      <c r="U33">
        <v>1</v>
      </c>
      <c r="V33" t="str">
        <v>Appartement</v>
      </c>
      <c r="W33" t="str">
        <v>Appartement</v>
      </c>
      <c r="X33" t="str">
        <v>Appartement &lt;50 m²</v>
      </c>
      <c r="Y33" t="str">
        <v>Ja</v>
      </c>
      <c r="Z33" t="str">
        <v>garage</v>
      </c>
      <c r="AA33" t="str">
        <v>2026</v>
      </c>
      <c r="AB33" t="str">
        <v>Nee</v>
      </c>
      <c r="AC33" t="str">
        <v>NEE</v>
      </c>
      <c r="AD33" t="str">
        <v>JA</v>
      </c>
    </row>
    <row r="34">
      <c r="A34" t="str">
        <v>44424074</v>
      </c>
      <c r="B34" t="str">
        <v>https://www.funda.nl/detail/koop/waalre/appartement-b3-15-2kmr-s5-rudolf-brabantia-bouwnr-48/44424074/</v>
      </c>
      <c r="C34" t="str">
        <v>Brabantiapark - Waalre</v>
      </c>
      <c r="D34" t="str">
        <v>B3-15 | 2kmr | S5 | Rudolf | Brabantia</v>
      </c>
      <c r="E34" t="str">
        <v>48</v>
      </c>
      <c r="F34" t="str">
        <v>5583 BP</v>
      </c>
      <c r="G34" t="str">
        <v>Waalre</v>
      </c>
      <c r="H34" t="str">
        <v>Waalre</v>
      </c>
      <c r="I34" t="str">
        <v>Noord-Brabant</v>
      </c>
      <c r="J34" t="str">
        <v>Zuid-Nederland</v>
      </c>
      <c r="K34" t="str">
        <v>Te koop</v>
      </c>
      <c r="L34" t="str">
        <v>Onbekend</v>
      </c>
      <c r="M34" t="str">
        <v>Onbekend</v>
      </c>
      <c r="N34">
        <v>335500</v>
      </c>
      <c r="O34" t="str">
        <v>v.o.n.</v>
      </c>
      <c r="P34">
        <v>49</v>
      </c>
      <c r="Q34">
        <v>6847</v>
      </c>
      <c r="R34" t="str">
        <v>Onbekend</v>
      </c>
      <c r="S34" t="str">
        <v>A++</v>
      </c>
      <c r="T34">
        <v>2</v>
      </c>
      <c r="U34">
        <v>1</v>
      </c>
      <c r="V34" t="str">
        <v>Appartement</v>
      </c>
      <c r="W34" t="str">
        <v>Appartement</v>
      </c>
      <c r="X34" t="str">
        <v>Appartement &lt;50 m²</v>
      </c>
      <c r="Y34" t="str">
        <v>Ja</v>
      </c>
      <c r="Z34" t="str">
        <v>garage</v>
      </c>
      <c r="AA34" t="str">
        <v>2026</v>
      </c>
      <c r="AB34" t="str">
        <v>Nee</v>
      </c>
      <c r="AC34" t="str">
        <v>NEE</v>
      </c>
      <c r="AD34" t="str">
        <v>JA</v>
      </c>
    </row>
    <row r="35">
      <c r="A35" t="str">
        <v>44424073</v>
      </c>
      <c r="B35" t="str">
        <v>https://www.funda.nl/detail/koop/waalre/appartement-b3-22-2kmr-s5-rudolf-brabantia-bouwnr-55/44424073/</v>
      </c>
      <c r="C35" t="str">
        <v>Brabantiapark - Waalre</v>
      </c>
      <c r="D35" t="str">
        <v>B3-22 | 2kmr | S5 | Rudolf | Brabantia</v>
      </c>
      <c r="E35" t="str">
        <v>55</v>
      </c>
      <c r="F35" t="str">
        <v>5583 BP</v>
      </c>
      <c r="G35" t="str">
        <v>Waalre</v>
      </c>
      <c r="H35" t="str">
        <v>Waalre</v>
      </c>
      <c r="I35" t="str">
        <v>Noord-Brabant</v>
      </c>
      <c r="J35" t="str">
        <v>Zuid-Nederland</v>
      </c>
      <c r="K35" t="str">
        <v>Te koop</v>
      </c>
      <c r="L35" t="str">
        <v>Onbekend</v>
      </c>
      <c r="M35" t="str">
        <v>Onbekend</v>
      </c>
      <c r="N35">
        <v>337000</v>
      </c>
      <c r="O35" t="str">
        <v>v.o.n.</v>
      </c>
      <c r="P35">
        <v>49</v>
      </c>
      <c r="Q35">
        <v>6878</v>
      </c>
      <c r="R35" t="str">
        <v>Onbekend</v>
      </c>
      <c r="S35" t="str">
        <v>A++</v>
      </c>
      <c r="T35">
        <v>2</v>
      </c>
      <c r="U35">
        <v>1</v>
      </c>
      <c r="V35" t="str">
        <v>Appartement</v>
      </c>
      <c r="W35" t="str">
        <v>Appartement</v>
      </c>
      <c r="X35" t="str">
        <v>Appartement &lt;50 m²</v>
      </c>
      <c r="Y35" t="str">
        <v>Ja</v>
      </c>
      <c r="Z35" t="str">
        <v>garage</v>
      </c>
      <c r="AA35" t="str">
        <v>2026</v>
      </c>
      <c r="AB35" t="str">
        <v>Nee</v>
      </c>
      <c r="AC35" t="str">
        <v>NEE</v>
      </c>
      <c r="AD35" t="str">
        <v>JA</v>
      </c>
    </row>
    <row r="36">
      <c r="A36" t="str">
        <v>44424062</v>
      </c>
      <c r="B36" t="str">
        <v>https://www.funda.nl/detail/koop/waalre/appartement-b3-32-2kmr-s4-rudolf-brabantia-bouwnr-65/44424062/</v>
      </c>
      <c r="C36" t="str">
        <v>Brabantiapark - Waalre</v>
      </c>
      <c r="D36" t="str">
        <v>B3-32 | 2kmr | S4 | Rudolf | Brabantia</v>
      </c>
      <c r="E36" t="str">
        <v>65</v>
      </c>
      <c r="F36" t="str">
        <v>5583 BP</v>
      </c>
      <c r="G36" t="str">
        <v>Waalre</v>
      </c>
      <c r="H36" t="str">
        <v>Waalre</v>
      </c>
      <c r="I36" t="str">
        <v>Noord-Brabant</v>
      </c>
      <c r="J36" t="str">
        <v>Zuid-Nederland</v>
      </c>
      <c r="K36" t="str">
        <v>Te koop</v>
      </c>
      <c r="L36" t="str">
        <v>Onbekend</v>
      </c>
      <c r="M36" t="str">
        <v>Onbekend</v>
      </c>
      <c r="N36">
        <v>337000</v>
      </c>
      <c r="O36" t="str">
        <v>v.o.n.</v>
      </c>
      <c r="P36">
        <v>49</v>
      </c>
      <c r="Q36">
        <v>6878</v>
      </c>
      <c r="R36" t="str">
        <v>Onbekend</v>
      </c>
      <c r="S36" t="str">
        <v>A++</v>
      </c>
      <c r="T36">
        <v>2</v>
      </c>
      <c r="U36">
        <v>1</v>
      </c>
      <c r="V36" t="str">
        <v>Appartement</v>
      </c>
      <c r="W36" t="str">
        <v>Appartement</v>
      </c>
      <c r="X36" t="str">
        <v>Appartement &lt;50 m²</v>
      </c>
      <c r="Y36" t="str">
        <v>Ja</v>
      </c>
      <c r="Z36" t="str">
        <v>garage</v>
      </c>
      <c r="AA36" t="str">
        <v>2026</v>
      </c>
      <c r="AB36" t="str">
        <v>Nee</v>
      </c>
      <c r="AC36" t="str">
        <v>NEE</v>
      </c>
      <c r="AD36" t="str">
        <v>JA</v>
      </c>
    </row>
    <row r="37">
      <c r="A37" t="str">
        <v>44424061</v>
      </c>
      <c r="B37" t="str">
        <v>https://www.funda.nl/detail/koop/waalre/appartement-b3-33-2kmr-s5-rudolf-brabantia-bouwnr-66/44424061/</v>
      </c>
      <c r="C37" t="str">
        <v>Brabantiapark - Waalre</v>
      </c>
      <c r="D37" t="str">
        <v>B3-33 | 2kmr | S5 | Rudolf | Brabantia</v>
      </c>
      <c r="E37" t="str">
        <v>66</v>
      </c>
      <c r="F37" t="str">
        <v>5583 BP</v>
      </c>
      <c r="G37" t="str">
        <v>Waalre</v>
      </c>
      <c r="H37" t="str">
        <v>Waalre</v>
      </c>
      <c r="I37" t="str">
        <v>Noord-Brabant</v>
      </c>
      <c r="J37" t="str">
        <v>Zuid-Nederland</v>
      </c>
      <c r="K37" t="str">
        <v>Te koop</v>
      </c>
      <c r="L37" t="str">
        <v>Onbekend</v>
      </c>
      <c r="M37" t="str">
        <v>Onbekend</v>
      </c>
      <c r="N37">
        <v>338500</v>
      </c>
      <c r="O37" t="str">
        <v>v.o.n.</v>
      </c>
      <c r="P37">
        <v>49</v>
      </c>
      <c r="Q37">
        <v>6908</v>
      </c>
      <c r="R37" t="str">
        <v>Onbekend</v>
      </c>
      <c r="S37" t="str">
        <v>A++</v>
      </c>
      <c r="T37">
        <v>2</v>
      </c>
      <c r="U37">
        <v>1</v>
      </c>
      <c r="V37" t="str">
        <v>Appartement</v>
      </c>
      <c r="W37" t="str">
        <v>Appartement</v>
      </c>
      <c r="X37" t="str">
        <v>Appartement &lt;50 m²</v>
      </c>
      <c r="Y37" t="str">
        <v>Ja</v>
      </c>
      <c r="Z37" t="str">
        <v>garage</v>
      </c>
      <c r="AA37" t="str">
        <v>2026</v>
      </c>
      <c r="AB37" t="str">
        <v>Nee</v>
      </c>
      <c r="AC37" t="str">
        <v>NEE</v>
      </c>
      <c r="AD37" t="str">
        <v>JA</v>
      </c>
    </row>
    <row r="38">
      <c r="A38" t="str">
        <v>44424060</v>
      </c>
      <c r="B38" t="str">
        <v>https://www.funda.nl/detail/koop/waalre/appartement-b3-27-2kmr-s5-rudolf-brabantia-bouwnr-60/44424060/</v>
      </c>
      <c r="C38" t="str">
        <v>Brabantiapark - Waalre</v>
      </c>
      <c r="D38" t="str">
        <v>B3-27 | 2kmr | S5 | Rudolf | Brabantia</v>
      </c>
      <c r="E38" t="str">
        <v>60</v>
      </c>
      <c r="F38" t="str">
        <v>5583 BP</v>
      </c>
      <c r="G38" t="str">
        <v>Waalre</v>
      </c>
      <c r="H38" t="str">
        <v>Waalre</v>
      </c>
      <c r="I38" t="str">
        <v>Noord-Brabant</v>
      </c>
      <c r="J38" t="str">
        <v>Zuid-Nederland</v>
      </c>
      <c r="K38" t="str">
        <v>Te koop</v>
      </c>
      <c r="L38" t="str">
        <v>Onbekend</v>
      </c>
      <c r="M38" t="str">
        <v>Onbekend</v>
      </c>
      <c r="N38">
        <v>337000</v>
      </c>
      <c r="O38" t="str">
        <v>v.o.n.</v>
      </c>
      <c r="P38">
        <v>49</v>
      </c>
      <c r="Q38">
        <v>6878</v>
      </c>
      <c r="R38" t="str">
        <v>Onbekend</v>
      </c>
      <c r="S38" t="str">
        <v>A++</v>
      </c>
      <c r="T38">
        <v>2</v>
      </c>
      <c r="U38">
        <v>1</v>
      </c>
      <c r="V38" t="str">
        <v>Appartement</v>
      </c>
      <c r="W38" t="str">
        <v>Appartement</v>
      </c>
      <c r="X38" t="str">
        <v>Appartement &lt;50 m²</v>
      </c>
      <c r="Y38" t="str">
        <v>Ja</v>
      </c>
      <c r="Z38" t="str">
        <v>garage</v>
      </c>
      <c r="AA38" t="str">
        <v>2026</v>
      </c>
      <c r="AB38" t="str">
        <v>Nee</v>
      </c>
      <c r="AC38" t="str">
        <v>NEE</v>
      </c>
      <c r="AD38" t="str">
        <v>JA</v>
      </c>
    </row>
    <row r="39">
      <c r="A39" t="str">
        <v>44424069</v>
      </c>
      <c r="B39" t="str">
        <v>https://www.funda.nl/detail/koop/waalre/appartement-b3-16-2kmr-s5-rudolf-brabantia-bouwnr-49/44424069/</v>
      </c>
      <c r="C39" t="str">
        <v>Brabantiapark - Waalre</v>
      </c>
      <c r="D39" t="str">
        <v>B3-16 | 2kmr | S5 | Rudolf | Brabantia</v>
      </c>
      <c r="E39" t="str">
        <v>49</v>
      </c>
      <c r="F39" t="str">
        <v>5583 BP</v>
      </c>
      <c r="G39" t="str">
        <v>Waalre</v>
      </c>
      <c r="H39" t="str">
        <v>Waalre</v>
      </c>
      <c r="I39" t="str">
        <v>Noord-Brabant</v>
      </c>
      <c r="J39" t="str">
        <v>Zuid-Nederland</v>
      </c>
      <c r="K39" t="str">
        <v>Te koop</v>
      </c>
      <c r="L39" t="str">
        <v>Onbekend</v>
      </c>
      <c r="M39" t="str">
        <v>Onbekend</v>
      </c>
      <c r="N39">
        <v>335500</v>
      </c>
      <c r="O39" t="str">
        <v>v.o.n.</v>
      </c>
      <c r="P39">
        <v>49</v>
      </c>
      <c r="Q39">
        <v>6847</v>
      </c>
      <c r="R39" t="str">
        <v>Onbekend</v>
      </c>
      <c r="S39" t="str">
        <v>A++</v>
      </c>
      <c r="T39">
        <v>2</v>
      </c>
      <c r="U39">
        <v>1</v>
      </c>
      <c r="V39" t="str">
        <v>Appartement</v>
      </c>
      <c r="W39" t="str">
        <v>Appartement</v>
      </c>
      <c r="X39" t="str">
        <v>Appartement &lt;50 m²</v>
      </c>
      <c r="Y39" t="str">
        <v>Ja</v>
      </c>
      <c r="Z39" t="str">
        <v>garage</v>
      </c>
      <c r="AA39" t="str">
        <v>2026</v>
      </c>
      <c r="AB39" t="str">
        <v>Nee</v>
      </c>
      <c r="AC39" t="str">
        <v>NEE</v>
      </c>
      <c r="AD39" t="str">
        <v>JA</v>
      </c>
    </row>
    <row r="40">
      <c r="A40" t="str">
        <v>44424068</v>
      </c>
      <c r="B40" t="str">
        <v>https://www.funda.nl/detail/koop/waalre/appartement-b3-34-2kmr-s5-rudolf-brabantia-bouwnr-67/44424068/</v>
      </c>
      <c r="C40" t="str">
        <v>Brabantiapark - Waalre</v>
      </c>
      <c r="D40" t="str">
        <v>B3-34 | 2kmr | S5 | Rudolf | Brabantia</v>
      </c>
      <c r="E40" t="str">
        <v>67</v>
      </c>
      <c r="F40" t="str">
        <v>5583 BP</v>
      </c>
      <c r="G40" t="str">
        <v>Waalre</v>
      </c>
      <c r="H40" t="str">
        <v>Waalre</v>
      </c>
      <c r="I40" t="str">
        <v>Noord-Brabant</v>
      </c>
      <c r="J40" t="str">
        <v>Zuid-Nederland</v>
      </c>
      <c r="K40" t="str">
        <v>Te koop</v>
      </c>
      <c r="L40" t="str">
        <v>2026-07-09</v>
      </c>
      <c r="M40">
        <v>4</v>
      </c>
      <c r="N40">
        <v>338500</v>
      </c>
      <c r="O40" t="str">
        <v>v.o.n.</v>
      </c>
      <c r="P40">
        <v>49</v>
      </c>
      <c r="Q40">
        <v>6908</v>
      </c>
      <c r="R40" t="str">
        <v>Onbekend</v>
      </c>
      <c r="S40" t="str">
        <v>A++</v>
      </c>
      <c r="T40">
        <v>2</v>
      </c>
      <c r="U40">
        <v>1</v>
      </c>
      <c r="V40" t="str">
        <v>Appartement</v>
      </c>
      <c r="W40" t="str">
        <v>Appartement</v>
      </c>
      <c r="X40" t="str">
        <v>Appartement &lt;50 m²</v>
      </c>
      <c r="Y40" t="str">
        <v>Ja</v>
      </c>
      <c r="Z40" t="str">
        <v>garage</v>
      </c>
      <c r="AA40" t="str">
        <v>2026</v>
      </c>
      <c r="AB40" t="str">
        <v>Nee</v>
      </c>
      <c r="AC40" t="str">
        <v>NEE</v>
      </c>
      <c r="AD40" t="str">
        <v>JA</v>
      </c>
    </row>
    <row r="41">
      <c r="A41" t="str">
        <v>44424063</v>
      </c>
      <c r="B41" t="str">
        <v>https://www.funda.nl/detail/koop/waalre/appartement-b3-25-2kmr-s3-rudolf-brabantia-bouwnr-58/44424063/</v>
      </c>
      <c r="C41" t="str">
        <v>Brabantiapark - Waalre</v>
      </c>
      <c r="D41" t="str">
        <v>B3-25 | 2kmr | S3 | Rudolf | Brabantia</v>
      </c>
      <c r="E41" t="str">
        <v>58</v>
      </c>
      <c r="F41" t="str">
        <v>5583 BP</v>
      </c>
      <c r="G41" t="str">
        <v>Waalre</v>
      </c>
      <c r="H41" t="str">
        <v>Waalre</v>
      </c>
      <c r="I41" t="str">
        <v>Noord-Brabant</v>
      </c>
      <c r="J41" t="str">
        <v>Zuid-Nederland</v>
      </c>
      <c r="K41" t="str">
        <v>Te koop</v>
      </c>
      <c r="L41" t="str">
        <v>Onbekend</v>
      </c>
      <c r="M41" t="str">
        <v>Onbekend</v>
      </c>
      <c r="N41">
        <v>333500</v>
      </c>
      <c r="O41" t="str">
        <v>v.o.n.</v>
      </c>
      <c r="P41">
        <v>49</v>
      </c>
      <c r="Q41">
        <v>6806</v>
      </c>
      <c r="R41" t="str">
        <v>Onbekend</v>
      </c>
      <c r="S41" t="str">
        <v>A++</v>
      </c>
      <c r="T41">
        <v>2</v>
      </c>
      <c r="U41">
        <v>1</v>
      </c>
      <c r="V41" t="str">
        <v>Appartement</v>
      </c>
      <c r="W41" t="str">
        <v>Appartement</v>
      </c>
      <c r="X41" t="str">
        <v>Appartement &lt;50 m²</v>
      </c>
      <c r="Y41" t="str">
        <v>Ja</v>
      </c>
      <c r="Z41" t="str">
        <v>garage</v>
      </c>
      <c r="AA41" t="str">
        <v>2026</v>
      </c>
      <c r="AB41" t="str">
        <v>Nee</v>
      </c>
      <c r="AC41" t="str">
        <v>NEE</v>
      </c>
      <c r="AD41" t="str">
        <v>JA</v>
      </c>
    </row>
    <row r="42">
      <c r="A42" t="str">
        <v>44424952</v>
      </c>
      <c r="B42" t="str">
        <v>https://www.funda.nl/detail/koop/waalre/appartement-b3-24-2kmr-s3-rudolf-brabantia-bouwnr-57/44424952/</v>
      </c>
      <c r="C42" t="str">
        <v>Brabantiapark - Waalre</v>
      </c>
      <c r="D42" t="str">
        <v>B3-24 | 2kmr | S3 | Rudolf | Brabantia</v>
      </c>
      <c r="E42" t="str">
        <v>57</v>
      </c>
      <c r="F42" t="str">
        <v>5583 BP</v>
      </c>
      <c r="G42" t="str">
        <v>Waalre</v>
      </c>
      <c r="H42" t="str">
        <v>Waalre</v>
      </c>
      <c r="I42" t="str">
        <v>Noord-Brabant</v>
      </c>
      <c r="J42" t="str">
        <v>Zuid-Nederland</v>
      </c>
      <c r="K42" t="str">
        <v>Te koop</v>
      </c>
      <c r="L42" t="str">
        <v>Onbekend</v>
      </c>
      <c r="M42" t="str">
        <v>Onbekend</v>
      </c>
      <c r="N42">
        <v>333500</v>
      </c>
      <c r="O42" t="str">
        <v>v.o.n.</v>
      </c>
      <c r="P42">
        <v>49</v>
      </c>
      <c r="Q42">
        <v>6806</v>
      </c>
      <c r="R42" t="str">
        <v>Onbekend</v>
      </c>
      <c r="S42" t="str">
        <v>A++</v>
      </c>
      <c r="T42">
        <v>2</v>
      </c>
      <c r="U42">
        <v>1</v>
      </c>
      <c r="V42" t="str">
        <v>Appartement</v>
      </c>
      <c r="W42" t="str">
        <v>Appartement</v>
      </c>
      <c r="X42" t="str">
        <v>Appartement &lt;50 m²</v>
      </c>
      <c r="Y42" t="str">
        <v>Ja</v>
      </c>
      <c r="Z42" t="str">
        <v>garage</v>
      </c>
      <c r="AA42" t="str">
        <v>2026</v>
      </c>
      <c r="AB42" t="str">
        <v>Nee</v>
      </c>
      <c r="AC42" t="str">
        <v>NEE</v>
      </c>
      <c r="AD42" t="str">
        <v>JA</v>
      </c>
    </row>
    <row r="43">
      <c r="A43" t="str">
        <v>44424951</v>
      </c>
      <c r="B43" t="str">
        <v>https://www.funda.nl/detail/koop/waalre/appartement-b3-14-2kmr-s4-rudolf-brabantia-bouwnr-47/44424951/</v>
      </c>
      <c r="C43" t="str">
        <v>Brabantiapark - Waalre</v>
      </c>
      <c r="D43" t="str">
        <v>B3-14 | 2kmr | S4 | Rudolf | Brabantia</v>
      </c>
      <c r="E43" t="str">
        <v>47</v>
      </c>
      <c r="F43" t="str">
        <v>5583 BP</v>
      </c>
      <c r="G43" t="str">
        <v>Waalre</v>
      </c>
      <c r="H43" t="str">
        <v>Waalre</v>
      </c>
      <c r="I43" t="str">
        <v>Noord-Brabant</v>
      </c>
      <c r="J43" t="str">
        <v>Zuid-Nederland</v>
      </c>
      <c r="K43" t="str">
        <v>Te koop</v>
      </c>
      <c r="L43" t="str">
        <v>Onbekend</v>
      </c>
      <c r="M43" t="str">
        <v>Onbekend</v>
      </c>
      <c r="N43">
        <v>331000</v>
      </c>
      <c r="O43" t="str">
        <v>v.o.n.</v>
      </c>
      <c r="P43">
        <v>49</v>
      </c>
      <c r="Q43">
        <v>6755</v>
      </c>
      <c r="R43" t="str">
        <v>Onbekend</v>
      </c>
      <c r="S43" t="str">
        <v>A++</v>
      </c>
      <c r="T43">
        <v>2</v>
      </c>
      <c r="U43">
        <v>1</v>
      </c>
      <c r="V43" t="str">
        <v>Appartement</v>
      </c>
      <c r="W43" t="str">
        <v>Appartement</v>
      </c>
      <c r="X43" t="str">
        <v>Appartement &lt;50 m²</v>
      </c>
      <c r="Y43" t="str">
        <v>Ja</v>
      </c>
      <c r="Z43" t="str">
        <v>garage</v>
      </c>
      <c r="AA43" t="str">
        <v>2026</v>
      </c>
      <c r="AB43" t="str">
        <v>Nee</v>
      </c>
      <c r="AC43" t="str">
        <v>NEE</v>
      </c>
      <c r="AD43" t="str">
        <v>JA</v>
      </c>
    </row>
    <row r="44">
      <c r="A44" t="str">
        <v>44424950</v>
      </c>
      <c r="B44" t="str">
        <v>https://www.funda.nl/detail/koop/waalre/appartement-b3-17-2kmr-s4-rudolf-brabantia-bouwnr-50/44424950/</v>
      </c>
      <c r="C44" t="str">
        <v>Brabantiapark - Waalre</v>
      </c>
      <c r="D44" t="str">
        <v>B3-17 | 2kmr | S4 | Rudolf | Brabantia</v>
      </c>
      <c r="E44" t="str">
        <v>50</v>
      </c>
      <c r="F44" t="str">
        <v>5583 BP</v>
      </c>
      <c r="G44" t="str">
        <v>Waalre</v>
      </c>
      <c r="H44" t="str">
        <v>Waalre</v>
      </c>
      <c r="I44" t="str">
        <v>Noord-Brabant</v>
      </c>
      <c r="J44" t="str">
        <v>Zuid-Nederland</v>
      </c>
      <c r="K44" t="str">
        <v>Te koop</v>
      </c>
      <c r="L44" t="str">
        <v>Onbekend</v>
      </c>
      <c r="M44" t="str">
        <v>Onbekend</v>
      </c>
      <c r="N44">
        <v>335500</v>
      </c>
      <c r="O44" t="str">
        <v>v.o.n.</v>
      </c>
      <c r="P44">
        <v>49</v>
      </c>
      <c r="Q44">
        <v>6847</v>
      </c>
      <c r="R44" t="str">
        <v>Onbekend</v>
      </c>
      <c r="S44" t="str">
        <v>A+++</v>
      </c>
      <c r="T44">
        <v>2</v>
      </c>
      <c r="U44">
        <v>1</v>
      </c>
      <c r="V44" t="str">
        <v>Appartement</v>
      </c>
      <c r="W44" t="str">
        <v>Appartement</v>
      </c>
      <c r="X44" t="str">
        <v>Appartement &lt;50 m²</v>
      </c>
      <c r="Y44" t="str">
        <v>Ja</v>
      </c>
      <c r="Z44" t="str">
        <v>garage</v>
      </c>
      <c r="AA44" t="str">
        <v>2026</v>
      </c>
      <c r="AB44" t="str">
        <v>Nee</v>
      </c>
      <c r="AC44" t="str">
        <v>NEE</v>
      </c>
      <c r="AD44" t="str">
        <v>JA</v>
      </c>
    </row>
    <row r="45">
      <c r="A45" t="str">
        <v>44424959</v>
      </c>
      <c r="B45" t="str">
        <v>https://www.funda.nl/detail/koop/waalre/appartement-b3-20-2kmr-s4-rudolf-brabantia-bouwnr-53/44424959/</v>
      </c>
      <c r="C45" t="str">
        <v>Brabantiapark - Waalre</v>
      </c>
      <c r="D45" t="str">
        <v>B3-20 | 2kmr | S4 | Rudolf | Brabantia</v>
      </c>
      <c r="E45" t="str">
        <v>53</v>
      </c>
      <c r="F45" t="str">
        <v>5583 BP</v>
      </c>
      <c r="G45" t="str">
        <v>Waalre</v>
      </c>
      <c r="H45" t="str">
        <v>Waalre</v>
      </c>
      <c r="I45" t="str">
        <v>Noord-Brabant</v>
      </c>
      <c r="J45" t="str">
        <v>Zuid-Nederland</v>
      </c>
      <c r="K45" t="str">
        <v>Te koop</v>
      </c>
      <c r="L45" t="str">
        <v>Onbekend</v>
      </c>
      <c r="M45" t="str">
        <v>Onbekend</v>
      </c>
      <c r="N45">
        <v>335500</v>
      </c>
      <c r="O45" t="str">
        <v>v.o.n.</v>
      </c>
      <c r="P45">
        <v>49</v>
      </c>
      <c r="Q45">
        <v>6847</v>
      </c>
      <c r="R45" t="str">
        <v>Onbekend</v>
      </c>
      <c r="S45" t="str">
        <v>A++</v>
      </c>
      <c r="T45">
        <v>2</v>
      </c>
      <c r="U45">
        <v>1</v>
      </c>
      <c r="V45" t="str">
        <v>Appartement</v>
      </c>
      <c r="W45" t="str">
        <v>Appartement</v>
      </c>
      <c r="X45" t="str">
        <v>Appartement &lt;50 m²</v>
      </c>
      <c r="Y45" t="str">
        <v>Ja</v>
      </c>
      <c r="Z45" t="str">
        <v>garage</v>
      </c>
      <c r="AA45" t="str">
        <v>2026</v>
      </c>
      <c r="AB45" t="str">
        <v>Nee</v>
      </c>
      <c r="AC45" t="str">
        <v>NEE</v>
      </c>
      <c r="AD45" t="str">
        <v>JA</v>
      </c>
    </row>
    <row r="46">
      <c r="A46" t="str">
        <v>44424958</v>
      </c>
      <c r="B46" t="str">
        <v>https://www.funda.nl/detail/koop/waalre/appartement-b3-31-2kmr-s3-rudolf-brabantia-bouwnr-64/44424958/</v>
      </c>
      <c r="C46" t="str">
        <v>Brabantiapark - Waalre</v>
      </c>
      <c r="D46" t="str">
        <v>B3-31 | 2kmr | S3 | Rudolf | Brabantia</v>
      </c>
      <c r="E46" t="str">
        <v>64</v>
      </c>
      <c r="F46" t="str">
        <v>5583 BP</v>
      </c>
      <c r="G46" t="str">
        <v>Waalre</v>
      </c>
      <c r="H46" t="str">
        <v>Waalre</v>
      </c>
      <c r="I46" t="str">
        <v>Noord-Brabant</v>
      </c>
      <c r="J46" t="str">
        <v>Zuid-Nederland</v>
      </c>
      <c r="K46" t="str">
        <v>Te koop</v>
      </c>
      <c r="L46" t="str">
        <v>Onbekend</v>
      </c>
      <c r="M46" t="str">
        <v>Onbekend</v>
      </c>
      <c r="N46">
        <v>332500</v>
      </c>
      <c r="O46" t="str">
        <v>v.o.n.</v>
      </c>
      <c r="P46">
        <v>49</v>
      </c>
      <c r="Q46">
        <v>6786</v>
      </c>
      <c r="R46" t="str">
        <v>Onbekend</v>
      </c>
      <c r="S46" t="str">
        <v>A++</v>
      </c>
      <c r="T46">
        <v>2</v>
      </c>
      <c r="U46">
        <v>1</v>
      </c>
      <c r="V46" t="str">
        <v>Appartement</v>
      </c>
      <c r="W46" t="str">
        <v>Appartement</v>
      </c>
      <c r="X46" t="str">
        <v>Appartement &lt;50 m²</v>
      </c>
      <c r="Y46" t="str">
        <v>Ja</v>
      </c>
      <c r="Z46" t="str">
        <v>garage</v>
      </c>
      <c r="AA46" t="str">
        <v>2026</v>
      </c>
      <c r="AB46" t="str">
        <v>Nee</v>
      </c>
      <c r="AC46" t="str">
        <v>NEE</v>
      </c>
      <c r="AD46" t="str">
        <v>JA</v>
      </c>
    </row>
    <row r="47">
      <c r="A47" t="str">
        <v>44424956</v>
      </c>
      <c r="B47" t="str">
        <v>https://www.funda.nl/detail/koop/waalre/appartement-b3-30-2kmr-s3-rudolf-brabantia-bouwnr-63/44424956/</v>
      </c>
      <c r="C47" t="str">
        <v>Brabantiapark - Waalre</v>
      </c>
      <c r="D47" t="str">
        <v>B3-30 | 2kmr | S3 | Rudolf | Brabantia</v>
      </c>
      <c r="E47" t="str">
        <v>63</v>
      </c>
      <c r="F47" t="str">
        <v>5583 BP</v>
      </c>
      <c r="G47" t="str">
        <v>Waalre</v>
      </c>
      <c r="H47" t="str">
        <v>Waalre</v>
      </c>
      <c r="I47" t="str">
        <v>Noord-Brabant</v>
      </c>
      <c r="J47" t="str">
        <v>Zuid-Nederland</v>
      </c>
      <c r="K47" t="str">
        <v>Te koop</v>
      </c>
      <c r="L47" t="str">
        <v>Onbekend</v>
      </c>
      <c r="M47" t="str">
        <v>Onbekend</v>
      </c>
      <c r="N47">
        <v>332500</v>
      </c>
      <c r="O47" t="str">
        <v>v.o.n.</v>
      </c>
      <c r="P47">
        <v>49</v>
      </c>
      <c r="Q47">
        <v>6786</v>
      </c>
      <c r="R47" t="str">
        <v>Onbekend</v>
      </c>
      <c r="S47" t="str">
        <v>A++</v>
      </c>
      <c r="T47">
        <v>2</v>
      </c>
      <c r="U47">
        <v>1</v>
      </c>
      <c r="V47" t="str">
        <v>Appartement</v>
      </c>
      <c r="W47" t="str">
        <v>Appartement</v>
      </c>
      <c r="X47" t="str">
        <v>Appartement &lt;50 m²</v>
      </c>
      <c r="Y47" t="str">
        <v>Ja</v>
      </c>
      <c r="Z47" t="str">
        <v>garage</v>
      </c>
      <c r="AA47" t="str">
        <v>2026</v>
      </c>
      <c r="AB47" t="str">
        <v>Nee</v>
      </c>
      <c r="AC47" t="str">
        <v>NEE</v>
      </c>
      <c r="AD47" t="str">
        <v>JA</v>
      </c>
    </row>
    <row r="48">
      <c r="A48" t="str">
        <v>44424955</v>
      </c>
      <c r="B48" t="str">
        <v>https://www.funda.nl/detail/koop/waalre/appartement-b3-19-2kmr-s3-rudolf-brabantia-bouwnr-52/44424955/</v>
      </c>
      <c r="C48" t="str">
        <v>Brabantiapark - Waalre</v>
      </c>
      <c r="D48" t="str">
        <v>B3-19 | 2kmr | S3 | Rudolf | Brabantia</v>
      </c>
      <c r="E48" t="str">
        <v>52</v>
      </c>
      <c r="F48" t="str">
        <v>5583 BP</v>
      </c>
      <c r="G48" t="str">
        <v>Waalre</v>
      </c>
      <c r="H48" t="str">
        <v>Waalre</v>
      </c>
      <c r="I48" t="str">
        <v>Noord-Brabant</v>
      </c>
      <c r="J48" t="str">
        <v>Zuid-Nederland</v>
      </c>
      <c r="K48" t="str">
        <v>Te koop</v>
      </c>
      <c r="L48" t="str">
        <v>Onbekend</v>
      </c>
      <c r="M48" t="str">
        <v>Onbekend</v>
      </c>
      <c r="N48">
        <v>331000</v>
      </c>
      <c r="O48" t="str">
        <v>v.o.n.</v>
      </c>
      <c r="P48">
        <v>49</v>
      </c>
      <c r="Q48">
        <v>6755</v>
      </c>
      <c r="R48" t="str">
        <v>Onbekend</v>
      </c>
      <c r="S48" t="str">
        <v>A+++</v>
      </c>
      <c r="T48">
        <v>2</v>
      </c>
      <c r="U48">
        <v>1</v>
      </c>
      <c r="V48" t="str">
        <v>Appartement</v>
      </c>
      <c r="W48" t="str">
        <v>Appartement</v>
      </c>
      <c r="X48" t="str">
        <v>Appartement &lt;50 m²</v>
      </c>
      <c r="Y48" t="str">
        <v>Ja</v>
      </c>
      <c r="Z48" t="str">
        <v>garage</v>
      </c>
      <c r="AA48" t="str">
        <v>2026</v>
      </c>
      <c r="AB48" t="str">
        <v>Nee</v>
      </c>
      <c r="AC48" t="str">
        <v>NEE</v>
      </c>
      <c r="AD48" t="str">
        <v>JA</v>
      </c>
    </row>
    <row r="49">
      <c r="A49" t="str">
        <v>44424954</v>
      </c>
      <c r="B49" t="str">
        <v>https://www.funda.nl/detail/koop/waalre/appartement-b3-11-2kmr-s4-rudolf-brabantia-bouwnr-44/44424954/</v>
      </c>
      <c r="C49" t="str">
        <v>Brabantiapark - Waalre</v>
      </c>
      <c r="D49" t="str">
        <v>B3-11 | 2kmr | S4 | Rudolf | Brabantia</v>
      </c>
      <c r="E49" t="str">
        <v>44</v>
      </c>
      <c r="F49" t="str">
        <v>5583 BP</v>
      </c>
      <c r="G49" t="str">
        <v>Waalre</v>
      </c>
      <c r="H49" t="str">
        <v>Waalre</v>
      </c>
      <c r="I49" t="str">
        <v>Noord-Brabant</v>
      </c>
      <c r="J49" t="str">
        <v>Zuid-Nederland</v>
      </c>
      <c r="K49" t="str">
        <v>Te koop</v>
      </c>
      <c r="L49" t="str">
        <v>Onbekend</v>
      </c>
      <c r="M49" t="str">
        <v>Onbekend</v>
      </c>
      <c r="N49">
        <v>331000</v>
      </c>
      <c r="O49" t="str">
        <v>v.o.n.</v>
      </c>
      <c r="P49">
        <v>49</v>
      </c>
      <c r="Q49">
        <v>6755</v>
      </c>
      <c r="R49" t="str">
        <v>Onbekend</v>
      </c>
      <c r="S49" t="str">
        <v>A++</v>
      </c>
      <c r="T49">
        <v>2</v>
      </c>
      <c r="U49">
        <v>1</v>
      </c>
      <c r="V49" t="str">
        <v>Appartement</v>
      </c>
      <c r="W49" t="str">
        <v>Appartement</v>
      </c>
      <c r="X49" t="str">
        <v>Appartement &lt;50 m²</v>
      </c>
      <c r="Y49" t="str">
        <v>Ja</v>
      </c>
      <c r="Z49" t="str">
        <v>garage</v>
      </c>
      <c r="AA49" t="str">
        <v>2026</v>
      </c>
      <c r="AB49" t="str">
        <v>Nee</v>
      </c>
      <c r="AC49" t="str">
        <v>NEE</v>
      </c>
      <c r="AD49" t="str">
        <v>JA</v>
      </c>
    </row>
    <row r="50">
      <c r="A50" t="str">
        <v>44424953</v>
      </c>
      <c r="B50" t="str">
        <v>https://www.funda.nl/detail/koop/waalre/appartement-b3-23-2kmr-s4-rudolf-brabantia-bouwnr-56/44424953/</v>
      </c>
      <c r="C50" t="str">
        <v>Brabantiapark - Waalre</v>
      </c>
      <c r="D50" t="str">
        <v>B3-23 | 2kmr | S4 | Rudolf | Brabantia</v>
      </c>
      <c r="E50" t="str">
        <v>56</v>
      </c>
      <c r="F50" t="str">
        <v>5583 BP</v>
      </c>
      <c r="G50" t="str">
        <v>Waalre</v>
      </c>
      <c r="H50" t="str">
        <v>Waalre</v>
      </c>
      <c r="I50" t="str">
        <v>Noord-Brabant</v>
      </c>
      <c r="J50" t="str">
        <v>Zuid-Nederland</v>
      </c>
      <c r="K50" t="str">
        <v>Te koop</v>
      </c>
      <c r="L50" t="str">
        <v>Onbekend</v>
      </c>
      <c r="M50" t="str">
        <v>Onbekend</v>
      </c>
      <c r="N50">
        <v>332500</v>
      </c>
      <c r="O50" t="str">
        <v>v.o.n.</v>
      </c>
      <c r="P50">
        <v>49</v>
      </c>
      <c r="Q50">
        <v>6786</v>
      </c>
      <c r="R50" t="str">
        <v>Onbekend</v>
      </c>
      <c r="S50" t="str">
        <v>A++</v>
      </c>
      <c r="T50">
        <v>2</v>
      </c>
      <c r="U50">
        <v>1</v>
      </c>
      <c r="V50" t="str">
        <v>Appartement</v>
      </c>
      <c r="W50" t="str">
        <v>Appartement</v>
      </c>
      <c r="X50" t="str">
        <v>Appartement &lt;50 m²</v>
      </c>
      <c r="Y50" t="str">
        <v>Ja</v>
      </c>
      <c r="Z50" t="str">
        <v>garage</v>
      </c>
      <c r="AA50" t="str">
        <v>2026</v>
      </c>
      <c r="AB50" t="str">
        <v>Nee</v>
      </c>
      <c r="AC50" t="str">
        <v>NEE</v>
      </c>
      <c r="AD50" t="str">
        <v>JA</v>
      </c>
    </row>
    <row r="51">
      <c r="A51" t="str">
        <v>44424949</v>
      </c>
      <c r="B51" t="str">
        <v>https://www.funda.nl/detail/koop/waalre/appartement-b1-14-3kmr-i-dorus-brabantia-bouwnr-14/44424949/</v>
      </c>
      <c r="C51" t="str">
        <v>Brabantiapark - Waalre</v>
      </c>
      <c r="D51" t="str">
        <v>B1-14 | 3kmr | I | Dorus | Brabantia</v>
      </c>
      <c r="E51" t="str">
        <v>14</v>
      </c>
      <c r="F51" t="str">
        <v>5583 BP</v>
      </c>
      <c r="G51" t="str">
        <v>Waalre</v>
      </c>
      <c r="H51" t="str">
        <v>Waalre</v>
      </c>
      <c r="I51" t="str">
        <v>Noord-Brabant</v>
      </c>
      <c r="J51" t="str">
        <v>Zuid-Nederland</v>
      </c>
      <c r="K51" t="str">
        <v>Te koop</v>
      </c>
      <c r="L51" t="str">
        <v>Onbekend</v>
      </c>
      <c r="M51" t="str">
        <v>Onbekend</v>
      </c>
      <c r="N51">
        <v>935000</v>
      </c>
      <c r="O51" t="str">
        <v>v.o.n.</v>
      </c>
      <c r="P51">
        <v>137</v>
      </c>
      <c r="Q51">
        <v>6825</v>
      </c>
      <c r="R51" t="str">
        <v>Onbekend</v>
      </c>
      <c r="S51" t="str">
        <v>A+++</v>
      </c>
      <c r="T51">
        <v>3</v>
      </c>
      <c r="U51">
        <v>2</v>
      </c>
      <c r="V51" t="str">
        <v>Appartement</v>
      </c>
      <c r="W51" t="str">
        <v>Appartement</v>
      </c>
      <c r="X51" t="str">
        <v>Appartement &gt;100 m²</v>
      </c>
      <c r="Y51" t="str">
        <v>Ja</v>
      </c>
      <c r="Z51" t="str">
        <v>garage</v>
      </c>
      <c r="AA51" t="str">
        <v>2026</v>
      </c>
      <c r="AB51" t="str">
        <v>Nee</v>
      </c>
      <c r="AC51" t="str">
        <v>NEE</v>
      </c>
      <c r="AD51" t="str">
        <v>JA</v>
      </c>
    </row>
    <row r="52">
      <c r="A52" t="str">
        <v>44424948</v>
      </c>
      <c r="B52" t="str">
        <v>https://www.funda.nl/detail/koop/waalre/appartement-b1-09-3kmr-d-dorus-brabantia-bouwnr-9/44424948/</v>
      </c>
      <c r="C52" t="str">
        <v>Brabantiapark - Waalre</v>
      </c>
      <c r="D52" t="str">
        <v>B1-09 | 3kmr | D | Dorus | Brabantia</v>
      </c>
      <c r="E52" t="str">
        <v>9</v>
      </c>
      <c r="F52" t="str">
        <v>5583 BP</v>
      </c>
      <c r="G52" t="str">
        <v>Waalre</v>
      </c>
      <c r="H52" t="str">
        <v>Waalre</v>
      </c>
      <c r="I52" t="str">
        <v>Noord-Brabant</v>
      </c>
      <c r="J52" t="str">
        <v>Zuid-Nederland</v>
      </c>
      <c r="K52" t="str">
        <v>Te koop</v>
      </c>
      <c r="L52" t="str">
        <v>Onbekend</v>
      </c>
      <c r="M52" t="str">
        <v>Onbekend</v>
      </c>
      <c r="N52">
        <v>797000</v>
      </c>
      <c r="O52" t="str">
        <v>v.o.n.</v>
      </c>
      <c r="P52">
        <v>116</v>
      </c>
      <c r="Q52">
        <v>6871</v>
      </c>
      <c r="R52" t="str">
        <v>Onbekend</v>
      </c>
      <c r="S52" t="str">
        <v>A+++</v>
      </c>
      <c r="T52">
        <v>3</v>
      </c>
      <c r="U52">
        <v>2</v>
      </c>
      <c r="V52" t="str">
        <v>Appartement</v>
      </c>
      <c r="W52" t="str">
        <v>Appartement</v>
      </c>
      <c r="X52" t="str">
        <v>Appartement &gt;100 m²</v>
      </c>
      <c r="Y52" t="str">
        <v>Ja</v>
      </c>
      <c r="Z52" t="str">
        <v>garage</v>
      </c>
      <c r="AA52" t="str">
        <v>2026</v>
      </c>
      <c r="AB52" t="str">
        <v>Nee</v>
      </c>
      <c r="AC52" t="str">
        <v>NEE</v>
      </c>
      <c r="AD52" t="str">
        <v>JA</v>
      </c>
    </row>
    <row r="53">
      <c r="A53" t="str">
        <v>44424947</v>
      </c>
      <c r="B53" t="str">
        <v>https://www.funda.nl/detail/koop/waalre/appartement-b3-13-2kmr-s3-rudolf-brabantia-bouwnr-46/44424947/</v>
      </c>
      <c r="C53" t="str">
        <v>Brabantiapark - Waalre</v>
      </c>
      <c r="D53" t="str">
        <v>B3-13 | 2kmr | S3 | Rudolf | Brabantia</v>
      </c>
      <c r="E53" t="str">
        <v>46</v>
      </c>
      <c r="F53" t="str">
        <v>5583 BP</v>
      </c>
      <c r="G53" t="str">
        <v>Waalre</v>
      </c>
      <c r="H53" t="str">
        <v>Waalre</v>
      </c>
      <c r="I53" t="str">
        <v>Noord-Brabant</v>
      </c>
      <c r="J53" t="str">
        <v>Zuid-Nederland</v>
      </c>
      <c r="K53" t="str">
        <v>Te koop</v>
      </c>
      <c r="L53" t="str">
        <v>Onbekend</v>
      </c>
      <c r="M53" t="str">
        <v>Onbekend</v>
      </c>
      <c r="N53">
        <v>332000</v>
      </c>
      <c r="O53" t="str">
        <v>v.o.n.</v>
      </c>
      <c r="P53">
        <v>49</v>
      </c>
      <c r="Q53">
        <v>6776</v>
      </c>
      <c r="R53" t="str">
        <v>Onbekend</v>
      </c>
      <c r="S53" t="str">
        <v>A+++</v>
      </c>
      <c r="T53">
        <v>2</v>
      </c>
      <c r="U53">
        <v>1</v>
      </c>
      <c r="V53" t="str">
        <v>Appartement</v>
      </c>
      <c r="W53" t="str">
        <v>Appartement</v>
      </c>
      <c r="X53" t="str">
        <v>Appartement &lt;50 m²</v>
      </c>
      <c r="Y53" t="str">
        <v>Ja</v>
      </c>
      <c r="Z53" t="str">
        <v>garage</v>
      </c>
      <c r="AA53" t="str">
        <v>2026</v>
      </c>
      <c r="AB53" t="str">
        <v>Nee</v>
      </c>
      <c r="AC53" t="str">
        <v>NEE</v>
      </c>
      <c r="AD53" t="str">
        <v>JA</v>
      </c>
    </row>
    <row r="54">
      <c r="A54" t="str">
        <v>44424946</v>
      </c>
      <c r="B54" t="str">
        <v>https://www.funda.nl/detail/koop/waalre/appartement-b3-03-2kmr-s2-rudolf-brabantia-bouwnr-36/44424946/</v>
      </c>
      <c r="C54" t="str">
        <v>Brabantiapark - Waalre</v>
      </c>
      <c r="D54" t="str">
        <v>B3-03 | 2kmr | S2 | Rudolf | Brabantia</v>
      </c>
      <c r="E54" t="str">
        <v>36</v>
      </c>
      <c r="F54" t="str">
        <v>5583 BP</v>
      </c>
      <c r="G54" t="str">
        <v>Waalre</v>
      </c>
      <c r="H54" t="str">
        <v>Waalre</v>
      </c>
      <c r="I54" t="str">
        <v>Noord-Brabant</v>
      </c>
      <c r="J54" t="str">
        <v>Zuid-Nederland</v>
      </c>
      <c r="K54" t="str">
        <v>Te koop</v>
      </c>
      <c r="L54" t="str">
        <v>Onbekend</v>
      </c>
      <c r="M54" t="str">
        <v>Onbekend</v>
      </c>
      <c r="N54">
        <v>345500</v>
      </c>
      <c r="O54" t="str">
        <v>v.o.n.</v>
      </c>
      <c r="P54">
        <v>49</v>
      </c>
      <c r="Q54">
        <v>7051</v>
      </c>
      <c r="R54" t="str">
        <v>Onbekend</v>
      </c>
      <c r="S54" t="str">
        <v>A++</v>
      </c>
      <c r="T54">
        <v>2</v>
      </c>
      <c r="U54">
        <v>1</v>
      </c>
      <c r="V54" t="str">
        <v>Appartement</v>
      </c>
      <c r="W54" t="str">
        <v>Appartement</v>
      </c>
      <c r="X54" t="str">
        <v>Appartement &lt;50 m²</v>
      </c>
      <c r="Y54" t="str">
        <v>Ja</v>
      </c>
      <c r="Z54" t="str">
        <v>garage</v>
      </c>
      <c r="AA54" t="str">
        <v>2026</v>
      </c>
      <c r="AB54" t="str">
        <v>Nee</v>
      </c>
      <c r="AC54" t="str">
        <v>NEE</v>
      </c>
      <c r="AD54" t="str">
        <v>JA</v>
      </c>
    </row>
    <row r="55">
      <c r="A55" t="str">
        <v>44424945</v>
      </c>
      <c r="B55" t="str">
        <v>https://www.funda.nl/detail/koop/waalre/appartement-b2-12-3kmr-g-petrus-brabantia-bouwnr-29/44424945/</v>
      </c>
      <c r="C55" t="str">
        <v>Brabantiapark - Waalre</v>
      </c>
      <c r="D55" t="str">
        <v>B2-12 | 3kmr | G | Petrus | Brabantia</v>
      </c>
      <c r="E55" t="str">
        <v>29</v>
      </c>
      <c r="F55" t="str">
        <v>5583 BP</v>
      </c>
      <c r="G55" t="str">
        <v>Waalre</v>
      </c>
      <c r="H55" t="str">
        <v>Waalre</v>
      </c>
      <c r="I55" t="str">
        <v>Noord-Brabant</v>
      </c>
      <c r="J55" t="str">
        <v>Zuid-Nederland</v>
      </c>
      <c r="K55" t="str">
        <v>Te koop</v>
      </c>
      <c r="L55" t="str">
        <v>2026-07-09</v>
      </c>
      <c r="M55">
        <v>4</v>
      </c>
      <c r="N55">
        <v>1093000</v>
      </c>
      <c r="O55" t="str">
        <v>v.o.n.</v>
      </c>
      <c r="P55">
        <v>165</v>
      </c>
      <c r="Q55">
        <v>6624</v>
      </c>
      <c r="R55" t="str">
        <v>Onbekend</v>
      </c>
      <c r="S55" t="str">
        <v>A++</v>
      </c>
      <c r="T55">
        <v>3</v>
      </c>
      <c r="U55">
        <v>2</v>
      </c>
      <c r="V55" t="str">
        <v>Appartement</v>
      </c>
      <c r="W55" t="str">
        <v>Appartement</v>
      </c>
      <c r="X55" t="str">
        <v>Appartement &gt;100 m²</v>
      </c>
      <c r="Y55" t="str">
        <v>Ja</v>
      </c>
      <c r="Z55" t="str">
        <v>garage</v>
      </c>
      <c r="AA55" t="str">
        <v>2026</v>
      </c>
      <c r="AB55" t="str">
        <v>Nee</v>
      </c>
      <c r="AC55" t="str">
        <v>NEE</v>
      </c>
      <c r="AD55" t="str">
        <v>JA</v>
      </c>
    </row>
    <row r="56">
      <c r="A56" t="str">
        <v>44424943</v>
      </c>
      <c r="B56" t="str">
        <v>https://www.funda.nl/detail/koop/waalre/appartement-b3-12-2kmr-s3-rudolf-brabantia-bouwnr-45/44424943/</v>
      </c>
      <c r="C56" t="str">
        <v>Brabantiapark - Waalre</v>
      </c>
      <c r="D56" t="str">
        <v>B3-12 | 2kmr | S3 | Rudolf | Brabantia</v>
      </c>
      <c r="E56" t="str">
        <v>45</v>
      </c>
      <c r="F56" t="str">
        <v>5583 BP</v>
      </c>
      <c r="G56" t="str">
        <v>Waalre</v>
      </c>
      <c r="H56" t="str">
        <v>Waalre</v>
      </c>
      <c r="I56" t="str">
        <v>Noord-Brabant</v>
      </c>
      <c r="J56" t="str">
        <v>Zuid-Nederland</v>
      </c>
      <c r="K56" t="str">
        <v>Te koop</v>
      </c>
      <c r="L56" t="str">
        <v>Onbekend</v>
      </c>
      <c r="M56" t="str">
        <v>Onbekend</v>
      </c>
      <c r="N56">
        <v>332000</v>
      </c>
      <c r="O56" t="str">
        <v>v.o.n.</v>
      </c>
      <c r="P56">
        <v>49</v>
      </c>
      <c r="Q56">
        <v>6776</v>
      </c>
      <c r="R56" t="str">
        <v>Onbekend</v>
      </c>
      <c r="S56" t="str">
        <v>A+++</v>
      </c>
      <c r="T56">
        <v>2</v>
      </c>
      <c r="U56">
        <v>1</v>
      </c>
      <c r="V56" t="str">
        <v>Appartement</v>
      </c>
      <c r="W56" t="str">
        <v>Appartement</v>
      </c>
      <c r="X56" t="str">
        <v>Appartement &lt;50 m²</v>
      </c>
      <c r="Y56" t="str">
        <v>Ja</v>
      </c>
      <c r="Z56" t="str">
        <v>garage</v>
      </c>
      <c r="AA56" t="str">
        <v>2026</v>
      </c>
      <c r="AB56" t="str">
        <v>Nee</v>
      </c>
      <c r="AC56" t="str">
        <v>NEE</v>
      </c>
      <c r="AD56" t="str">
        <v>JA</v>
      </c>
    </row>
    <row r="57">
      <c r="A57" t="str">
        <v>44424932</v>
      </c>
      <c r="B57" t="str">
        <v>https://www.funda.nl/detail/koop/waalre/appartement-b1-15-3kmr-j-dorus-brabantia-bouwnr-15/44424932/</v>
      </c>
      <c r="C57" t="str">
        <v>Brabantiapark - Waalre</v>
      </c>
      <c r="D57" t="str">
        <v>B1-15 | 3kmr | J | Dorus | Brabantia</v>
      </c>
      <c r="E57" t="str">
        <v>15</v>
      </c>
      <c r="F57" t="str">
        <v>5583 BP</v>
      </c>
      <c r="G57" t="str">
        <v>Waalre</v>
      </c>
      <c r="H57" t="str">
        <v>Waalre</v>
      </c>
      <c r="I57" t="str">
        <v>Noord-Brabant</v>
      </c>
      <c r="J57" t="str">
        <v>Zuid-Nederland</v>
      </c>
      <c r="K57" t="str">
        <v>Te koop</v>
      </c>
      <c r="L57" t="str">
        <v>Onbekend</v>
      </c>
      <c r="M57" t="str">
        <v>Onbekend</v>
      </c>
      <c r="N57">
        <v>945000</v>
      </c>
      <c r="O57" t="str">
        <v>v.o.n.</v>
      </c>
      <c r="P57">
        <v>136</v>
      </c>
      <c r="Q57">
        <v>6949</v>
      </c>
      <c r="R57" t="str">
        <v>Onbekend</v>
      </c>
      <c r="S57" t="str">
        <v>A+++</v>
      </c>
      <c r="T57">
        <v>3</v>
      </c>
      <c r="U57">
        <v>2</v>
      </c>
      <c r="V57" t="str">
        <v>Appartement</v>
      </c>
      <c r="W57" t="str">
        <v>Appartement</v>
      </c>
      <c r="X57" t="str">
        <v>Appartement &gt;100 m²</v>
      </c>
      <c r="Y57" t="str">
        <v>Ja</v>
      </c>
      <c r="Z57" t="str">
        <v>garage</v>
      </c>
      <c r="AA57" t="str">
        <v>2026</v>
      </c>
      <c r="AB57" t="str">
        <v>Nee</v>
      </c>
      <c r="AC57" t="str">
        <v>NEE</v>
      </c>
      <c r="AD57" t="str">
        <v>JA</v>
      </c>
    </row>
    <row r="58">
      <c r="A58" t="str">
        <v>44424931</v>
      </c>
      <c r="B58" t="str">
        <v>https://www.funda.nl/detail/koop/waalre/appartement-b2-13-3kmr-h-petrus-brabantia-bouwnr-30/44424931/</v>
      </c>
      <c r="C58" t="str">
        <v>Brabantiapark - Waalre</v>
      </c>
      <c r="D58" t="str">
        <v>B2-13 | 3kmr | H | Petrus | Brabantia</v>
      </c>
      <c r="E58" t="str">
        <v>30</v>
      </c>
      <c r="F58" t="str">
        <v>5583 BP</v>
      </c>
      <c r="G58" t="str">
        <v>Waalre</v>
      </c>
      <c r="H58" t="str">
        <v>Waalre</v>
      </c>
      <c r="I58" t="str">
        <v>Noord-Brabant</v>
      </c>
      <c r="J58" t="str">
        <v>Zuid-Nederland</v>
      </c>
      <c r="K58" t="str">
        <v>Te koop</v>
      </c>
      <c r="L58" t="str">
        <v>Onbekend</v>
      </c>
      <c r="M58" t="str">
        <v>Onbekend</v>
      </c>
      <c r="N58">
        <v>842000</v>
      </c>
      <c r="O58" t="str">
        <v>v.o.n.</v>
      </c>
      <c r="P58">
        <v>125</v>
      </c>
      <c r="Q58">
        <v>6736</v>
      </c>
      <c r="R58" t="str">
        <v>Onbekend</v>
      </c>
      <c r="S58" t="str">
        <v>A+++</v>
      </c>
      <c r="T58">
        <v>3</v>
      </c>
      <c r="U58">
        <v>2</v>
      </c>
      <c r="V58" t="str">
        <v>Appartement</v>
      </c>
      <c r="W58" t="str">
        <v>Appartement</v>
      </c>
      <c r="X58" t="str">
        <v>Appartement &gt;100 m²</v>
      </c>
      <c r="Y58" t="str">
        <v>Ja</v>
      </c>
      <c r="Z58" t="str">
        <v>garage</v>
      </c>
      <c r="AA58" t="str">
        <v>2026</v>
      </c>
      <c r="AB58" t="str">
        <v>Nee</v>
      </c>
      <c r="AC58" t="str">
        <v>NEE</v>
      </c>
      <c r="AD58" t="str">
        <v>JA</v>
      </c>
    </row>
    <row r="59">
      <c r="A59" t="str">
        <v>44424930</v>
      </c>
      <c r="B59" t="str">
        <v>https://www.funda.nl/detail/koop/waalre/appartement-b1-03-3kmr-c-dorus-brabantia-bouwnr-3/44424930/</v>
      </c>
      <c r="C59" t="str">
        <v>Brabantiapark - Waalre</v>
      </c>
      <c r="D59" t="str">
        <v>B1-03 | 3kmr | C | Dorus | Brabantia</v>
      </c>
      <c r="E59" t="str">
        <v>3</v>
      </c>
      <c r="F59" t="str">
        <v>5583 BP</v>
      </c>
      <c r="G59" t="str">
        <v>Waalre</v>
      </c>
      <c r="H59" t="str">
        <v>Waalre</v>
      </c>
      <c r="I59" t="str">
        <v>Noord-Brabant</v>
      </c>
      <c r="J59" t="str">
        <v>Zuid-Nederland</v>
      </c>
      <c r="K59" t="str">
        <v>Te koop</v>
      </c>
      <c r="L59" t="str">
        <v>Onbekend</v>
      </c>
      <c r="M59" t="str">
        <v>Onbekend</v>
      </c>
      <c r="N59">
        <v>848000</v>
      </c>
      <c r="O59" t="str">
        <v>v.o.n.</v>
      </c>
      <c r="P59">
        <v>128</v>
      </c>
      <c r="Q59">
        <v>6625</v>
      </c>
      <c r="R59" t="str">
        <v>Onbekend</v>
      </c>
      <c r="S59" t="str">
        <v>A++</v>
      </c>
      <c r="T59">
        <v>3</v>
      </c>
      <c r="U59">
        <v>2</v>
      </c>
      <c r="V59" t="str">
        <v>Appartement</v>
      </c>
      <c r="W59" t="str">
        <v>Appartement</v>
      </c>
      <c r="X59" t="str">
        <v>Appartement &gt;100 m²</v>
      </c>
      <c r="Y59" t="str">
        <v>Ja</v>
      </c>
      <c r="Z59" t="str">
        <v>garage</v>
      </c>
      <c r="AA59" t="str">
        <v>2026</v>
      </c>
      <c r="AB59" t="str">
        <v>Nee</v>
      </c>
      <c r="AC59" t="str">
        <v>NEE</v>
      </c>
      <c r="AD59" t="str">
        <v>JA</v>
      </c>
    </row>
    <row r="60">
      <c r="A60" t="str">
        <v>44424938</v>
      </c>
      <c r="B60" t="str">
        <v>https://www.funda.nl/detail/koop/waalre/appartement-b3-10-2kmr-s2-rudolf-brabantia-bouwnr-43/44424938/</v>
      </c>
      <c r="C60" t="str">
        <v>Brabantiapark - Waalre</v>
      </c>
      <c r="D60" t="str">
        <v>B3-10 | 2kmr | S2 | Rudolf | Brabantia</v>
      </c>
      <c r="E60" t="str">
        <v>43</v>
      </c>
      <c r="F60" t="str">
        <v>5583 BP</v>
      </c>
      <c r="G60" t="str">
        <v>Waalre</v>
      </c>
      <c r="H60" t="str">
        <v>Waalre</v>
      </c>
      <c r="I60" t="str">
        <v>Noord-Brabant</v>
      </c>
      <c r="J60" t="str">
        <v>Zuid-Nederland</v>
      </c>
      <c r="K60" t="str">
        <v>Te koop</v>
      </c>
      <c r="L60" t="str">
        <v>Onbekend</v>
      </c>
      <c r="M60" t="str">
        <v>Onbekend</v>
      </c>
      <c r="N60">
        <v>347000</v>
      </c>
      <c r="O60" t="str">
        <v>v.o.n.</v>
      </c>
      <c r="P60">
        <v>49</v>
      </c>
      <c r="Q60">
        <v>7082</v>
      </c>
      <c r="R60" t="str">
        <v>Onbekend</v>
      </c>
      <c r="S60" t="str">
        <v>A++</v>
      </c>
      <c r="T60">
        <v>2</v>
      </c>
      <c r="U60">
        <v>1</v>
      </c>
      <c r="V60" t="str">
        <v>Appartement</v>
      </c>
      <c r="W60" t="str">
        <v>Appartement</v>
      </c>
      <c r="X60" t="str">
        <v>Appartement &lt;50 m²</v>
      </c>
      <c r="Y60" t="str">
        <v>Ja</v>
      </c>
      <c r="Z60" t="str">
        <v>garage</v>
      </c>
      <c r="AA60" t="str">
        <v>2026</v>
      </c>
      <c r="AB60" t="str">
        <v>Nee</v>
      </c>
      <c r="AC60" t="str">
        <v>NEE</v>
      </c>
      <c r="AD60" t="str">
        <v>JA</v>
      </c>
    </row>
    <row r="61">
      <c r="A61" t="str">
        <v>44424937</v>
      </c>
      <c r="B61" t="str">
        <v>https://www.funda.nl/detail/koop/waalre/appartement-b1-16-3kmr-j-dorus-brabantia-bouwnr-16/44424937/</v>
      </c>
      <c r="C61" t="str">
        <v>Brabantiapark - Waalre</v>
      </c>
      <c r="D61" t="str">
        <v>B1-16 | 3kmr | J | Dorus | Brabantia</v>
      </c>
      <c r="E61" t="str">
        <v>16</v>
      </c>
      <c r="F61" t="str">
        <v>5583 BP</v>
      </c>
      <c r="G61" t="str">
        <v>Waalre</v>
      </c>
      <c r="H61" t="str">
        <v>Waalre</v>
      </c>
      <c r="I61" t="str">
        <v>Noord-Brabant</v>
      </c>
      <c r="J61" t="str">
        <v>Zuid-Nederland</v>
      </c>
      <c r="K61" t="str">
        <v>Te koop</v>
      </c>
      <c r="L61" t="str">
        <v>Onbekend</v>
      </c>
      <c r="M61" t="str">
        <v>Onbekend</v>
      </c>
      <c r="N61">
        <v>935000</v>
      </c>
      <c r="O61" t="str">
        <v>v.o.n.</v>
      </c>
      <c r="P61">
        <v>136</v>
      </c>
      <c r="Q61">
        <v>6875</v>
      </c>
      <c r="R61" t="str">
        <v>Onbekend</v>
      </c>
      <c r="S61" t="str">
        <v>A++</v>
      </c>
      <c r="T61">
        <v>3</v>
      </c>
      <c r="U61">
        <v>2</v>
      </c>
      <c r="V61" t="str">
        <v>Appartement</v>
      </c>
      <c r="W61" t="str">
        <v>Appartement</v>
      </c>
      <c r="X61" t="str">
        <v>Appartement &gt;100 m²</v>
      </c>
      <c r="Y61" t="str">
        <v>Ja</v>
      </c>
      <c r="Z61" t="str">
        <v>garage</v>
      </c>
      <c r="AA61" t="str">
        <v>2026</v>
      </c>
      <c r="AB61" t="str">
        <v>Nee</v>
      </c>
      <c r="AC61" t="str">
        <v>NEE</v>
      </c>
      <c r="AD61" t="str">
        <v>JA</v>
      </c>
    </row>
    <row r="62">
      <c r="A62" t="str">
        <v>44424936</v>
      </c>
      <c r="B62" t="str">
        <v>https://www.funda.nl/detail/koop/waalre/appartement-b3-06-2kmr-s3-rudolf-brabantia-bouwnr-39/44424936/</v>
      </c>
      <c r="C62" t="str">
        <v>Brabantiapark - Waalre</v>
      </c>
      <c r="D62" t="str">
        <v>B3-06 | 2kmr | S3 | Rudolf | Brabantia</v>
      </c>
      <c r="E62" t="str">
        <v>39</v>
      </c>
      <c r="F62" t="str">
        <v>5583 BP</v>
      </c>
      <c r="G62" t="str">
        <v>Waalre</v>
      </c>
      <c r="H62" t="str">
        <v>Waalre</v>
      </c>
      <c r="I62" t="str">
        <v>Noord-Brabant</v>
      </c>
      <c r="J62" t="str">
        <v>Zuid-Nederland</v>
      </c>
      <c r="K62" t="str">
        <v>Te koop</v>
      </c>
      <c r="L62" t="str">
        <v>Onbekend</v>
      </c>
      <c r="M62" t="str">
        <v>Onbekend</v>
      </c>
      <c r="N62">
        <v>328500</v>
      </c>
      <c r="O62" t="str">
        <v>v.o.n.</v>
      </c>
      <c r="P62">
        <v>49</v>
      </c>
      <c r="Q62">
        <v>6704</v>
      </c>
      <c r="R62" t="str">
        <v>Onbekend</v>
      </c>
      <c r="S62" t="str">
        <v>A+++</v>
      </c>
      <c r="T62">
        <v>2</v>
      </c>
      <c r="U62">
        <v>1</v>
      </c>
      <c r="V62" t="str">
        <v>Appartement</v>
      </c>
      <c r="W62" t="str">
        <v>Appartement</v>
      </c>
      <c r="X62" t="str">
        <v>Appartement &lt;50 m²</v>
      </c>
      <c r="Y62" t="str">
        <v>Ja</v>
      </c>
      <c r="Z62" t="str">
        <v>garage</v>
      </c>
      <c r="AA62" t="str">
        <v>2026</v>
      </c>
      <c r="AB62" t="str">
        <v>Nee</v>
      </c>
      <c r="AC62" t="str">
        <v>NEE</v>
      </c>
      <c r="AD62" t="str">
        <v>JA</v>
      </c>
    </row>
    <row r="63">
      <c r="A63" t="str">
        <v>44424935</v>
      </c>
      <c r="B63" t="str">
        <v>https://www.funda.nl/detail/koop/waalre/appartement-b3-09-2kmr-s2-rudolf-brabantia-bouwnr-42/44424935/</v>
      </c>
      <c r="C63" t="str">
        <v>Brabantiapark - Waalre</v>
      </c>
      <c r="D63" t="str">
        <v>B3-09 | 2kmr | S2 | Rudolf | Brabantia</v>
      </c>
      <c r="E63" t="str">
        <v>42</v>
      </c>
      <c r="F63" t="str">
        <v>5583 BP</v>
      </c>
      <c r="G63" t="str">
        <v>Waalre</v>
      </c>
      <c r="H63" t="str">
        <v>Waalre</v>
      </c>
      <c r="I63" t="str">
        <v>Noord-Brabant</v>
      </c>
      <c r="J63" t="str">
        <v>Zuid-Nederland</v>
      </c>
      <c r="K63" t="str">
        <v>Te koop</v>
      </c>
      <c r="L63" t="str">
        <v>Onbekend</v>
      </c>
      <c r="M63" t="str">
        <v>Onbekend</v>
      </c>
      <c r="N63">
        <v>347000</v>
      </c>
      <c r="O63" t="str">
        <v>v.o.n.</v>
      </c>
      <c r="P63">
        <v>49</v>
      </c>
      <c r="Q63">
        <v>7082</v>
      </c>
      <c r="R63" t="str">
        <v>Onbekend</v>
      </c>
      <c r="S63" t="str">
        <v>A++</v>
      </c>
      <c r="T63">
        <v>2</v>
      </c>
      <c r="U63">
        <v>1</v>
      </c>
      <c r="V63" t="str">
        <v>Appartement</v>
      </c>
      <c r="W63" t="str">
        <v>Appartement</v>
      </c>
      <c r="X63" t="str">
        <v>Appartement &lt;50 m²</v>
      </c>
      <c r="Y63" t="str">
        <v>Ja</v>
      </c>
      <c r="Z63" t="str">
        <v>garage</v>
      </c>
      <c r="AA63" t="str">
        <v>2026</v>
      </c>
      <c r="AB63" t="str">
        <v>Nee</v>
      </c>
      <c r="AC63" t="str">
        <v>NEE</v>
      </c>
      <c r="AD63" t="str">
        <v>JA</v>
      </c>
    </row>
    <row r="64">
      <c r="A64" t="str">
        <v>44424934</v>
      </c>
      <c r="B64" t="str">
        <v>https://www.funda.nl/detail/koop/waalre/appartement-b2-14-3kmr-i-petrus-brabantia-bouwnr-31/44424934/</v>
      </c>
      <c r="C64" t="str">
        <v>Brabantiapark - Waalre</v>
      </c>
      <c r="D64" t="str">
        <v>B2-14 | 3kmr | I | Petrus | Brabantia</v>
      </c>
      <c r="E64" t="str">
        <v>31</v>
      </c>
      <c r="F64" t="str">
        <v>5583 BP</v>
      </c>
      <c r="G64" t="str">
        <v>Waalre</v>
      </c>
      <c r="H64" t="str">
        <v>Waalre</v>
      </c>
      <c r="I64" t="str">
        <v>Noord-Brabant</v>
      </c>
      <c r="J64" t="str">
        <v>Zuid-Nederland</v>
      </c>
      <c r="K64" t="str">
        <v>Te koop</v>
      </c>
      <c r="L64" t="str">
        <v>Onbekend</v>
      </c>
      <c r="M64" t="str">
        <v>Onbekend</v>
      </c>
      <c r="N64">
        <v>930000</v>
      </c>
      <c r="O64" t="str">
        <v>v.o.n.</v>
      </c>
      <c r="P64">
        <v>137</v>
      </c>
      <c r="Q64">
        <v>6788</v>
      </c>
      <c r="R64" t="str">
        <v>Onbekend</v>
      </c>
      <c r="S64" t="str">
        <v>A++</v>
      </c>
      <c r="T64">
        <v>3</v>
      </c>
      <c r="U64">
        <v>2</v>
      </c>
      <c r="V64" t="str">
        <v>Appartement</v>
      </c>
      <c r="W64" t="str">
        <v>Appartement</v>
      </c>
      <c r="X64" t="str">
        <v>Appartement &gt;100 m²</v>
      </c>
      <c r="Y64" t="str">
        <v>Ja</v>
      </c>
      <c r="Z64" t="str">
        <v>garage</v>
      </c>
      <c r="AA64" t="str">
        <v>2026</v>
      </c>
      <c r="AB64" t="str">
        <v>Nee</v>
      </c>
      <c r="AC64" t="str">
        <v>NEE</v>
      </c>
      <c r="AD64" t="str">
        <v>JA</v>
      </c>
    </row>
    <row r="65">
      <c r="A65" t="str">
        <v>44424922</v>
      </c>
      <c r="B65" t="str">
        <v>https://www.funda.nl/detail/koop/waalre/appartement-b2-10-3kmr-e-petrus-brabantia-bouwnr-27/44424922/</v>
      </c>
      <c r="C65" t="str">
        <v>Brabantiapark - Waalre</v>
      </c>
      <c r="D65" t="str">
        <v>B2-10 | 3kmr | E | Petrus | Brabantia</v>
      </c>
      <c r="E65" t="str">
        <v>27</v>
      </c>
      <c r="F65" t="str">
        <v>5583 BP</v>
      </c>
      <c r="G65" t="str">
        <v>Waalre</v>
      </c>
      <c r="H65" t="str">
        <v>Waalre</v>
      </c>
      <c r="I65" t="str">
        <v>Noord-Brabant</v>
      </c>
      <c r="J65" t="str">
        <v>Zuid-Nederland</v>
      </c>
      <c r="K65" t="str">
        <v>Te koop</v>
      </c>
      <c r="L65" t="str">
        <v>Onbekend</v>
      </c>
      <c r="M65" t="str">
        <v>Onbekend</v>
      </c>
      <c r="N65">
        <v>836500</v>
      </c>
      <c r="O65" t="str">
        <v>v.o.n.</v>
      </c>
      <c r="P65">
        <v>125</v>
      </c>
      <c r="Q65">
        <v>6692</v>
      </c>
      <c r="R65" t="str">
        <v>Onbekend</v>
      </c>
      <c r="S65" t="str">
        <v>A++</v>
      </c>
      <c r="T65">
        <v>3</v>
      </c>
      <c r="U65">
        <v>2</v>
      </c>
      <c r="V65" t="str">
        <v>Appartement</v>
      </c>
      <c r="W65" t="str">
        <v>Appartement</v>
      </c>
      <c r="X65" t="str">
        <v>Appartement &gt;100 m²</v>
      </c>
      <c r="Y65" t="str">
        <v>Ja</v>
      </c>
      <c r="Z65" t="str">
        <v>garage</v>
      </c>
      <c r="AA65" t="str">
        <v>2026</v>
      </c>
      <c r="AB65" t="str">
        <v>Nee</v>
      </c>
      <c r="AC65" t="str">
        <v>NEE</v>
      </c>
      <c r="AD65" t="str">
        <v>JA</v>
      </c>
    </row>
    <row r="66">
      <c r="A66" t="str">
        <v>44424921</v>
      </c>
      <c r="B66" t="str">
        <v>https://www.funda.nl/detail/koop/waalre/appartement-b3-07-2kmr-s3-rudolf-brabantia-bouwnr-40/44424921/</v>
      </c>
      <c r="C66" t="str">
        <v>Brabantiapark - Waalre</v>
      </c>
      <c r="D66" t="str">
        <v>B3-07 | 2kmr | S3 | Rudolf | Brabantia</v>
      </c>
      <c r="E66" t="str">
        <v>40</v>
      </c>
      <c r="F66" t="str">
        <v>5583 BP</v>
      </c>
      <c r="G66" t="str">
        <v>Waalre</v>
      </c>
      <c r="H66" t="str">
        <v>Waalre</v>
      </c>
      <c r="I66" t="str">
        <v>Noord-Brabant</v>
      </c>
      <c r="J66" t="str">
        <v>Zuid-Nederland</v>
      </c>
      <c r="K66" t="str">
        <v>Te koop</v>
      </c>
      <c r="L66" t="str">
        <v>Onbekend</v>
      </c>
      <c r="M66" t="str">
        <v>Onbekend</v>
      </c>
      <c r="N66">
        <v>328500</v>
      </c>
      <c r="O66" t="str">
        <v>v.o.n.</v>
      </c>
      <c r="P66">
        <v>49</v>
      </c>
      <c r="Q66">
        <v>6704</v>
      </c>
      <c r="R66" t="str">
        <v>Onbekend</v>
      </c>
      <c r="S66" t="str">
        <v>A+++</v>
      </c>
      <c r="T66">
        <v>2</v>
      </c>
      <c r="U66">
        <v>1</v>
      </c>
      <c r="V66" t="str">
        <v>Appartement</v>
      </c>
      <c r="W66" t="str">
        <v>Appartement</v>
      </c>
      <c r="X66" t="str">
        <v>Appartement &lt;50 m²</v>
      </c>
      <c r="Y66" t="str">
        <v>Ja</v>
      </c>
      <c r="Z66" t="str">
        <v>garage</v>
      </c>
      <c r="AA66" t="str">
        <v>2026</v>
      </c>
      <c r="AB66" t="str">
        <v>Nee</v>
      </c>
      <c r="AC66" t="str">
        <v>NEE</v>
      </c>
      <c r="AD66" t="str">
        <v>JA</v>
      </c>
    </row>
    <row r="67">
      <c r="A67" t="str">
        <v>44424920</v>
      </c>
      <c r="B67" t="str">
        <v>https://www.funda.nl/detail/koop/waalre/appartement-b3-04-2kmr-s2-rudolf-brabantia-bouwnr-37/44424920/</v>
      </c>
      <c r="C67" t="str">
        <v>Brabantiapark - Waalre</v>
      </c>
      <c r="D67" t="str">
        <v>B3-04 | 2kmr | S2 | Rudolf | Brabantia</v>
      </c>
      <c r="E67" t="str">
        <v>37</v>
      </c>
      <c r="F67" t="str">
        <v>5583 BP</v>
      </c>
      <c r="G67" t="str">
        <v>Waalre</v>
      </c>
      <c r="H67" t="str">
        <v>Waalre</v>
      </c>
      <c r="I67" t="str">
        <v>Noord-Brabant</v>
      </c>
      <c r="J67" t="str">
        <v>Zuid-Nederland</v>
      </c>
      <c r="K67" t="str">
        <v>Te koop</v>
      </c>
      <c r="L67" t="str">
        <v>Onbekend</v>
      </c>
      <c r="M67" t="str">
        <v>Onbekend</v>
      </c>
      <c r="N67">
        <v>345500</v>
      </c>
      <c r="O67" t="str">
        <v>v.o.n.</v>
      </c>
      <c r="P67">
        <v>49</v>
      </c>
      <c r="Q67">
        <v>7051</v>
      </c>
      <c r="R67" t="str">
        <v>Onbekend</v>
      </c>
      <c r="S67" t="str">
        <v>A++</v>
      </c>
      <c r="T67">
        <v>2</v>
      </c>
      <c r="U67">
        <v>1</v>
      </c>
      <c r="V67" t="str">
        <v>Appartement</v>
      </c>
      <c r="W67" t="str">
        <v>Appartement</v>
      </c>
      <c r="X67" t="str">
        <v>Appartement &lt;50 m²</v>
      </c>
      <c r="Y67" t="str">
        <v>Ja</v>
      </c>
      <c r="Z67" t="str">
        <v>garage</v>
      </c>
      <c r="AA67" t="str">
        <v>2026</v>
      </c>
      <c r="AB67" t="str">
        <v>Nee</v>
      </c>
      <c r="AC67" t="str">
        <v>NEE</v>
      </c>
      <c r="AD67" t="str">
        <v>JA</v>
      </c>
    </row>
    <row r="68">
      <c r="A68" t="str">
        <v>44424928</v>
      </c>
      <c r="B68" t="str">
        <v>https://www.funda.nl/detail/koop/waalre/appartement-b1-11-3kmr-f-dorus-brabantia-bouwnr-11/44424928/</v>
      </c>
      <c r="C68" t="str">
        <v>Brabantiapark - Waalre</v>
      </c>
      <c r="D68" t="str">
        <v>B1-11 | 3kmr | F | Dorus | Brabantia</v>
      </c>
      <c r="E68" t="str">
        <v>11</v>
      </c>
      <c r="F68" t="str">
        <v>5583 BP</v>
      </c>
      <c r="G68" t="str">
        <v>Waalre</v>
      </c>
      <c r="H68" t="str">
        <v>Waalre</v>
      </c>
      <c r="I68" t="str">
        <v>Noord-Brabant</v>
      </c>
      <c r="J68" t="str">
        <v>Zuid-Nederland</v>
      </c>
      <c r="K68" t="str">
        <v>Te koop</v>
      </c>
      <c r="L68" t="str">
        <v>Onbekend</v>
      </c>
      <c r="M68" t="str">
        <v>Onbekend</v>
      </c>
      <c r="N68">
        <v>844500</v>
      </c>
      <c r="O68" t="str">
        <v>v.o.n.</v>
      </c>
      <c r="P68">
        <v>125</v>
      </c>
      <c r="Q68">
        <v>6756</v>
      </c>
      <c r="R68" t="str">
        <v>Onbekend</v>
      </c>
      <c r="S68" t="str">
        <v>A+++</v>
      </c>
      <c r="T68">
        <v>3</v>
      </c>
      <c r="U68">
        <v>2</v>
      </c>
      <c r="V68" t="str">
        <v>Appartement</v>
      </c>
      <c r="W68" t="str">
        <v>Appartement</v>
      </c>
      <c r="X68" t="str">
        <v>Appartement &gt;100 m²</v>
      </c>
      <c r="Y68" t="str">
        <v>Ja</v>
      </c>
      <c r="Z68" t="str">
        <v>garage</v>
      </c>
      <c r="AA68" t="str">
        <v>2026</v>
      </c>
      <c r="AB68" t="str">
        <v>Nee</v>
      </c>
      <c r="AC68" t="str">
        <v>NEE</v>
      </c>
      <c r="AD68" t="str">
        <v>JA</v>
      </c>
    </row>
    <row r="69">
      <c r="A69" t="str">
        <v>44424927</v>
      </c>
      <c r="B69" t="str">
        <v>https://www.funda.nl/detail/koop/waalre/appartement-b2-02-3kmr-b-petrus-brabantia-bouwnr-19/44424927/</v>
      </c>
      <c r="C69" t="str">
        <v>Brabantiapark - Waalre</v>
      </c>
      <c r="D69" t="str">
        <v>B2-02 | 3kmr | B | Petrus | Brabantia</v>
      </c>
      <c r="E69" t="str">
        <v>19</v>
      </c>
      <c r="F69" t="str">
        <v>5583 BP</v>
      </c>
      <c r="G69" t="str">
        <v>Waalre</v>
      </c>
      <c r="H69" t="str">
        <v>Waalre</v>
      </c>
      <c r="I69" t="str">
        <v>Noord-Brabant</v>
      </c>
      <c r="J69" t="str">
        <v>Zuid-Nederland</v>
      </c>
      <c r="K69" t="str">
        <v>Te koop</v>
      </c>
      <c r="L69" t="str">
        <v>Onbekend</v>
      </c>
      <c r="M69" t="str">
        <v>Onbekend</v>
      </c>
      <c r="N69">
        <v>937500</v>
      </c>
      <c r="O69" t="str">
        <v>v.o.n.</v>
      </c>
      <c r="P69">
        <v>140</v>
      </c>
      <c r="Q69">
        <v>6696</v>
      </c>
      <c r="R69" t="str">
        <v>Onbekend</v>
      </c>
      <c r="S69" t="str">
        <v>A++</v>
      </c>
      <c r="T69">
        <v>3</v>
      </c>
      <c r="U69">
        <v>2</v>
      </c>
      <c r="V69" t="str">
        <v>Appartement</v>
      </c>
      <c r="W69" t="str">
        <v>Appartement</v>
      </c>
      <c r="X69" t="str">
        <v>Appartement &gt;100 m²</v>
      </c>
      <c r="Y69" t="str">
        <v>Ja</v>
      </c>
      <c r="Z69" t="str">
        <v>garage</v>
      </c>
      <c r="AA69" t="str">
        <v>2026</v>
      </c>
      <c r="AB69" t="str">
        <v>Nee</v>
      </c>
      <c r="AC69" t="str">
        <v>NEE</v>
      </c>
      <c r="AD69" t="str">
        <v>JA</v>
      </c>
    </row>
    <row r="70">
      <c r="A70" t="str">
        <v>44424924</v>
      </c>
      <c r="B70" t="str">
        <v>https://www.funda.nl/detail/koop/waalre/appartement-b2-07-3kmr-b-petrus-brabantia-bouwnr-24/44424924/</v>
      </c>
      <c r="C70" t="str">
        <v>Brabantiapark - Waalre</v>
      </c>
      <c r="D70" t="str">
        <v>B2-07 | 3kmr | B | Petrus | Brabantia</v>
      </c>
      <c r="E70" t="str">
        <v>24</v>
      </c>
      <c r="F70" t="str">
        <v>5583 BP</v>
      </c>
      <c r="G70" t="str">
        <v>Waalre</v>
      </c>
      <c r="H70" t="str">
        <v>Waalre</v>
      </c>
      <c r="I70" t="str">
        <v>Noord-Brabant</v>
      </c>
      <c r="J70" t="str">
        <v>Zuid-Nederland</v>
      </c>
      <c r="K70" t="str">
        <v>Te koop</v>
      </c>
      <c r="L70" t="str">
        <v>2026-07-09</v>
      </c>
      <c r="M70">
        <v>4</v>
      </c>
      <c r="N70">
        <v>941500</v>
      </c>
      <c r="O70" t="str">
        <v>v.o.n.</v>
      </c>
      <c r="P70">
        <v>140</v>
      </c>
      <c r="Q70">
        <v>6725</v>
      </c>
      <c r="R70" t="str">
        <v>Onbekend</v>
      </c>
      <c r="S70" t="str">
        <v>A+++</v>
      </c>
      <c r="T70">
        <v>3</v>
      </c>
      <c r="U70">
        <v>2</v>
      </c>
      <c r="V70" t="str">
        <v>Appartement</v>
      </c>
      <c r="W70" t="str">
        <v>Appartement</v>
      </c>
      <c r="X70" t="str">
        <v>Appartement &gt;100 m²</v>
      </c>
      <c r="Y70" t="str">
        <v>Ja</v>
      </c>
      <c r="Z70" t="str">
        <v>garage</v>
      </c>
      <c r="AA70" t="str">
        <v>2026</v>
      </c>
      <c r="AB70" t="str">
        <v>Nee</v>
      </c>
      <c r="AC70" t="str">
        <v>NEE</v>
      </c>
      <c r="AD70" t="str">
        <v>JA</v>
      </c>
    </row>
    <row r="71">
      <c r="A71" t="str">
        <v>44424923</v>
      </c>
      <c r="B71" t="str">
        <v>https://www.funda.nl/detail/koop/waalre/appartement-b1-12-3kmr-g-dorus-brabantia-bouwnr-12/44424923/</v>
      </c>
      <c r="C71" t="str">
        <v>Brabantiapark - Waalre</v>
      </c>
      <c r="D71" t="str">
        <v>B1-12 | 3kmr | G | Dorus | Brabantia</v>
      </c>
      <c r="E71" t="str">
        <v>12</v>
      </c>
      <c r="F71" t="str">
        <v>5583 BP</v>
      </c>
      <c r="G71" t="str">
        <v>Waalre</v>
      </c>
      <c r="H71" t="str">
        <v>Waalre</v>
      </c>
      <c r="I71" t="str">
        <v>Noord-Brabant</v>
      </c>
      <c r="J71" t="str">
        <v>Zuid-Nederland</v>
      </c>
      <c r="K71" t="str">
        <v>Te koop</v>
      </c>
      <c r="L71" t="str">
        <v>Onbekend</v>
      </c>
      <c r="M71" t="str">
        <v>Onbekend</v>
      </c>
      <c r="N71">
        <v>1099000</v>
      </c>
      <c r="O71" t="str">
        <v>v.o.n.</v>
      </c>
      <c r="P71">
        <v>165</v>
      </c>
      <c r="Q71">
        <v>6661</v>
      </c>
      <c r="R71" t="str">
        <v>Onbekend</v>
      </c>
      <c r="S71" t="str">
        <v>A+++</v>
      </c>
      <c r="T71">
        <v>3</v>
      </c>
      <c r="U71">
        <v>2</v>
      </c>
      <c r="V71" t="str">
        <v>Appartement</v>
      </c>
      <c r="W71" t="str">
        <v>Appartement</v>
      </c>
      <c r="X71" t="str">
        <v>Appartement &gt;100 m²</v>
      </c>
      <c r="Y71" t="str">
        <v>Ja</v>
      </c>
      <c r="Z71" t="str">
        <v>garage</v>
      </c>
      <c r="AA71" t="str">
        <v>2026</v>
      </c>
      <c r="AB71" t="str">
        <v>Nee</v>
      </c>
      <c r="AC71" t="str">
        <v>NEE</v>
      </c>
      <c r="AD71" t="str">
        <v>JA</v>
      </c>
    </row>
    <row r="72">
      <c r="A72" t="str">
        <v>44424912</v>
      </c>
      <c r="B72" t="str">
        <v>https://www.funda.nl/detail/koop/waalre/appartement-b2-05-3kmr-e-petrus-brabantia-bouwnr-22/44424912/</v>
      </c>
      <c r="C72" t="str">
        <v>Brabantiapark - Waalre</v>
      </c>
      <c r="D72" t="str">
        <v>B2-05 | 3kmr | E | Petrus | Brabantia</v>
      </c>
      <c r="E72" t="str">
        <v>22</v>
      </c>
      <c r="F72" t="str">
        <v>5583 BP</v>
      </c>
      <c r="G72" t="str">
        <v>Waalre</v>
      </c>
      <c r="H72" t="str">
        <v>Waalre</v>
      </c>
      <c r="I72" t="str">
        <v>Noord-Brabant</v>
      </c>
      <c r="J72" t="str">
        <v>Zuid-Nederland</v>
      </c>
      <c r="K72" t="str">
        <v>Te koop</v>
      </c>
      <c r="L72" t="str">
        <v>Onbekend</v>
      </c>
      <c r="M72" t="str">
        <v>Onbekend</v>
      </c>
      <c r="N72">
        <v>832500</v>
      </c>
      <c r="O72" t="str">
        <v>v.o.n.</v>
      </c>
      <c r="P72">
        <v>125</v>
      </c>
      <c r="Q72">
        <v>6660</v>
      </c>
      <c r="R72" t="str">
        <v>Onbekend</v>
      </c>
      <c r="S72" t="str">
        <v>A++</v>
      </c>
      <c r="T72">
        <v>3</v>
      </c>
      <c r="U72">
        <v>2</v>
      </c>
      <c r="V72" t="str">
        <v>Appartement</v>
      </c>
      <c r="W72" t="str">
        <v>Appartement</v>
      </c>
      <c r="X72" t="str">
        <v>Appartement &gt;100 m²</v>
      </c>
      <c r="Y72" t="str">
        <v>Ja</v>
      </c>
      <c r="Z72" t="str">
        <v>garage</v>
      </c>
      <c r="AA72" t="str">
        <v>2026</v>
      </c>
      <c r="AB72" t="str">
        <v>Nee</v>
      </c>
      <c r="AC72" t="str">
        <v>NEE</v>
      </c>
      <c r="AD72" t="str">
        <v>JA</v>
      </c>
    </row>
    <row r="73">
      <c r="A73" t="str">
        <v>44424911</v>
      </c>
      <c r="B73" t="str">
        <v>https://www.funda.nl/detail/koop/waalre/appartement-b2-11-3kmr-f-dorus-brabantia-bouwnr-28/44424911/</v>
      </c>
      <c r="C73" t="str">
        <v>Brabantiapark - Waalre</v>
      </c>
      <c r="D73" t="str">
        <v>B2-11 | 3kmr | F | Dorus | Brabantia</v>
      </c>
      <c r="E73" t="str">
        <v>28</v>
      </c>
      <c r="F73" t="str">
        <v>5583 BP</v>
      </c>
      <c r="G73" t="str">
        <v>Waalre</v>
      </c>
      <c r="H73" t="str">
        <v>Waalre</v>
      </c>
      <c r="I73" t="str">
        <v>Noord-Brabant</v>
      </c>
      <c r="J73" t="str">
        <v>Zuid-Nederland</v>
      </c>
      <c r="K73" t="str">
        <v>Te koop</v>
      </c>
      <c r="L73" t="str">
        <v>Onbekend</v>
      </c>
      <c r="M73" t="str">
        <v>Onbekend</v>
      </c>
      <c r="N73">
        <v>860000</v>
      </c>
      <c r="O73" t="str">
        <v>v.o.n.</v>
      </c>
      <c r="P73">
        <v>125</v>
      </c>
      <c r="Q73">
        <v>6880</v>
      </c>
      <c r="R73" t="str">
        <v>Onbekend</v>
      </c>
      <c r="S73" t="str">
        <v>A+++</v>
      </c>
      <c r="T73">
        <v>3</v>
      </c>
      <c r="U73">
        <v>2</v>
      </c>
      <c r="V73" t="str">
        <v>Appartement</v>
      </c>
      <c r="W73" t="str">
        <v>Appartement</v>
      </c>
      <c r="X73" t="str">
        <v>Appartement &gt;100 m²</v>
      </c>
      <c r="Y73" t="str">
        <v>Ja</v>
      </c>
      <c r="Z73" t="str">
        <v>garage</v>
      </c>
      <c r="AA73" t="str">
        <v>2026</v>
      </c>
      <c r="AB73" t="str">
        <v>Nee</v>
      </c>
      <c r="AC73" t="str">
        <v>NEE</v>
      </c>
      <c r="AD73" t="str">
        <v>JA</v>
      </c>
    </row>
    <row r="74">
      <c r="A74" t="str">
        <v>44424910</v>
      </c>
      <c r="B74" t="str">
        <v>https://www.funda.nl/detail/koop/waalre/appartement-b2-04-3kmr-d-petrus-brabantia-bouwnr-21/44424910/</v>
      </c>
      <c r="C74" t="str">
        <v>Brabantiapark - Waalre</v>
      </c>
      <c r="D74" t="str">
        <v>B2-04 | 3kmr | D | Petrus | Brabantia</v>
      </c>
      <c r="E74" t="str">
        <v>21</v>
      </c>
      <c r="F74" t="str">
        <v>5583 BP</v>
      </c>
      <c r="G74" t="str">
        <v>Waalre</v>
      </c>
      <c r="H74" t="str">
        <v>Waalre</v>
      </c>
      <c r="I74" t="str">
        <v>Noord-Brabant</v>
      </c>
      <c r="J74" t="str">
        <v>Zuid-Nederland</v>
      </c>
      <c r="K74" t="str">
        <v>Te koop</v>
      </c>
      <c r="L74" t="str">
        <v>Onbekend</v>
      </c>
      <c r="M74" t="str">
        <v>Onbekend</v>
      </c>
      <c r="N74">
        <v>791000</v>
      </c>
      <c r="O74" t="str">
        <v>v.o.n.</v>
      </c>
      <c r="P74">
        <v>116</v>
      </c>
      <c r="Q74">
        <v>6819</v>
      </c>
      <c r="R74" t="str">
        <v>Onbekend</v>
      </c>
      <c r="S74" t="str">
        <v>A++</v>
      </c>
      <c r="T74">
        <v>3</v>
      </c>
      <c r="U74">
        <v>2</v>
      </c>
      <c r="V74" t="str">
        <v>Appartement</v>
      </c>
      <c r="W74" t="str">
        <v>Appartement</v>
      </c>
      <c r="X74" t="str">
        <v>Appartement &gt;100 m²</v>
      </c>
      <c r="Y74" t="str">
        <v>Ja</v>
      </c>
      <c r="Z74" t="str">
        <v>garage</v>
      </c>
      <c r="AA74" t="str">
        <v>2026</v>
      </c>
      <c r="AB74" t="str">
        <v>Nee</v>
      </c>
      <c r="AC74" t="str">
        <v>NEE</v>
      </c>
      <c r="AD74" t="str">
        <v>JA</v>
      </c>
    </row>
    <row r="75">
      <c r="A75" t="str">
        <v>44424919</v>
      </c>
      <c r="B75" t="str">
        <v>https://www.funda.nl/detail/koop/waalre/appartement-b1-02-3kmr-b-dorus-brabantia-bouwnr-2/44424919/</v>
      </c>
      <c r="C75" t="str">
        <v>Brabantiapark - Waalre</v>
      </c>
      <c r="D75" t="str">
        <v>B1-02 | 3kmr | B | Dorus | Brabantia</v>
      </c>
      <c r="E75" t="str">
        <v>2</v>
      </c>
      <c r="F75" t="str">
        <v>5583 BP</v>
      </c>
      <c r="G75" t="str">
        <v>Waalre</v>
      </c>
      <c r="H75" t="str">
        <v>Waalre</v>
      </c>
      <c r="I75" t="str">
        <v>Noord-Brabant</v>
      </c>
      <c r="J75" t="str">
        <v>Zuid-Nederland</v>
      </c>
      <c r="K75" t="str">
        <v>Te koop</v>
      </c>
      <c r="L75" t="str">
        <v>Onbekend</v>
      </c>
      <c r="M75" t="str">
        <v>Onbekend</v>
      </c>
      <c r="N75">
        <v>935000</v>
      </c>
      <c r="O75" t="str">
        <v>v.o.n.</v>
      </c>
      <c r="P75">
        <v>141</v>
      </c>
      <c r="Q75">
        <v>6631</v>
      </c>
      <c r="R75" t="str">
        <v>Onbekend</v>
      </c>
      <c r="S75" t="str">
        <v>A+++</v>
      </c>
      <c r="T75">
        <v>3</v>
      </c>
      <c r="U75">
        <v>2</v>
      </c>
      <c r="V75" t="str">
        <v>Appartement</v>
      </c>
      <c r="W75" t="str">
        <v>Appartement</v>
      </c>
      <c r="X75" t="str">
        <v>Appartement &gt;100 m²</v>
      </c>
      <c r="Y75" t="str">
        <v>Ja</v>
      </c>
      <c r="Z75" t="str">
        <v>garage</v>
      </c>
      <c r="AA75" t="str">
        <v>2026</v>
      </c>
      <c r="AB75" t="str">
        <v>Nee</v>
      </c>
      <c r="AC75" t="str">
        <v>NEE</v>
      </c>
      <c r="AD75" t="str">
        <v>JA</v>
      </c>
    </row>
    <row r="76">
      <c r="A76" t="str">
        <v>44424918</v>
      </c>
      <c r="B76" t="str">
        <v>https://www.funda.nl/detail/koop/waalre/appartement-b1-13-3kmr-h-dorus-brabantia-bouwnr-13/44424918/</v>
      </c>
      <c r="C76" t="str">
        <v>Brabantiapark - Waalre</v>
      </c>
      <c r="D76" t="str">
        <v>B1-13 | 3kmr | H | Dorus | Brabantia</v>
      </c>
      <c r="E76" t="str">
        <v>13</v>
      </c>
      <c r="F76" t="str">
        <v>5583 BP</v>
      </c>
      <c r="G76" t="str">
        <v>Waalre</v>
      </c>
      <c r="H76" t="str">
        <v>Waalre</v>
      </c>
      <c r="I76" t="str">
        <v>Noord-Brabant</v>
      </c>
      <c r="J76" t="str">
        <v>Zuid-Nederland</v>
      </c>
      <c r="K76" t="str">
        <v>Te koop</v>
      </c>
      <c r="L76" t="str">
        <v>Onbekend</v>
      </c>
      <c r="M76" t="str">
        <v>Onbekend</v>
      </c>
      <c r="N76">
        <v>834000</v>
      </c>
      <c r="O76" t="str">
        <v>v.o.n.</v>
      </c>
      <c r="P76">
        <v>123</v>
      </c>
      <c r="Q76">
        <v>6780</v>
      </c>
      <c r="R76" t="str">
        <v>Onbekend</v>
      </c>
      <c r="S76" t="str">
        <v>A+++</v>
      </c>
      <c r="T76">
        <v>3</v>
      </c>
      <c r="U76">
        <v>2</v>
      </c>
      <c r="V76" t="str">
        <v>Appartement</v>
      </c>
      <c r="W76" t="str">
        <v>Appartement</v>
      </c>
      <c r="X76" t="str">
        <v>Appartement &gt;100 m²</v>
      </c>
      <c r="Y76" t="str">
        <v>Ja</v>
      </c>
      <c r="Z76" t="str">
        <v>garage</v>
      </c>
      <c r="AA76" t="str">
        <v>2026</v>
      </c>
      <c r="AB76" t="str">
        <v>Nee</v>
      </c>
      <c r="AC76" t="str">
        <v>NEE</v>
      </c>
      <c r="AD76" t="str">
        <v>JA</v>
      </c>
    </row>
    <row r="77">
      <c r="A77" t="str">
        <v>44424917</v>
      </c>
      <c r="B77" t="str">
        <v>https://www.funda.nl/detail/koop/waalre/appartement-b1-10-3kmr-e-dorus-brabantia-bouwnr-10/44424917/</v>
      </c>
      <c r="C77" t="str">
        <v>Brabantiapark - Waalre</v>
      </c>
      <c r="D77" t="str">
        <v>B1-10 | 3kmr | E | Dorus | Brabantia</v>
      </c>
      <c r="E77" t="str">
        <v>10</v>
      </c>
      <c r="F77" t="str">
        <v>5583 BP</v>
      </c>
      <c r="G77" t="str">
        <v>Waalre</v>
      </c>
      <c r="H77" t="str">
        <v>Waalre</v>
      </c>
      <c r="I77" t="str">
        <v>Noord-Brabant</v>
      </c>
      <c r="J77" t="str">
        <v>Zuid-Nederland</v>
      </c>
      <c r="K77" t="str">
        <v>Te koop</v>
      </c>
      <c r="L77" t="str">
        <v>Onbekend</v>
      </c>
      <c r="M77" t="str">
        <v>Onbekend</v>
      </c>
      <c r="N77">
        <v>842000</v>
      </c>
      <c r="O77" t="str">
        <v>v.o.n.</v>
      </c>
      <c r="P77">
        <v>125</v>
      </c>
      <c r="Q77">
        <v>6736</v>
      </c>
      <c r="R77" t="str">
        <v>Onbekend</v>
      </c>
      <c r="S77" t="str">
        <v>A+++</v>
      </c>
      <c r="T77">
        <v>3</v>
      </c>
      <c r="U77">
        <v>2</v>
      </c>
      <c r="V77" t="str">
        <v>Appartement</v>
      </c>
      <c r="W77" t="str">
        <v>Appartement</v>
      </c>
      <c r="X77" t="str">
        <v>Appartement &gt;100 m²</v>
      </c>
      <c r="Y77" t="str">
        <v>Ja</v>
      </c>
      <c r="Z77" t="str">
        <v>garage</v>
      </c>
      <c r="AA77" t="str">
        <v>2026</v>
      </c>
      <c r="AB77" t="str">
        <v>Nee</v>
      </c>
      <c r="AC77" t="str">
        <v>NEE</v>
      </c>
      <c r="AD77" t="str">
        <v>JA</v>
      </c>
    </row>
    <row r="78">
      <c r="A78" t="str">
        <v>44424916</v>
      </c>
      <c r="B78" t="str">
        <v>https://www.funda.nl/detail/koop/waalre/appartement-b1-08-3kmr-c-dorus-brabantia-bouwnr-8/44424916/</v>
      </c>
      <c r="C78" t="str">
        <v>Brabantiapark - Waalre</v>
      </c>
      <c r="D78" t="str">
        <v>B1-08 | 3kmr | C | Dorus | Brabantia</v>
      </c>
      <c r="E78" t="str">
        <v>8</v>
      </c>
      <c r="F78" t="str">
        <v>5583 BP</v>
      </c>
      <c r="G78" t="str">
        <v>Waalre</v>
      </c>
      <c r="H78" t="str">
        <v>Waalre</v>
      </c>
      <c r="I78" t="str">
        <v>Noord-Brabant</v>
      </c>
      <c r="J78" t="str">
        <v>Zuid-Nederland</v>
      </c>
      <c r="K78" t="str">
        <v>Te koop</v>
      </c>
      <c r="L78" t="str">
        <v>Onbekend</v>
      </c>
      <c r="M78" t="str">
        <v>Onbekend</v>
      </c>
      <c r="N78">
        <v>852000</v>
      </c>
      <c r="O78" t="str">
        <v>v.o.n.</v>
      </c>
      <c r="P78">
        <v>128</v>
      </c>
      <c r="Q78">
        <v>6656</v>
      </c>
      <c r="R78" t="str">
        <v>Onbekend</v>
      </c>
      <c r="S78" t="str">
        <v>A+++</v>
      </c>
      <c r="T78">
        <v>3</v>
      </c>
      <c r="U78">
        <v>2</v>
      </c>
      <c r="V78" t="str">
        <v>Appartement</v>
      </c>
      <c r="W78" t="str">
        <v>Appartement</v>
      </c>
      <c r="X78" t="str">
        <v>Appartement &gt;100 m²</v>
      </c>
      <c r="Y78" t="str">
        <v>Ja</v>
      </c>
      <c r="Z78" t="str">
        <v>garage</v>
      </c>
      <c r="AA78" t="str">
        <v>2026</v>
      </c>
      <c r="AB78" t="str">
        <v>Nee</v>
      </c>
      <c r="AC78" t="str">
        <v>NEE</v>
      </c>
      <c r="AD78" t="str">
        <v>JA</v>
      </c>
    </row>
    <row r="79">
      <c r="A79" t="str">
        <v>44424915</v>
      </c>
      <c r="B79" t="str">
        <v>https://www.funda.nl/detail/koop/waalre/appartement-b2-03-3kmr-c-petrus-brabantia-bouwnr-20/44424915/</v>
      </c>
      <c r="C79" t="str">
        <v>Brabantiapark - Waalre</v>
      </c>
      <c r="D79" t="str">
        <v>B2-03 | 3kmr | C | Petrus | Brabantia</v>
      </c>
      <c r="E79" t="str">
        <v>20</v>
      </c>
      <c r="F79" t="str">
        <v>5583 BP</v>
      </c>
      <c r="G79" t="str">
        <v>Waalre</v>
      </c>
      <c r="H79" t="str">
        <v>Waalre</v>
      </c>
      <c r="I79" t="str">
        <v>Noord-Brabant</v>
      </c>
      <c r="J79" t="str">
        <v>Zuid-Nederland</v>
      </c>
      <c r="K79" t="str">
        <v>Te koop</v>
      </c>
      <c r="L79" t="str">
        <v>Onbekend</v>
      </c>
      <c r="M79" t="str">
        <v>Onbekend</v>
      </c>
      <c r="N79">
        <v>873500</v>
      </c>
      <c r="O79" t="str">
        <v>v.o.n.</v>
      </c>
      <c r="P79">
        <v>128</v>
      </c>
      <c r="Q79">
        <v>6824</v>
      </c>
      <c r="R79" t="str">
        <v>Onbekend</v>
      </c>
      <c r="S79" t="str">
        <v>A++</v>
      </c>
      <c r="T79">
        <v>3</v>
      </c>
      <c r="U79">
        <v>2</v>
      </c>
      <c r="V79" t="str">
        <v>Appartement</v>
      </c>
      <c r="W79" t="str">
        <v>Appartement</v>
      </c>
      <c r="X79" t="str">
        <v>Appartement &gt;100 m²</v>
      </c>
      <c r="Y79" t="str">
        <v>Ja</v>
      </c>
      <c r="Z79" t="str">
        <v>garage</v>
      </c>
      <c r="AA79" t="str">
        <v>2026</v>
      </c>
      <c r="AB79" t="str">
        <v>Nee</v>
      </c>
      <c r="AC79" t="str">
        <v>NEE</v>
      </c>
      <c r="AD79" t="str">
        <v>JA</v>
      </c>
    </row>
    <row r="80">
      <c r="A80" t="str">
        <v>44424914</v>
      </c>
      <c r="B80" t="str">
        <v>https://www.funda.nl/detail/koop/waalre/appartement-b1-07-3kmr-b-dorus-brabantia-bouwnr-7/44424914/</v>
      </c>
      <c r="C80" t="str">
        <v>Brabantiapark - Waalre</v>
      </c>
      <c r="D80" t="str">
        <v>B1-07 | 3kmr | B | Dorus | Brabantia</v>
      </c>
      <c r="E80" t="str">
        <v>7</v>
      </c>
      <c r="F80" t="str">
        <v>5583 BP</v>
      </c>
      <c r="G80" t="str">
        <v>Waalre</v>
      </c>
      <c r="H80" t="str">
        <v>Waalre</v>
      </c>
      <c r="I80" t="str">
        <v>Noord-Brabant</v>
      </c>
      <c r="J80" t="str">
        <v>Zuid-Nederland</v>
      </c>
      <c r="K80" t="str">
        <v>Te koop</v>
      </c>
      <c r="L80" t="str">
        <v>Onbekend</v>
      </c>
      <c r="M80" t="str">
        <v>Onbekend</v>
      </c>
      <c r="N80">
        <v>939000</v>
      </c>
      <c r="O80" t="str">
        <v>v.o.n.</v>
      </c>
      <c r="P80">
        <v>141</v>
      </c>
      <c r="Q80">
        <v>6660</v>
      </c>
      <c r="R80" t="str">
        <v>Onbekend</v>
      </c>
      <c r="S80" t="str">
        <v>A+++</v>
      </c>
      <c r="T80">
        <v>3</v>
      </c>
      <c r="U80">
        <v>2</v>
      </c>
      <c r="V80" t="str">
        <v>Appartement</v>
      </c>
      <c r="W80" t="str">
        <v>Appartement</v>
      </c>
      <c r="X80" t="str">
        <v>Appartement &gt;100 m²</v>
      </c>
      <c r="Y80" t="str">
        <v>Ja</v>
      </c>
      <c r="Z80" t="str">
        <v>garage</v>
      </c>
      <c r="AA80" t="str">
        <v>2026</v>
      </c>
      <c r="AB80" t="str">
        <v>Nee</v>
      </c>
      <c r="AC80" t="str">
        <v>NEE</v>
      </c>
      <c r="AD80" t="str">
        <v>JA</v>
      </c>
    </row>
    <row r="81">
      <c r="A81" t="str">
        <v>44424913</v>
      </c>
      <c r="B81" t="str">
        <v>https://www.funda.nl/detail/koop/waalre/appartement-b1-04-3kmr-d-dorus-brabantia-bouwnr-4/44424913/</v>
      </c>
      <c r="C81" t="str">
        <v>Brabantiapark - Waalre</v>
      </c>
      <c r="D81" t="str">
        <v>B1-04 | 3kmr | D | Dorus | Brabantia</v>
      </c>
      <c r="E81" t="str">
        <v>4</v>
      </c>
      <c r="F81" t="str">
        <v>5583 BP</v>
      </c>
      <c r="G81" t="str">
        <v>Waalre</v>
      </c>
      <c r="H81" t="str">
        <v>Waalre</v>
      </c>
      <c r="I81" t="str">
        <v>Noord-Brabant</v>
      </c>
      <c r="J81" t="str">
        <v>Zuid-Nederland</v>
      </c>
      <c r="K81" t="str">
        <v>Te koop</v>
      </c>
      <c r="L81" t="str">
        <v>Onbekend</v>
      </c>
      <c r="M81" t="str">
        <v>Onbekend</v>
      </c>
      <c r="N81">
        <v>793000</v>
      </c>
      <c r="O81" t="str">
        <v>v.o.n.</v>
      </c>
      <c r="P81">
        <v>116</v>
      </c>
      <c r="Q81">
        <v>6836</v>
      </c>
      <c r="R81" t="str">
        <v>Onbekend</v>
      </c>
      <c r="S81" t="str">
        <v>A++</v>
      </c>
      <c r="T81">
        <v>3</v>
      </c>
      <c r="U81">
        <v>2</v>
      </c>
      <c r="V81" t="str">
        <v>Appartement</v>
      </c>
      <c r="W81" t="str">
        <v>Appartement</v>
      </c>
      <c r="X81" t="str">
        <v>Appartement &gt;100 m²</v>
      </c>
      <c r="Y81" t="str">
        <v>Ja</v>
      </c>
      <c r="Z81" t="str">
        <v>garage</v>
      </c>
      <c r="AA81" t="str">
        <v>2026</v>
      </c>
      <c r="AB81" t="str">
        <v>Nee</v>
      </c>
      <c r="AC81" t="str">
        <v>NEE</v>
      </c>
      <c r="AD81" t="str">
        <v>JA</v>
      </c>
    </row>
    <row r="82">
      <c r="A82" t="str">
        <v>44424902</v>
      </c>
      <c r="B82" t="str">
        <v>https://www.funda.nl/detail/koop/waalre/appartement-b1-01-2kmr-a-dorus-brabantia-bouwnr-1/44424902/</v>
      </c>
      <c r="C82" t="str">
        <v>Brabantiapark - Waalre</v>
      </c>
      <c r="D82" t="str">
        <v>B1-01 | 2kmr | A | Dorus | Brabantia</v>
      </c>
      <c r="E82" t="str">
        <v>1</v>
      </c>
      <c r="F82" t="str">
        <v>5583 BP</v>
      </c>
      <c r="G82" t="str">
        <v>Waalre</v>
      </c>
      <c r="H82" t="str">
        <v>Waalre</v>
      </c>
      <c r="I82" t="str">
        <v>Noord-Brabant</v>
      </c>
      <c r="J82" t="str">
        <v>Zuid-Nederland</v>
      </c>
      <c r="K82" t="str">
        <v>Te koop</v>
      </c>
      <c r="L82" t="str">
        <v>Onbekend</v>
      </c>
      <c r="M82" t="str">
        <v>Onbekend</v>
      </c>
      <c r="N82">
        <v>668500</v>
      </c>
      <c r="O82" t="str">
        <v>v.o.n.</v>
      </c>
      <c r="P82">
        <v>100</v>
      </c>
      <c r="Q82">
        <v>6685</v>
      </c>
      <c r="R82" t="str">
        <v>Onbekend</v>
      </c>
      <c r="S82" t="str">
        <v>A+++</v>
      </c>
      <c r="T82">
        <v>2</v>
      </c>
      <c r="U82">
        <v>1</v>
      </c>
      <c r="V82" t="str">
        <v>Appartement</v>
      </c>
      <c r="W82" t="str">
        <v>Appartement</v>
      </c>
      <c r="X82" t="str">
        <v>Appartement &gt;100 m²</v>
      </c>
      <c r="Y82" t="str">
        <v>Ja</v>
      </c>
      <c r="Z82" t="str">
        <v>garage</v>
      </c>
      <c r="AA82" t="str">
        <v>2026</v>
      </c>
      <c r="AB82" t="str">
        <v>Nee</v>
      </c>
      <c r="AC82" t="str">
        <v>NEE</v>
      </c>
      <c r="AD82" t="str">
        <v>JA</v>
      </c>
    </row>
    <row r="83">
      <c r="A83" t="str">
        <v>44424901</v>
      </c>
      <c r="B83" t="str">
        <v>https://www.funda.nl/detail/koop/waalre/appartement-b2-09-3kmr-d-petrus-brabantia-bouwnr-26/44424901/</v>
      </c>
      <c r="C83" t="str">
        <v>Brabantiapark - Waalre</v>
      </c>
      <c r="D83" t="str">
        <v>B2-09 | 3kmr | D | Petrus | Brabantia</v>
      </c>
      <c r="E83" t="str">
        <v>26</v>
      </c>
      <c r="F83" t="str">
        <v>5583 BP</v>
      </c>
      <c r="G83" t="str">
        <v>Waalre</v>
      </c>
      <c r="H83" t="str">
        <v>Waalre</v>
      </c>
      <c r="I83" t="str">
        <v>Noord-Brabant</v>
      </c>
      <c r="J83" t="str">
        <v>Zuid-Nederland</v>
      </c>
      <c r="K83" t="str">
        <v>Te koop</v>
      </c>
      <c r="L83" t="str">
        <v>Onbekend</v>
      </c>
      <c r="M83" t="str">
        <v>Onbekend</v>
      </c>
      <c r="N83">
        <v>795000</v>
      </c>
      <c r="O83" t="str">
        <v>v.o.n.</v>
      </c>
      <c r="P83">
        <v>116</v>
      </c>
      <c r="Q83">
        <v>6853</v>
      </c>
      <c r="R83" t="str">
        <v>Onbekend</v>
      </c>
      <c r="S83" t="str">
        <v>A+++</v>
      </c>
      <c r="T83">
        <v>3</v>
      </c>
      <c r="U83">
        <v>2</v>
      </c>
      <c r="V83" t="str">
        <v>Appartement</v>
      </c>
      <c r="W83" t="str">
        <v>Appartement</v>
      </c>
      <c r="X83" t="str">
        <v>Appartement &gt;100 m²</v>
      </c>
      <c r="Y83" t="str">
        <v>Ja</v>
      </c>
      <c r="Z83" t="str">
        <v>garage</v>
      </c>
      <c r="AA83" t="str">
        <v>2026</v>
      </c>
      <c r="AB83" t="str">
        <v>Nee</v>
      </c>
      <c r="AC83" t="str">
        <v>NEE</v>
      </c>
      <c r="AD83" t="str">
        <v>JA</v>
      </c>
    </row>
    <row r="84">
      <c r="A84" t="str">
        <v>44424900</v>
      </c>
      <c r="B84" t="str">
        <v>https://www.funda.nl/detail/koop/waalre/appartement-b2-01-2kmr-a-petrus-brabantia-bouwnr-18/44424900/</v>
      </c>
      <c r="C84" t="str">
        <v>Brabantiapark - Waalre</v>
      </c>
      <c r="D84" t="str">
        <v>B2-01 | 2kmr | A | Petrus | Brabantia</v>
      </c>
      <c r="E84" t="str">
        <v>18</v>
      </c>
      <c r="F84" t="str">
        <v>5583 BP</v>
      </c>
      <c r="G84" t="str">
        <v>Waalre</v>
      </c>
      <c r="H84" t="str">
        <v>Waalre</v>
      </c>
      <c r="I84" t="str">
        <v>Noord-Brabant</v>
      </c>
      <c r="J84" t="str">
        <v>Zuid-Nederland</v>
      </c>
      <c r="K84" t="str">
        <v>Te koop</v>
      </c>
      <c r="L84" t="str">
        <v>Onbekend</v>
      </c>
      <c r="M84" t="str">
        <v>Onbekend</v>
      </c>
      <c r="N84">
        <v>668500</v>
      </c>
      <c r="O84" t="str">
        <v>v.o.n.</v>
      </c>
      <c r="P84">
        <v>100</v>
      </c>
      <c r="Q84">
        <v>6685</v>
      </c>
      <c r="R84" t="str">
        <v>Onbekend</v>
      </c>
      <c r="S84" t="str">
        <v>A++</v>
      </c>
      <c r="T84">
        <v>2</v>
      </c>
      <c r="U84">
        <v>1</v>
      </c>
      <c r="V84" t="str">
        <v>Appartement</v>
      </c>
      <c r="W84" t="str">
        <v>Appartement</v>
      </c>
      <c r="X84" t="str">
        <v>Appartement &gt;100 m²</v>
      </c>
      <c r="Y84" t="str">
        <v>Ja</v>
      </c>
      <c r="Z84" t="str">
        <v>garage</v>
      </c>
      <c r="AA84" t="str">
        <v>2026</v>
      </c>
      <c r="AB84" t="str">
        <v>Nee</v>
      </c>
      <c r="AC84" t="str">
        <v>NEE</v>
      </c>
      <c r="AD84" t="str">
        <v>JA</v>
      </c>
    </row>
    <row r="85">
      <c r="A85" t="str">
        <v>44424909</v>
      </c>
      <c r="B85" t="str">
        <v>https://www.funda.nl/detail/koop/waalre/appartement-b1-05-3kmr-e-dorus-brabantia-bouwnr-5/44424909/</v>
      </c>
      <c r="C85" t="str">
        <v>Brabantiapark - Waalre</v>
      </c>
      <c r="D85" t="str">
        <v>B1-05 | 3kmr | E | Dorus | Brabantia</v>
      </c>
      <c r="E85" t="str">
        <v>5</v>
      </c>
      <c r="F85" t="str">
        <v>5583 BP</v>
      </c>
      <c r="G85" t="str">
        <v>Waalre</v>
      </c>
      <c r="H85" t="str">
        <v>Waalre</v>
      </c>
      <c r="I85" t="str">
        <v>Noord-Brabant</v>
      </c>
      <c r="J85" t="str">
        <v>Zuid-Nederland</v>
      </c>
      <c r="K85" t="str">
        <v>Te koop</v>
      </c>
      <c r="L85" t="str">
        <v>2026-07-09</v>
      </c>
      <c r="M85">
        <v>4</v>
      </c>
      <c r="N85">
        <v>838000</v>
      </c>
      <c r="O85" t="str">
        <v>v.o.n.</v>
      </c>
      <c r="P85">
        <v>125</v>
      </c>
      <c r="Q85">
        <v>6704</v>
      </c>
      <c r="R85" t="str">
        <v>Onbekend</v>
      </c>
      <c r="S85" t="str">
        <v>A++</v>
      </c>
      <c r="T85">
        <v>3</v>
      </c>
      <c r="U85">
        <v>2</v>
      </c>
      <c r="V85" t="str">
        <v>Appartement</v>
      </c>
      <c r="W85" t="str">
        <v>Appartement</v>
      </c>
      <c r="X85" t="str">
        <v>Appartement &gt;100 m²</v>
      </c>
      <c r="Y85" t="str">
        <v>Ja</v>
      </c>
      <c r="Z85" t="str">
        <v>garage</v>
      </c>
      <c r="AA85" t="str">
        <v>2026</v>
      </c>
      <c r="AB85" t="str">
        <v>Nee</v>
      </c>
      <c r="AC85" t="str">
        <v>NEE</v>
      </c>
      <c r="AD85" t="str">
        <v>JA</v>
      </c>
    </row>
    <row r="86">
      <c r="A86" t="str">
        <v>44424908</v>
      </c>
      <c r="B86" t="str">
        <v>https://www.funda.nl/detail/koop/waalre/appartement-b3-18-2kmr-s3-rudolf-brabantia-bouwnr-51/44424908/</v>
      </c>
      <c r="C86" t="str">
        <v>Brabantiapark - Waalre</v>
      </c>
      <c r="D86" t="str">
        <v>B3-18 | 2kmr | S3 | Rudolf | Brabantia</v>
      </c>
      <c r="E86" t="str">
        <v>51</v>
      </c>
      <c r="F86" t="str">
        <v>5583 BP</v>
      </c>
      <c r="G86" t="str">
        <v>Waalre</v>
      </c>
      <c r="H86" t="str">
        <v>Waalre</v>
      </c>
      <c r="I86" t="str">
        <v>Noord-Brabant</v>
      </c>
      <c r="J86" t="str">
        <v>Zuid-Nederland</v>
      </c>
      <c r="K86" t="str">
        <v>Te koop</v>
      </c>
      <c r="L86" t="str">
        <v>Onbekend</v>
      </c>
      <c r="M86" t="str">
        <v>Onbekend</v>
      </c>
      <c r="N86">
        <v>331000</v>
      </c>
      <c r="O86" t="str">
        <v>v.o.n.</v>
      </c>
      <c r="P86">
        <v>49</v>
      </c>
      <c r="Q86">
        <v>6755</v>
      </c>
      <c r="R86" t="str">
        <v>Onbekend</v>
      </c>
      <c r="S86" t="str">
        <v>A+++</v>
      </c>
      <c r="T86">
        <v>2</v>
      </c>
      <c r="U86">
        <v>1</v>
      </c>
      <c r="V86" t="str">
        <v>Appartement</v>
      </c>
      <c r="W86" t="str">
        <v>Appartement</v>
      </c>
      <c r="X86" t="str">
        <v>Appartement &lt;50 m²</v>
      </c>
      <c r="Y86" t="str">
        <v>Ja</v>
      </c>
      <c r="Z86" t="str">
        <v>garage</v>
      </c>
      <c r="AA86" t="str">
        <v>2026</v>
      </c>
      <c r="AB86" t="str">
        <v>Nee</v>
      </c>
      <c r="AC86" t="str">
        <v>NEE</v>
      </c>
      <c r="AD86" t="str">
        <v>JA</v>
      </c>
    </row>
    <row r="87">
      <c r="A87" t="str">
        <v>44424907</v>
      </c>
      <c r="B87" t="str">
        <v>https://www.funda.nl/detail/koop/waalre/appartement-b1-06-2kmr-a-dorus-brabantia-bouwnr-6/44424907/</v>
      </c>
      <c r="C87" t="str">
        <v>Brabantiapark - Waalre</v>
      </c>
      <c r="D87" t="str">
        <v>B1-06 | 2kmr | A | Dorus | Brabantia</v>
      </c>
      <c r="E87" t="str">
        <v>6</v>
      </c>
      <c r="F87" t="str">
        <v>5583 BP</v>
      </c>
      <c r="G87" t="str">
        <v>Waalre</v>
      </c>
      <c r="H87" t="str">
        <v>Waalre</v>
      </c>
      <c r="I87" t="str">
        <v>Noord-Brabant</v>
      </c>
      <c r="J87" t="str">
        <v>Zuid-Nederland</v>
      </c>
      <c r="K87" t="str">
        <v>Te koop</v>
      </c>
      <c r="L87" t="str">
        <v>Onbekend</v>
      </c>
      <c r="M87" t="str">
        <v>Onbekend</v>
      </c>
      <c r="N87">
        <v>672500</v>
      </c>
      <c r="O87" t="str">
        <v>v.o.n.</v>
      </c>
      <c r="P87">
        <v>100</v>
      </c>
      <c r="Q87">
        <v>6725</v>
      </c>
      <c r="R87" t="str">
        <v>Onbekend</v>
      </c>
      <c r="S87" t="str">
        <v>A+++</v>
      </c>
      <c r="T87">
        <v>2</v>
      </c>
      <c r="U87">
        <v>1</v>
      </c>
      <c r="V87" t="str">
        <v>Appartement</v>
      </c>
      <c r="W87" t="str">
        <v>Appartement</v>
      </c>
      <c r="X87" t="str">
        <v>Appartement &gt;100 m²</v>
      </c>
      <c r="Y87" t="str">
        <v>Ja</v>
      </c>
      <c r="Z87" t="str">
        <v>garage</v>
      </c>
      <c r="AA87" t="str">
        <v>2026</v>
      </c>
      <c r="AB87" t="str">
        <v>Nee</v>
      </c>
      <c r="AC87" t="str">
        <v>NEE</v>
      </c>
      <c r="AD87" t="str">
        <v>JA</v>
      </c>
    </row>
    <row r="88">
      <c r="A88" t="str">
        <v>44424906</v>
      </c>
      <c r="B88" t="str">
        <v>https://www.funda.nl/detail/koop/waalre/appartement-b2-08-3kmr-c-petrus-brabantia-bouwnr-25/44424906/</v>
      </c>
      <c r="C88" t="str">
        <v>Brabantiapark - Waalre</v>
      </c>
      <c r="D88" t="str">
        <v>B2-08 | 3kmr | C | Petrus | Brabantia</v>
      </c>
      <c r="E88" t="str">
        <v>25</v>
      </c>
      <c r="F88" t="str">
        <v>5583 BP</v>
      </c>
      <c r="G88" t="str">
        <v>Waalre</v>
      </c>
      <c r="H88" t="str">
        <v>Waalre</v>
      </c>
      <c r="I88" t="str">
        <v>Noord-Brabant</v>
      </c>
      <c r="J88" t="str">
        <v>Zuid-Nederland</v>
      </c>
      <c r="K88" t="str">
        <v>Te koop</v>
      </c>
      <c r="L88" t="str">
        <v>Onbekend</v>
      </c>
      <c r="M88" t="str">
        <v>Onbekend</v>
      </c>
      <c r="N88">
        <v>877500</v>
      </c>
      <c r="O88" t="str">
        <v>v.o.n.</v>
      </c>
      <c r="P88">
        <v>128</v>
      </c>
      <c r="Q88">
        <v>6855</v>
      </c>
      <c r="R88" t="str">
        <v>Onbekend</v>
      </c>
      <c r="S88" t="str">
        <v>A+++</v>
      </c>
      <c r="T88">
        <v>3</v>
      </c>
      <c r="U88">
        <v>2</v>
      </c>
      <c r="V88" t="str">
        <v>Appartement</v>
      </c>
      <c r="W88" t="str">
        <v>Appartement</v>
      </c>
      <c r="X88" t="str">
        <v>Appartement &gt;100 m²</v>
      </c>
      <c r="Y88" t="str">
        <v>Ja</v>
      </c>
      <c r="Z88" t="str">
        <v>garage</v>
      </c>
      <c r="AA88" t="str">
        <v>2026</v>
      </c>
      <c r="AB88" t="str">
        <v>Nee</v>
      </c>
      <c r="AC88" t="str">
        <v>NEE</v>
      </c>
      <c r="AD88" t="str">
        <v>JA</v>
      </c>
    </row>
    <row r="89">
      <c r="A89" t="str">
        <v>44424905</v>
      </c>
      <c r="B89" t="str">
        <v>https://www.funda.nl/detail/koop/waalre/appartement-b2-06-2kmr-a-petrus-brabantia-bouwnr-23/44424905/</v>
      </c>
      <c r="C89" t="str">
        <v>Brabantiapark - Waalre</v>
      </c>
      <c r="D89" t="str">
        <v>B2-06 | 2kmr | A | Petrus | Brabantia</v>
      </c>
      <c r="E89" t="str">
        <v>23</v>
      </c>
      <c r="F89" t="str">
        <v>5583 BP</v>
      </c>
      <c r="G89" t="str">
        <v>Waalre</v>
      </c>
      <c r="H89" t="str">
        <v>Waalre</v>
      </c>
      <c r="I89" t="str">
        <v>Noord-Brabant</v>
      </c>
      <c r="J89" t="str">
        <v>Zuid-Nederland</v>
      </c>
      <c r="K89" t="str">
        <v>Te koop</v>
      </c>
      <c r="L89" t="str">
        <v>Onbekend</v>
      </c>
      <c r="M89" t="str">
        <v>Onbekend</v>
      </c>
      <c r="N89">
        <v>672500</v>
      </c>
      <c r="O89" t="str">
        <v>v.o.n.</v>
      </c>
      <c r="P89">
        <v>100</v>
      </c>
      <c r="Q89">
        <v>6725</v>
      </c>
      <c r="R89" t="str">
        <v>Onbekend</v>
      </c>
      <c r="S89" t="str">
        <v>A+++</v>
      </c>
      <c r="T89">
        <v>2</v>
      </c>
      <c r="U89">
        <v>1</v>
      </c>
      <c r="V89" t="str">
        <v>Appartement</v>
      </c>
      <c r="W89" t="str">
        <v>Appartement</v>
      </c>
      <c r="X89" t="str">
        <v>Appartement &gt;100 m²</v>
      </c>
      <c r="Y89" t="str">
        <v>Ja</v>
      </c>
      <c r="Z89" t="str">
        <v>garage</v>
      </c>
      <c r="AA89" t="str">
        <v>2026</v>
      </c>
      <c r="AB89" t="str">
        <v>Nee</v>
      </c>
      <c r="AC89" t="str">
        <v>NEE</v>
      </c>
      <c r="AD89" t="str">
        <v>JA</v>
      </c>
    </row>
    <row r="90">
      <c r="A90" t="str">
        <v>44424939</v>
      </c>
      <c r="B90" t="str">
        <v>https://www.funda.nl/detail/koop/waalre/appartement-b2-15-penthouse-l-petrus-brabantia-bouwnr-32/44424939/</v>
      </c>
      <c r="C90" t="str">
        <v>Brabantiapark - Waalre</v>
      </c>
      <c r="D90" t="str">
        <v>B2-15 | Penthouse | L | Petrus | Brabantia</v>
      </c>
      <c r="E90" t="str">
        <v>32</v>
      </c>
      <c r="F90" t="str">
        <v>5583 BP</v>
      </c>
      <c r="G90" t="str">
        <v>Waalre</v>
      </c>
      <c r="H90" t="str">
        <v>Waalre</v>
      </c>
      <c r="I90" t="str">
        <v>Noord-Brabant</v>
      </c>
      <c r="J90" t="str">
        <v>Zuid-Nederland</v>
      </c>
      <c r="K90" t="str">
        <v>Te koop</v>
      </c>
      <c r="L90" t="str">
        <v>Onbekend</v>
      </c>
      <c r="M90" t="str">
        <v>Onbekend</v>
      </c>
      <c r="N90">
        <v>925000</v>
      </c>
      <c r="O90" t="str">
        <v>v.o.n.</v>
      </c>
      <c r="P90">
        <v>129</v>
      </c>
      <c r="Q90">
        <v>7171</v>
      </c>
      <c r="R90" t="str">
        <v>Onbekend</v>
      </c>
      <c r="S90" t="str">
        <v>A++</v>
      </c>
      <c r="T90">
        <v>1</v>
      </c>
      <c r="U90" t="str">
        <v>Onbekend</v>
      </c>
      <c r="V90" t="str">
        <v>Appartement</v>
      </c>
      <c r="W90" t="str">
        <v>Appartement</v>
      </c>
      <c r="X90" t="str">
        <v>Appartement &gt;100 m²</v>
      </c>
      <c r="Y90" t="str">
        <v>Ja</v>
      </c>
      <c r="Z90" t="str">
        <v>garage</v>
      </c>
      <c r="AA90" t="str">
        <v>2026</v>
      </c>
      <c r="AB90" t="str">
        <v>Nee</v>
      </c>
      <c r="AC90" t="str">
        <v>NEE</v>
      </c>
      <c r="AD90" t="str">
        <v>JA</v>
      </c>
    </row>
  </sheetData>
  <autoFilter ref="A23:AD90"/>
  <ignoredErrors>
    <ignoredError numberStoredAsText="1" sqref="A1:AD90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Westland</v>
      </c>
    </row>
    <row r="3">
      <c r="A3" t="str">
        <v>Samenvatting</v>
      </c>
    </row>
    <row r="4">
      <c r="A4" t="str">
        <v>Aantal woningen</v>
      </c>
      <c r="B4">
        <v>7</v>
      </c>
    </row>
    <row r="5">
      <c r="A5" t="str">
        <v>Aantal te koop</v>
      </c>
      <c r="B5">
        <v>7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1015000</v>
      </c>
    </row>
    <row r="9">
      <c r="A9" t="str">
        <v>Mediaan VON-prijs (€)</v>
      </c>
      <c r="B9">
        <v>965000</v>
      </c>
    </row>
    <row r="10">
      <c r="A10" t="str">
        <v>Gemiddelde VON-prijs per m² (€)</v>
      </c>
      <c r="B10">
        <v>5530</v>
      </c>
    </row>
    <row r="11">
      <c r="A11" t="str">
        <v>Mediaan VON-prijs per m² (€)</v>
      </c>
      <c r="B11">
        <v>5331</v>
      </c>
    </row>
    <row r="12">
      <c r="A12" t="str">
        <v>Gemiddelde GBO (m²)</v>
      </c>
      <c r="B12">
        <v>183</v>
      </c>
    </row>
    <row r="13">
      <c r="A13" t="str">
        <v>Gemiddelde looptijd (dagen)</v>
      </c>
      <c r="B13">
        <v>5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Vrijstaande woning</v>
      </c>
      <c r="B17">
        <v>3</v>
      </c>
    </row>
    <row r="18">
      <c r="A18" t="str">
        <v>2-onder-1-kapwoning</v>
      </c>
      <c r="B18">
        <v>4</v>
      </c>
    </row>
    <row r="20">
      <c r="A20" t="str">
        <v>Uitsplitsing appartementcategorieen</v>
      </c>
      <c r="B20" t="str">
        <v>Aantal</v>
      </c>
    </row>
    <row r="22">
      <c r="A22" t="str">
        <v>Alle woningen in Westland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44422924</v>
      </c>
      <c r="B24" t="str">
        <v>https://www.funda.nl/detail/koop/s-gravenzande/huis-vrijstaand-c3-bouwnr-24/44422924/</v>
      </c>
      <c r="C24" t="str">
        <v>Waelrijk Fase 4</v>
      </c>
      <c r="D24" t="str">
        <v>Vrijstaand - C3</v>
      </c>
      <c r="E24" t="str">
        <v>24</v>
      </c>
      <c r="F24" t="str">
        <v>2691 AA</v>
      </c>
      <c r="G24" t="str">
        <v>'s-Gravenzande</v>
      </c>
      <c r="H24" t="str">
        <v>Westland</v>
      </c>
      <c r="I24" t="str">
        <v>Zuid-Holland</v>
      </c>
      <c r="J24" t="str">
        <v>West-Nederland</v>
      </c>
      <c r="K24" t="str">
        <v>Te koop</v>
      </c>
      <c r="L24" t="str">
        <v>Onbekend</v>
      </c>
      <c r="M24" t="str">
        <v>Onbekend</v>
      </c>
      <c r="N24">
        <v>1165000</v>
      </c>
      <c r="O24" t="str">
        <v>v.o.n.</v>
      </c>
      <c r="P24">
        <v>193</v>
      </c>
      <c r="Q24">
        <v>6036</v>
      </c>
      <c r="R24">
        <v>412</v>
      </c>
      <c r="S24" t="str">
        <v>A+++</v>
      </c>
      <c r="T24">
        <v>6</v>
      </c>
      <c r="U24">
        <v>5</v>
      </c>
      <c r="V24" t="str">
        <v>Grondgebonden</v>
      </c>
      <c r="W24" t="str">
        <v>Vrijstaande woning</v>
      </c>
      <c r="X24" t="str">
        <v>N.v.t.</v>
      </c>
      <c r="Y24" t="str">
        <v>Ja</v>
      </c>
      <c r="Z24" t="str">
        <v>eigen parkeerplaats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44422912</v>
      </c>
      <c r="B25" t="str">
        <v>https://www.funda.nl/detail/koop/s-gravenzande/huis-vrijstaand-c2-bouwnr-23/44422912/</v>
      </c>
      <c r="C25" t="str">
        <v>Waelrijk Fase 4</v>
      </c>
      <c r="D25" t="str">
        <v>Vrijstaand - C2</v>
      </c>
      <c r="E25" t="str">
        <v>23</v>
      </c>
      <c r="F25" t="str">
        <v>2691 AA</v>
      </c>
      <c r="G25" t="str">
        <v>'s-Gravenzande</v>
      </c>
      <c r="H25" t="str">
        <v>Westland</v>
      </c>
      <c r="I25" t="str">
        <v>Zuid-Holland</v>
      </c>
      <c r="J25" t="str">
        <v>West-Nederland</v>
      </c>
      <c r="K25" t="str">
        <v>Te koop</v>
      </c>
      <c r="L25" t="str">
        <v>Onbekend</v>
      </c>
      <c r="M25" t="str">
        <v>Onbekend</v>
      </c>
      <c r="N25">
        <v>1165000</v>
      </c>
      <c r="O25" t="str">
        <v>v.o.n.</v>
      </c>
      <c r="P25">
        <v>190</v>
      </c>
      <c r="Q25">
        <v>6132</v>
      </c>
      <c r="R25">
        <v>421</v>
      </c>
      <c r="S25" t="str">
        <v>A+++</v>
      </c>
      <c r="T25">
        <v>6</v>
      </c>
      <c r="U25">
        <v>5</v>
      </c>
      <c r="V25" t="str">
        <v>Grondgebonden</v>
      </c>
      <c r="W25" t="str">
        <v>Vrijstaande woning</v>
      </c>
      <c r="X25" t="str">
        <v>N.v.t.</v>
      </c>
      <c r="Y25" t="str">
        <v>Ja</v>
      </c>
      <c r="Z25" t="str">
        <v>eigen parkeerplaats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44422915</v>
      </c>
      <c r="B26" t="str">
        <v>https://www.funda.nl/detail/koop/s-gravenzande/huis-vrijstaand-c3-bouwnr-22/44422915/</v>
      </c>
      <c r="C26" t="str">
        <v>Waelrijk Fase 4</v>
      </c>
      <c r="D26" t="str">
        <v>Vrijstaand - C3</v>
      </c>
      <c r="E26" t="str">
        <v>22</v>
      </c>
      <c r="F26" t="str">
        <v>2691 AA</v>
      </c>
      <c r="G26" t="str">
        <v>'s-Gravenzande</v>
      </c>
      <c r="H26" t="str">
        <v>Westland</v>
      </c>
      <c r="I26" t="str">
        <v>Zuid-Holland</v>
      </c>
      <c r="J26" t="str">
        <v>West-Nederland</v>
      </c>
      <c r="K26" t="str">
        <v>Te koop</v>
      </c>
      <c r="L26" t="str">
        <v>Onbekend</v>
      </c>
      <c r="M26" t="str">
        <v>Onbekend</v>
      </c>
      <c r="N26">
        <v>1165000</v>
      </c>
      <c r="O26" t="str">
        <v>v.o.n.</v>
      </c>
      <c r="P26">
        <v>193</v>
      </c>
      <c r="Q26">
        <v>6036</v>
      </c>
      <c r="R26">
        <v>412</v>
      </c>
      <c r="S26" t="str">
        <v>A+++</v>
      </c>
      <c r="T26">
        <v>6</v>
      </c>
      <c r="U26">
        <v>5</v>
      </c>
      <c r="V26" t="str">
        <v>Grondgebonden</v>
      </c>
      <c r="W26" t="str">
        <v>Vrijstaande woning</v>
      </c>
      <c r="X26" t="str">
        <v>N.v.t.</v>
      </c>
      <c r="Y26" t="str">
        <v>Ja</v>
      </c>
      <c r="Z26" t="str">
        <v>eigen parkeerplaats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44422910</v>
      </c>
      <c r="B27" t="str">
        <v>https://www.funda.nl/detail/koop/s-gravenzande/huis-twee-onder-een-kap-b3-bouwnr-1/44422910/</v>
      </c>
      <c r="C27" t="str">
        <v>Waelrijk Fase 4</v>
      </c>
      <c r="D27" t="str">
        <v>Twee-onder-een-kap - B3</v>
      </c>
      <c r="E27" t="str">
        <v>1</v>
      </c>
      <c r="F27" t="str">
        <v>2691 AA</v>
      </c>
      <c r="G27" t="str">
        <v>'s-Gravenzande</v>
      </c>
      <c r="H27" t="str">
        <v>Westland</v>
      </c>
      <c r="I27" t="str">
        <v>Zuid-Holland</v>
      </c>
      <c r="J27" t="str">
        <v>West-Nederland</v>
      </c>
      <c r="K27" t="str">
        <v>Te koop</v>
      </c>
      <c r="L27" t="str">
        <v>2026-07-08</v>
      </c>
      <c r="M27">
        <v>5</v>
      </c>
      <c r="N27">
        <v>965000</v>
      </c>
      <c r="O27" t="str">
        <v>v.o.n.</v>
      </c>
      <c r="P27">
        <v>181</v>
      </c>
      <c r="Q27">
        <v>5331</v>
      </c>
      <c r="R27">
        <v>349</v>
      </c>
      <c r="S27" t="str">
        <v>A+++</v>
      </c>
      <c r="T27">
        <v>6</v>
      </c>
      <c r="U27">
        <v>5</v>
      </c>
      <c r="V27" t="str">
        <v>Grondgebonden</v>
      </c>
      <c r="W27" t="str">
        <v>2-onder-1-kapwoning</v>
      </c>
      <c r="X27" t="str">
        <v>N.v.t.</v>
      </c>
      <c r="Y27" t="str">
        <v>Ja</v>
      </c>
      <c r="Z27" t="str">
        <v>eigen parkeerplaats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44422917</v>
      </c>
      <c r="B28" t="str">
        <v>https://www.funda.nl/detail/koop/s-gravenzande/huis-twee-onder-een-kap-b2-bouwnr-4/44422917/</v>
      </c>
      <c r="C28" t="str">
        <v>Waelrijk Fase 4</v>
      </c>
      <c r="D28" t="str">
        <v>Twee-onder-een-kap - B2</v>
      </c>
      <c r="E28" t="str">
        <v>4</v>
      </c>
      <c r="F28" t="str">
        <v>2691 AA</v>
      </c>
      <c r="G28" t="str">
        <v>'s-Gravenzande</v>
      </c>
      <c r="H28" t="str">
        <v>Westland</v>
      </c>
      <c r="I28" t="str">
        <v>Zuid-Holland</v>
      </c>
      <c r="J28" t="str">
        <v>West-Nederland</v>
      </c>
      <c r="K28" t="str">
        <v>Te koop</v>
      </c>
      <c r="L28" t="str">
        <v>Onbekend</v>
      </c>
      <c r="M28" t="str">
        <v>Onbekend</v>
      </c>
      <c r="N28">
        <v>885000</v>
      </c>
      <c r="O28" t="str">
        <v>v.o.n.</v>
      </c>
      <c r="P28">
        <v>171</v>
      </c>
      <c r="Q28">
        <v>5175</v>
      </c>
      <c r="R28">
        <v>328</v>
      </c>
      <c r="S28" t="str">
        <v>A+++</v>
      </c>
      <c r="T28">
        <v>6</v>
      </c>
      <c r="U28">
        <v>5</v>
      </c>
      <c r="V28" t="str">
        <v>Grondgebonden</v>
      </c>
      <c r="W28" t="str">
        <v>2-onder-1-kapwoning</v>
      </c>
      <c r="X28" t="str">
        <v>N.v.t.</v>
      </c>
      <c r="Y28" t="str">
        <v>Ja</v>
      </c>
      <c r="Z28" t="str">
        <v>eigen parkeerplaats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44422916</v>
      </c>
      <c r="B29" t="str">
        <v>https://www.funda.nl/detail/koop/s-gravenzande/huis-twee-onder-een-kap-b4-bouwnr-2/44422916/</v>
      </c>
      <c r="C29" t="str">
        <v>Waelrijk Fase 4</v>
      </c>
      <c r="D29" t="str">
        <v>Twee-onder-een-kap - B4</v>
      </c>
      <c r="E29" t="str">
        <v>2</v>
      </c>
      <c r="F29" t="str">
        <v>2691 AA</v>
      </c>
      <c r="G29" t="str">
        <v>'s-Gravenzande</v>
      </c>
      <c r="H29" t="str">
        <v>Westland</v>
      </c>
      <c r="I29" t="str">
        <v>Zuid-Holland</v>
      </c>
      <c r="J29" t="str">
        <v>West-Nederland</v>
      </c>
      <c r="K29" t="str">
        <v>Te koop</v>
      </c>
      <c r="L29" t="str">
        <v>Onbekend</v>
      </c>
      <c r="M29" t="str">
        <v>Onbekend</v>
      </c>
      <c r="N29">
        <v>865000</v>
      </c>
      <c r="O29" t="str">
        <v>v.o.n.</v>
      </c>
      <c r="P29">
        <v>171</v>
      </c>
      <c r="Q29">
        <v>5058</v>
      </c>
      <c r="R29">
        <v>243</v>
      </c>
      <c r="S29" t="str">
        <v>A+++</v>
      </c>
      <c r="T29">
        <v>6</v>
      </c>
      <c r="U29">
        <v>5</v>
      </c>
      <c r="V29" t="str">
        <v>Grondgebonden</v>
      </c>
      <c r="W29" t="str">
        <v>2-onder-1-kapwoning</v>
      </c>
      <c r="X29" t="str">
        <v>N.v.t.</v>
      </c>
      <c r="Y29" t="str">
        <v>Ja</v>
      </c>
      <c r="Z29" t="str">
        <v>eigen parkeerplaats</v>
      </c>
      <c r="AA29" t="str">
        <v>2026</v>
      </c>
      <c r="AB29" t="str">
        <v>Nee</v>
      </c>
      <c r="AC29" t="str">
        <v>NEE</v>
      </c>
      <c r="AD29" t="str">
        <v>JA</v>
      </c>
    </row>
    <row r="30">
      <c r="A30" t="str">
        <v>44422902</v>
      </c>
      <c r="B30" t="str">
        <v>https://www.funda.nl/detail/koop/s-gravenzande/huis-twee-onder-een-kap-b1-bouwnr-3/44422902/</v>
      </c>
      <c r="C30" t="str">
        <v>Waelrijk Fase 4</v>
      </c>
      <c r="D30" t="str">
        <v>Twee-onder-een-kap - B1</v>
      </c>
      <c r="E30" t="str">
        <v>3</v>
      </c>
      <c r="F30" t="str">
        <v>2691 AA</v>
      </c>
      <c r="G30" t="str">
        <v>'s-Gravenzande</v>
      </c>
      <c r="H30" t="str">
        <v>Westland</v>
      </c>
      <c r="I30" t="str">
        <v>Zuid-Holland</v>
      </c>
      <c r="J30" t="str">
        <v>West-Nederland</v>
      </c>
      <c r="K30" t="str">
        <v>Te koop</v>
      </c>
      <c r="L30" t="str">
        <v>Onbekend</v>
      </c>
      <c r="M30" t="str">
        <v>Onbekend</v>
      </c>
      <c r="N30">
        <v>895000</v>
      </c>
      <c r="O30" t="str">
        <v>v.o.n.</v>
      </c>
      <c r="P30">
        <v>181</v>
      </c>
      <c r="Q30">
        <v>4945</v>
      </c>
      <c r="R30">
        <v>279</v>
      </c>
      <c r="S30" t="str">
        <v>A+++</v>
      </c>
      <c r="T30">
        <v>6</v>
      </c>
      <c r="U30">
        <v>5</v>
      </c>
      <c r="V30" t="str">
        <v>Grondgebonden</v>
      </c>
      <c r="W30" t="str">
        <v>2-onder-1-kapwoning</v>
      </c>
      <c r="X30" t="str">
        <v>N.v.t.</v>
      </c>
      <c r="Y30" t="str">
        <v>Ja</v>
      </c>
      <c r="Z30" t="str">
        <v>eigen parkeerplaats</v>
      </c>
      <c r="AA30" t="str">
        <v>2026</v>
      </c>
      <c r="AB30" t="str">
        <v>Nee</v>
      </c>
      <c r="AC30" t="str">
        <v>NEE</v>
      </c>
      <c r="AD30" t="str">
        <v>JA</v>
      </c>
    </row>
  </sheetData>
  <autoFilter ref="A23:AD30"/>
  <ignoredErrors>
    <ignoredError numberStoredAsText="1" sqref="A1:AD30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Woerden</v>
      </c>
    </row>
    <row r="3">
      <c r="A3" t="str">
        <v>Samenvatting</v>
      </c>
    </row>
    <row r="4">
      <c r="A4" t="str">
        <v>Aantal woningen</v>
      </c>
      <c r="B4">
        <v>8</v>
      </c>
    </row>
    <row r="5">
      <c r="A5" t="str">
        <v>Aantal te koop</v>
      </c>
      <c r="B5">
        <v>8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374250</v>
      </c>
    </row>
    <row r="9">
      <c r="A9" t="str">
        <v>Mediaan VON-prijs (€)</v>
      </c>
      <c r="B9">
        <v>369000</v>
      </c>
    </row>
    <row r="10">
      <c r="A10" t="str">
        <v>Gemiddelde VON-prijs per m² (€)</v>
      </c>
      <c r="B10">
        <v>5424</v>
      </c>
    </row>
    <row r="11">
      <c r="A11" t="str">
        <v>Mediaan VON-prijs per m² (€)</v>
      </c>
      <c r="B11">
        <v>5348</v>
      </c>
    </row>
    <row r="12">
      <c r="A12" t="str">
        <v>Gemiddelde GBO (m²)</v>
      </c>
      <c r="B12">
        <v>69</v>
      </c>
    </row>
    <row r="13">
      <c r="A13" t="str">
        <v>Gemiddelde looptijd (dagen)</v>
      </c>
      <c r="B13">
        <v>5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7">
      <c r="A17" t="str">
        <v>Hoekwoning</v>
      </c>
      <c r="B17">
        <v>2</v>
      </c>
    </row>
    <row r="18">
      <c r="A18" t="str">
        <v>Tussenwoning</v>
      </c>
      <c r="B18">
        <v>6</v>
      </c>
    </row>
    <row r="20">
      <c r="A20" t="str">
        <v>Uitsplitsing appartementcategorieen</v>
      </c>
      <c r="B20" t="str">
        <v>Aantal</v>
      </c>
    </row>
    <row r="22">
      <c r="A22" t="str">
        <v>Alle woningen in Woerden</v>
      </c>
    </row>
    <row r="23">
      <c r="A23" t="str">
        <v>Funda ID</v>
      </c>
      <c r="B23" t="str">
        <v>Funda URL</v>
      </c>
      <c r="C23" t="str">
        <v>Projectnaam</v>
      </c>
      <c r="D23" t="str">
        <v>Adres</v>
      </c>
      <c r="E23" t="str">
        <v>Bouwnummer</v>
      </c>
      <c r="F23" t="str">
        <v>Postcode</v>
      </c>
      <c r="G23" t="str">
        <v>Plaats</v>
      </c>
      <c r="H23" t="str">
        <v>Gemeente</v>
      </c>
      <c r="I23" t="str">
        <v>Provincie</v>
      </c>
      <c r="J23" t="str">
        <v>Regio</v>
      </c>
      <c r="K23" t="str">
        <v>Status</v>
      </c>
      <c r="L23" t="str">
        <v>Datum plaatsing</v>
      </c>
      <c r="M23" t="str">
        <v>Looptijd (dagen)</v>
      </c>
      <c r="N23" t="str">
        <v>Vraagprijs (€)</v>
      </c>
      <c r="O23" t="str">
        <v>Kostenlabel</v>
      </c>
      <c r="P23" t="str">
        <v>GBO (m²)</v>
      </c>
      <c r="Q23" t="str">
        <v>VON-prijs per m² (€)</v>
      </c>
      <c r="R23" t="str">
        <v>Perceeloppervlakte (m²)</v>
      </c>
      <c r="S23" t="str">
        <v>Energielabel</v>
      </c>
      <c r="T23" t="str">
        <v>Aantal kamers</v>
      </c>
      <c r="U23" t="str">
        <v>Aantal slaapkamers</v>
      </c>
      <c r="V23" t="str">
        <v>Woningcategorie</v>
      </c>
      <c r="W23" t="str">
        <v>Woningtype</v>
      </c>
      <c r="X23" t="str">
        <v>Appartement categorie</v>
      </c>
      <c r="Y23" t="str">
        <v>Parkeerplaats</v>
      </c>
      <c r="Z23" t="str">
        <v>Type parkeerplaats</v>
      </c>
      <c r="AA23" t="str">
        <v>Bouwjaar</v>
      </c>
      <c r="AB23" t="str">
        <v>Prijs op aanvraag</v>
      </c>
      <c r="AC23" t="str">
        <v>Outlier flag</v>
      </c>
      <c r="AD23" t="str">
        <v>GemeenteOK</v>
      </c>
    </row>
    <row r="24">
      <c r="A24" t="str">
        <v>44422291</v>
      </c>
      <c r="B24" t="str">
        <v>https://www.funda.nl/detail/koop/harmelen/huis-revita-bouwnr-7/44422291/</v>
      </c>
      <c r="C24" t="str">
        <v>Hof van Harmelen</v>
      </c>
      <c r="D24" t="str">
        <v>Revita</v>
      </c>
      <c r="E24" t="str">
        <v>7</v>
      </c>
      <c r="F24" t="str">
        <v>3481 GJ</v>
      </c>
      <c r="G24" t="str">
        <v>Harmelen</v>
      </c>
      <c r="H24" t="str">
        <v>Woerden</v>
      </c>
      <c r="I24" t="str">
        <v>Utrecht</v>
      </c>
      <c r="J24" t="str">
        <v>West-Nederland</v>
      </c>
      <c r="K24" t="str">
        <v>Te koop</v>
      </c>
      <c r="L24" t="str">
        <v>2026-07-08</v>
      </c>
      <c r="M24">
        <v>5</v>
      </c>
      <c r="N24">
        <v>369000</v>
      </c>
      <c r="O24" t="str">
        <v>v.o.n.</v>
      </c>
      <c r="P24">
        <v>69</v>
      </c>
      <c r="Q24">
        <v>5348</v>
      </c>
      <c r="R24">
        <v>87</v>
      </c>
      <c r="S24" t="str">
        <v>A+++</v>
      </c>
      <c r="T24">
        <v>1</v>
      </c>
      <c r="U24" t="str">
        <v>Onbekend</v>
      </c>
      <c r="V24" t="str">
        <v>Grondgebonden</v>
      </c>
      <c r="W24" t="str">
        <v>Tussenwoning</v>
      </c>
      <c r="X24" t="str">
        <v>N.v.t.</v>
      </c>
      <c r="Y24" t="str">
        <v>Ja</v>
      </c>
      <c r="Z24" t="str">
        <v>openbare parkeerplaats</v>
      </c>
      <c r="AA24" t="str">
        <v>2026</v>
      </c>
      <c r="AB24" t="str">
        <v>Nee</v>
      </c>
      <c r="AC24" t="str">
        <v>NEE</v>
      </c>
      <c r="AD24" t="str">
        <v>JA</v>
      </c>
    </row>
    <row r="25">
      <c r="A25" t="str">
        <v>44422290</v>
      </c>
      <c r="B25" t="str">
        <v>https://www.funda.nl/detail/koop/harmelen/huis-revita-bouwnr-5/44422290/</v>
      </c>
      <c r="C25" t="str">
        <v>Hof van Harmelen</v>
      </c>
      <c r="D25" t="str">
        <v>Revita</v>
      </c>
      <c r="E25" t="str">
        <v>5</v>
      </c>
      <c r="F25" t="str">
        <v>3481 GJ</v>
      </c>
      <c r="G25" t="str">
        <v>Harmelen</v>
      </c>
      <c r="H25" t="str">
        <v>Woerden</v>
      </c>
      <c r="I25" t="str">
        <v>Utrecht</v>
      </c>
      <c r="J25" t="str">
        <v>West-Nederland</v>
      </c>
      <c r="K25" t="str">
        <v>Te koop</v>
      </c>
      <c r="L25" t="str">
        <v>Onbekend</v>
      </c>
      <c r="M25" t="str">
        <v>Onbekend</v>
      </c>
      <c r="N25">
        <v>369000</v>
      </c>
      <c r="O25" t="str">
        <v>v.o.n.</v>
      </c>
      <c r="P25">
        <v>69</v>
      </c>
      <c r="Q25">
        <v>5348</v>
      </c>
      <c r="R25">
        <v>79</v>
      </c>
      <c r="S25" t="str">
        <v>A+++</v>
      </c>
      <c r="T25">
        <v>1</v>
      </c>
      <c r="U25" t="str">
        <v>Onbekend</v>
      </c>
      <c r="V25" t="str">
        <v>Grondgebonden</v>
      </c>
      <c r="W25" t="str">
        <v>Tussenwoning</v>
      </c>
      <c r="X25" t="str">
        <v>N.v.t.</v>
      </c>
      <c r="Y25" t="str">
        <v>Ja</v>
      </c>
      <c r="Z25" t="str">
        <v>openbare parkeerplaats</v>
      </c>
      <c r="AA25" t="str">
        <v>2026</v>
      </c>
      <c r="AB25" t="str">
        <v>Nee</v>
      </c>
      <c r="AC25" t="str">
        <v>NEE</v>
      </c>
      <c r="AD25" t="str">
        <v>JA</v>
      </c>
    </row>
    <row r="26">
      <c r="A26" t="str">
        <v>44422299</v>
      </c>
      <c r="B26" t="str">
        <v>https://www.funda.nl/detail/koop/harmelen/huis-revita-bouwnr-8/44422299/</v>
      </c>
      <c r="C26" t="str">
        <v>Hof van Harmelen</v>
      </c>
      <c r="D26" t="str">
        <v>Revita</v>
      </c>
      <c r="E26" t="str">
        <v>8</v>
      </c>
      <c r="F26" t="str">
        <v>3481 GJ</v>
      </c>
      <c r="G26" t="str">
        <v>Harmelen</v>
      </c>
      <c r="H26" t="str">
        <v>Woerden</v>
      </c>
      <c r="I26" t="str">
        <v>Utrecht</v>
      </c>
      <c r="J26" t="str">
        <v>West-Nederland</v>
      </c>
      <c r="K26" t="str">
        <v>Te koop</v>
      </c>
      <c r="L26" t="str">
        <v>Onbekend</v>
      </c>
      <c r="M26" t="str">
        <v>Onbekend</v>
      </c>
      <c r="N26">
        <v>397000</v>
      </c>
      <c r="O26" t="str">
        <v>v.o.n.</v>
      </c>
      <c r="P26">
        <v>69</v>
      </c>
      <c r="Q26">
        <v>5754</v>
      </c>
      <c r="R26">
        <v>127</v>
      </c>
      <c r="S26" t="str">
        <v>A+++</v>
      </c>
      <c r="T26">
        <v>1</v>
      </c>
      <c r="U26" t="str">
        <v>Onbekend</v>
      </c>
      <c r="V26" t="str">
        <v>Grondgebonden</v>
      </c>
      <c r="W26" t="str">
        <v>Hoekwoning</v>
      </c>
      <c r="X26" t="str">
        <v>N.v.t.</v>
      </c>
      <c r="Y26" t="str">
        <v>Ja</v>
      </c>
      <c r="Z26" t="str">
        <v>openbare parkeerplaats</v>
      </c>
      <c r="AA26" t="str">
        <v>2026</v>
      </c>
      <c r="AB26" t="str">
        <v>Nee</v>
      </c>
      <c r="AC26" t="str">
        <v>NEE</v>
      </c>
      <c r="AD26" t="str">
        <v>JA</v>
      </c>
    </row>
    <row r="27">
      <c r="A27" t="str">
        <v>44422298</v>
      </c>
      <c r="B27" t="str">
        <v>https://www.funda.nl/detail/koop/harmelen/huis-revita-bouwnr-6/44422298/</v>
      </c>
      <c r="C27" t="str">
        <v>Hof van Harmelen</v>
      </c>
      <c r="D27" t="str">
        <v>Revita</v>
      </c>
      <c r="E27" t="str">
        <v>6</v>
      </c>
      <c r="F27" t="str">
        <v>3481 GJ</v>
      </c>
      <c r="G27" t="str">
        <v>Harmelen</v>
      </c>
      <c r="H27" t="str">
        <v>Woerden</v>
      </c>
      <c r="I27" t="str">
        <v>Utrecht</v>
      </c>
      <c r="J27" t="str">
        <v>West-Nederland</v>
      </c>
      <c r="K27" t="str">
        <v>Te koop</v>
      </c>
      <c r="L27" t="str">
        <v>Onbekend</v>
      </c>
      <c r="M27" t="str">
        <v>Onbekend</v>
      </c>
      <c r="N27">
        <v>369000</v>
      </c>
      <c r="O27" t="str">
        <v>v.o.n.</v>
      </c>
      <c r="P27">
        <v>69</v>
      </c>
      <c r="Q27">
        <v>5348</v>
      </c>
      <c r="R27">
        <v>79</v>
      </c>
      <c r="S27" t="str">
        <v>A+++</v>
      </c>
      <c r="T27">
        <v>1</v>
      </c>
      <c r="U27" t="str">
        <v>Onbekend</v>
      </c>
      <c r="V27" t="str">
        <v>Grondgebonden</v>
      </c>
      <c r="W27" t="str">
        <v>Tussenwoning</v>
      </c>
      <c r="X27" t="str">
        <v>N.v.t.</v>
      </c>
      <c r="Y27" t="str">
        <v>Ja</v>
      </c>
      <c r="Z27" t="str">
        <v>openbare parkeerplaats</v>
      </c>
      <c r="AA27" t="str">
        <v>2026</v>
      </c>
      <c r="AB27" t="str">
        <v>Nee</v>
      </c>
      <c r="AC27" t="str">
        <v>NEE</v>
      </c>
      <c r="AD27" t="str">
        <v>JA</v>
      </c>
    </row>
    <row r="28">
      <c r="A28" t="str">
        <v>44422294</v>
      </c>
      <c r="B28" t="str">
        <v>https://www.funda.nl/detail/koop/harmelen/huis-revita-bouwnr-4/44422294/</v>
      </c>
      <c r="C28" t="str">
        <v>Hof van Harmelen</v>
      </c>
      <c r="D28" t="str">
        <v>Revita</v>
      </c>
      <c r="E28" t="str">
        <v>4</v>
      </c>
      <c r="F28" t="str">
        <v>3481 GJ</v>
      </c>
      <c r="G28" t="str">
        <v>Harmelen</v>
      </c>
      <c r="H28" t="str">
        <v>Woerden</v>
      </c>
      <c r="I28" t="str">
        <v>Utrecht</v>
      </c>
      <c r="J28" t="str">
        <v>West-Nederland</v>
      </c>
      <c r="K28" t="str">
        <v>Te koop</v>
      </c>
      <c r="L28" t="str">
        <v>Onbekend</v>
      </c>
      <c r="M28" t="str">
        <v>Onbekend</v>
      </c>
      <c r="N28">
        <v>369000</v>
      </c>
      <c r="O28" t="str">
        <v>v.o.n.</v>
      </c>
      <c r="P28">
        <v>69</v>
      </c>
      <c r="Q28">
        <v>5348</v>
      </c>
      <c r="R28">
        <v>79</v>
      </c>
      <c r="S28" t="str">
        <v>A+++</v>
      </c>
      <c r="T28">
        <v>1</v>
      </c>
      <c r="U28" t="str">
        <v>Onbekend</v>
      </c>
      <c r="V28" t="str">
        <v>Grondgebonden</v>
      </c>
      <c r="W28" t="str">
        <v>Tussenwoning</v>
      </c>
      <c r="X28" t="str">
        <v>N.v.t.</v>
      </c>
      <c r="Y28" t="str">
        <v>Ja</v>
      </c>
      <c r="Z28" t="str">
        <v>openbare parkeerplaats</v>
      </c>
      <c r="AA28" t="str">
        <v>2026</v>
      </c>
      <c r="AB28" t="str">
        <v>Nee</v>
      </c>
      <c r="AC28" t="str">
        <v>NEE</v>
      </c>
      <c r="AD28" t="str">
        <v>JA</v>
      </c>
    </row>
    <row r="29">
      <c r="A29" t="str">
        <v>44422293</v>
      </c>
      <c r="B29" t="str">
        <v>https://www.funda.nl/detail/koop/harmelen/huis-revita-bouwnr-1/44422293/</v>
      </c>
      <c r="C29" t="str">
        <v>Hof van Harmelen</v>
      </c>
      <c r="D29" t="str">
        <v>Revita</v>
      </c>
      <c r="E29" t="str">
        <v>1</v>
      </c>
      <c r="F29" t="str">
        <v>3481 GJ</v>
      </c>
      <c r="G29" t="str">
        <v>Harmelen</v>
      </c>
      <c r="H29" t="str">
        <v>Woerden</v>
      </c>
      <c r="I29" t="str">
        <v>Utrecht</v>
      </c>
      <c r="J29" t="str">
        <v>West-Nederland</v>
      </c>
      <c r="K29" t="str">
        <v>Te koop</v>
      </c>
      <c r="L29" t="str">
        <v>Onbekend</v>
      </c>
      <c r="M29" t="str">
        <v>Onbekend</v>
      </c>
      <c r="N29">
        <v>383000</v>
      </c>
      <c r="O29" t="str">
        <v>v.o.n.</v>
      </c>
      <c r="P29">
        <v>69</v>
      </c>
      <c r="Q29">
        <v>5551</v>
      </c>
      <c r="R29">
        <v>79</v>
      </c>
      <c r="S29" t="str">
        <v>A+++</v>
      </c>
      <c r="T29">
        <v>1</v>
      </c>
      <c r="U29" t="str">
        <v>Onbekend</v>
      </c>
      <c r="V29" t="str">
        <v>Grondgebonden</v>
      </c>
      <c r="W29" t="str">
        <v>Hoekwoning</v>
      </c>
      <c r="X29" t="str">
        <v>N.v.t.</v>
      </c>
      <c r="Y29" t="str">
        <v>Ja</v>
      </c>
      <c r="Z29" t="str">
        <v>openbare parkeerplaats</v>
      </c>
      <c r="AA29" t="str">
        <v>2026</v>
      </c>
      <c r="AB29" t="str">
        <v>Nee</v>
      </c>
      <c r="AC29" t="str">
        <v>NEE</v>
      </c>
      <c r="AD29" t="str">
        <v>JA</v>
      </c>
    </row>
    <row r="30">
      <c r="A30" t="str">
        <v>44422282</v>
      </c>
      <c r="B30" t="str">
        <v>https://www.funda.nl/detail/koop/harmelen/huis-revita-bouwnr-3/44422282/</v>
      </c>
      <c r="C30" t="str">
        <v>Hof van Harmelen</v>
      </c>
      <c r="D30" t="str">
        <v>Revita</v>
      </c>
      <c r="E30" t="str">
        <v>3</v>
      </c>
      <c r="F30" t="str">
        <v>3481 GJ</v>
      </c>
      <c r="G30" t="str">
        <v>Harmelen</v>
      </c>
      <c r="H30" t="str">
        <v>Woerden</v>
      </c>
      <c r="I30" t="str">
        <v>Utrecht</v>
      </c>
      <c r="J30" t="str">
        <v>West-Nederland</v>
      </c>
      <c r="K30" t="str">
        <v>Te koop</v>
      </c>
      <c r="L30" t="str">
        <v>Onbekend</v>
      </c>
      <c r="M30" t="str">
        <v>Onbekend</v>
      </c>
      <c r="N30">
        <v>369000</v>
      </c>
      <c r="O30" t="str">
        <v>v.o.n.</v>
      </c>
      <c r="P30">
        <v>69</v>
      </c>
      <c r="Q30">
        <v>5348</v>
      </c>
      <c r="R30">
        <v>81</v>
      </c>
      <c r="S30" t="str">
        <v>A+++</v>
      </c>
      <c r="T30">
        <v>1</v>
      </c>
      <c r="U30" t="str">
        <v>Onbekend</v>
      </c>
      <c r="V30" t="str">
        <v>Grondgebonden</v>
      </c>
      <c r="W30" t="str">
        <v>Tussenwoning</v>
      </c>
      <c r="X30" t="str">
        <v>N.v.t.</v>
      </c>
      <c r="Y30" t="str">
        <v>Ja</v>
      </c>
      <c r="Z30" t="str">
        <v>openbare parkeerplaats</v>
      </c>
      <c r="AA30" t="str">
        <v>2026</v>
      </c>
      <c r="AB30" t="str">
        <v>Nee</v>
      </c>
      <c r="AC30" t="str">
        <v>NEE</v>
      </c>
      <c r="AD30" t="str">
        <v>JA</v>
      </c>
    </row>
    <row r="31">
      <c r="A31" t="str">
        <v>44422281</v>
      </c>
      <c r="B31" t="str">
        <v>https://www.funda.nl/detail/koop/harmelen/huis-revita-bouwnr-2/44422281/</v>
      </c>
      <c r="C31" t="str">
        <v>Hof van Harmelen</v>
      </c>
      <c r="D31" t="str">
        <v>Revita</v>
      </c>
      <c r="E31" t="str">
        <v>2</v>
      </c>
      <c r="F31" t="str">
        <v>3481 GJ</v>
      </c>
      <c r="G31" t="str">
        <v>Harmelen</v>
      </c>
      <c r="H31" t="str">
        <v>Woerden</v>
      </c>
      <c r="I31" t="str">
        <v>Utrecht</v>
      </c>
      <c r="J31" t="str">
        <v>West-Nederland</v>
      </c>
      <c r="K31" t="str">
        <v>Te koop</v>
      </c>
      <c r="L31" t="str">
        <v>Onbekend</v>
      </c>
      <c r="M31" t="str">
        <v>Onbekend</v>
      </c>
      <c r="N31">
        <v>369000</v>
      </c>
      <c r="O31" t="str">
        <v>v.o.n.</v>
      </c>
      <c r="P31">
        <v>69</v>
      </c>
      <c r="Q31">
        <v>5348</v>
      </c>
      <c r="R31">
        <v>85</v>
      </c>
      <c r="S31" t="str">
        <v>A+++</v>
      </c>
      <c r="T31">
        <v>1</v>
      </c>
      <c r="U31" t="str">
        <v>Onbekend</v>
      </c>
      <c r="V31" t="str">
        <v>Grondgebonden</v>
      </c>
      <c r="W31" t="str">
        <v>Tussenwoning</v>
      </c>
      <c r="X31" t="str">
        <v>N.v.t.</v>
      </c>
      <c r="Y31" t="str">
        <v>Ja</v>
      </c>
      <c r="Z31" t="str">
        <v>openbare parkeerplaats</v>
      </c>
      <c r="AA31" t="str">
        <v>2026</v>
      </c>
      <c r="AB31" t="str">
        <v>Nee</v>
      </c>
      <c r="AC31" t="str">
        <v>NEE</v>
      </c>
      <c r="AD31" t="str">
        <v>JA</v>
      </c>
    </row>
  </sheetData>
  <autoFilter ref="A23:AD31"/>
  <ignoredErrors>
    <ignoredError numberStoredAsText="1" sqref="A1:AD31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18.83203125" customWidth="1"/>
    <col min="14" max="14" width="16.83203125" customWidth="1"/>
    <col min="15" max="15" width="13.83203125" customWidth="1"/>
    <col min="16" max="16" width="12.83203125" customWidth="1"/>
    <col min="17" max="17" width="22.83203125" customWidth="1"/>
    <col min="18" max="18" width="25.83203125" customWidth="1"/>
    <col min="19" max="19" width="14.83203125" customWidth="1"/>
    <col min="20" max="20" width="15.83203125" customWidth="1"/>
    <col min="21" max="21" width="20.83203125" customWidth="1"/>
    <col min="22" max="22" width="17.83203125" customWidth="1"/>
    <col min="23" max="23" width="12.83203125" customWidth="1"/>
    <col min="24" max="24" width="23.83203125" customWidth="1"/>
    <col min="25" max="25" width="15.83203125" customWidth="1"/>
    <col min="26" max="26" width="20.83203125" customWidth="1"/>
    <col min="27" max="27" width="12.83203125" customWidth="1"/>
    <col min="28" max="28" width="19.83203125" customWidth="1"/>
    <col min="29" max="29" width="14.83203125" customWidth="1"/>
    <col min="30" max="30" width="12.83203125" customWidth="1"/>
  </cols>
  <sheetData>
    <row r="1">
      <c r="A1" t="str">
        <v>Gemeente: Zevenaar</v>
      </c>
    </row>
    <row r="3">
      <c r="A3" t="str">
        <v>Samenvatting</v>
      </c>
    </row>
    <row r="4">
      <c r="A4" t="str">
        <v>Aantal woningen</v>
      </c>
      <c r="B4">
        <v>1</v>
      </c>
    </row>
    <row r="5">
      <c r="A5" t="str">
        <v>Aantal te koop</v>
      </c>
      <c r="B5">
        <v>1</v>
      </c>
    </row>
    <row r="6">
      <c r="A6" t="str">
        <v>Aantal verkocht</v>
      </c>
      <c r="B6">
        <v>0</v>
      </c>
    </row>
    <row r="7">
      <c r="A7" t="str">
        <v>Aantal V.O.V.</v>
      </c>
      <c r="B7">
        <v>0</v>
      </c>
    </row>
    <row r="8">
      <c r="A8" t="str">
        <v>Gemiddelde VON-prijs (€)</v>
      </c>
      <c r="B8">
        <v>287500</v>
      </c>
    </row>
    <row r="9">
      <c r="A9" t="str">
        <v>Mediaan VON-prijs (€)</v>
      </c>
      <c r="B9">
        <v>287500</v>
      </c>
    </row>
    <row r="10">
      <c r="A10" t="str">
        <v>Gemiddelde VON-prijs per m² (€)</v>
      </c>
      <c r="B10">
        <v>5637</v>
      </c>
    </row>
    <row r="11">
      <c r="A11" t="str">
        <v>Mediaan VON-prijs per m² (€)</v>
      </c>
      <c r="B11">
        <v>5637</v>
      </c>
    </row>
    <row r="12">
      <c r="A12" t="str">
        <v>Gemiddelde GBO (m²)</v>
      </c>
      <c r="B12">
        <v>51</v>
      </c>
    </row>
    <row r="13">
      <c r="A13" t="str">
        <v>Gemiddelde looptijd (dagen)</v>
      </c>
      <c r="B13">
        <v>4</v>
      </c>
    </row>
    <row r="14">
      <c r="A14" t="str">
        <v>Aandeel met parkeerplaats (%)</v>
      </c>
      <c r="B14">
        <v>100</v>
      </c>
    </row>
    <row r="16">
      <c r="A16" t="str">
        <v>Uitsplitsing grondgebonden woningtypen</v>
      </c>
      <c r="B16" t="str">
        <v>Aantal</v>
      </c>
    </row>
    <row r="18">
      <c r="A18" t="str">
        <v>Uitsplitsing appartementcategorieen</v>
      </c>
      <c r="B18" t="str">
        <v>Aantal</v>
      </c>
    </row>
    <row r="19">
      <c r="A19" t="str">
        <v>Appartement 50-75 m²</v>
      </c>
      <c r="B19">
        <v>1</v>
      </c>
    </row>
    <row r="21">
      <c r="A21" t="str">
        <v>Alle woningen in Zevenaar</v>
      </c>
    </row>
    <row r="22">
      <c r="A22" t="str">
        <v>Funda ID</v>
      </c>
      <c r="B22" t="str">
        <v>Funda URL</v>
      </c>
      <c r="C22" t="str">
        <v>Projectnaam</v>
      </c>
      <c r="D22" t="str">
        <v>Adres</v>
      </c>
      <c r="E22" t="str">
        <v>Bouwnummer</v>
      </c>
      <c r="F22" t="str">
        <v>Postcode</v>
      </c>
      <c r="G22" t="str">
        <v>Plaats</v>
      </c>
      <c r="H22" t="str">
        <v>Gemeente</v>
      </c>
      <c r="I22" t="str">
        <v>Provincie</v>
      </c>
      <c r="J22" t="str">
        <v>Regio</v>
      </c>
      <c r="K22" t="str">
        <v>Status</v>
      </c>
      <c r="L22" t="str">
        <v>Datum plaatsing</v>
      </c>
      <c r="M22" t="str">
        <v>Looptijd (dagen)</v>
      </c>
      <c r="N22" t="str">
        <v>Vraagprijs (€)</v>
      </c>
      <c r="O22" t="str">
        <v>Kostenlabel</v>
      </c>
      <c r="P22" t="str">
        <v>GBO (m²)</v>
      </c>
      <c r="Q22" t="str">
        <v>VON-prijs per m² (€)</v>
      </c>
      <c r="R22" t="str">
        <v>Perceeloppervlakte (m²)</v>
      </c>
      <c r="S22" t="str">
        <v>Energielabel</v>
      </c>
      <c r="T22" t="str">
        <v>Aantal kamers</v>
      </c>
      <c r="U22" t="str">
        <v>Aantal slaapkamers</v>
      </c>
      <c r="V22" t="str">
        <v>Woningcategorie</v>
      </c>
      <c r="W22" t="str">
        <v>Woningtype</v>
      </c>
      <c r="X22" t="str">
        <v>Appartement categorie</v>
      </c>
      <c r="Y22" t="str">
        <v>Parkeerplaats</v>
      </c>
      <c r="Z22" t="str">
        <v>Type parkeerplaats</v>
      </c>
      <c r="AA22" t="str">
        <v>Bouwjaar</v>
      </c>
      <c r="AB22" t="str">
        <v>Prijs op aanvraag</v>
      </c>
      <c r="AC22" t="str">
        <v>Outlier flag</v>
      </c>
      <c r="AD22" t="str">
        <v>GemeenteOK</v>
      </c>
    </row>
    <row r="23">
      <c r="A23" t="str">
        <v>80888465</v>
      </c>
      <c r="B23" t="str">
        <v>https://www.funda.nl/detail/koop/zevenaar/appartement-juvenaathof-4/80888465/</v>
      </c>
      <c r="C23" t="str">
        <v>Onbekend</v>
      </c>
      <c r="D23" t="str">
        <v>Juvenaathof 4</v>
      </c>
      <c r="E23" t="str">
        <v>Onbekend</v>
      </c>
      <c r="F23" t="str">
        <v>6901 MT</v>
      </c>
      <c r="G23" t="str">
        <v>Zevenaar</v>
      </c>
      <c r="H23" t="str">
        <v>Zevenaar</v>
      </c>
      <c r="I23" t="str">
        <v>Gelderland</v>
      </c>
      <c r="J23" t="str">
        <v>Oost-Nederland</v>
      </c>
      <c r="K23" t="str">
        <v>Te koop</v>
      </c>
      <c r="L23" t="str">
        <v>2026-07-09</v>
      </c>
      <c r="M23">
        <v>4</v>
      </c>
      <c r="N23">
        <v>287500</v>
      </c>
      <c r="O23" t="str">
        <v>v.o.n.</v>
      </c>
      <c r="P23">
        <v>51</v>
      </c>
      <c r="Q23">
        <v>5637</v>
      </c>
      <c r="R23" t="str">
        <v>Onbekend</v>
      </c>
      <c r="S23" t="str">
        <v>A+++</v>
      </c>
      <c r="T23">
        <v>2</v>
      </c>
      <c r="U23">
        <v>1</v>
      </c>
      <c r="V23" t="str">
        <v>Appartement</v>
      </c>
      <c r="W23" t="str">
        <v>Appartement</v>
      </c>
      <c r="X23" t="str">
        <v>Appartement 50-75 m²</v>
      </c>
      <c r="Y23" t="str">
        <v>Ja</v>
      </c>
      <c r="Z23" t="str">
        <v>openbare parkeerplaats</v>
      </c>
      <c r="AA23" t="str">
        <v>2026</v>
      </c>
      <c r="AB23" t="str">
        <v>Nee</v>
      </c>
      <c r="AC23" t="str">
        <v>NEE</v>
      </c>
      <c r="AD23" t="str">
        <v>JA</v>
      </c>
    </row>
  </sheetData>
  <autoFilter ref="A22:AD23"/>
  <ignoredErrors>
    <ignoredError numberStoredAsText="1" sqref="A1:A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Alle woningen</vt:lpstr>
      <vt:lpstr>Samenvatting Nederland</vt:lpstr>
      <vt:lpstr>Samenvatting per provincie</vt:lpstr>
      <vt:lpstr>Samenvatting per regio</vt:lpstr>
      <vt:lpstr>Samenvatting per gemeente</vt:lpstr>
      <vt:lpstr>Gemeente x woningtype</vt:lpstr>
      <vt:lpstr>Gemeente x appartementcategorie</vt:lpstr>
      <vt:lpstr>Status analyse</vt:lpstr>
      <vt:lpstr>Looptijd analyse</vt:lpstr>
      <vt:lpstr>Parkeren analyse</vt:lpstr>
      <vt:lpstr>Controleblad</vt:lpstr>
      <vt:lpstr>Verwijderde dubbelen</vt:lpstr>
      <vt:lpstr>Dataverantwoording</vt:lpstr>
      <vt:lpstr>'s-Gravenhage</vt:lpstr>
      <vt:lpstr>Aalten</vt:lpstr>
      <vt:lpstr>Alkmaar</vt:lpstr>
      <vt:lpstr>Almere</vt:lpstr>
      <vt:lpstr>Amersfoort</vt:lpstr>
      <vt:lpstr>Amsterdam</vt:lpstr>
      <vt:lpstr>Bergen op Zoom</vt:lpstr>
      <vt:lpstr>Berkelland</vt:lpstr>
      <vt:lpstr>Bernheze</vt:lpstr>
      <vt:lpstr>Borsele</vt:lpstr>
      <vt:lpstr>Breda</vt:lpstr>
      <vt:lpstr>Brummen</vt:lpstr>
      <vt:lpstr>Brunssum</vt:lpstr>
      <vt:lpstr>Capelle aan den IJssel</vt:lpstr>
      <vt:lpstr>Den Helder</vt:lpstr>
      <vt:lpstr>Deventer</vt:lpstr>
      <vt:lpstr>Diemen</vt:lpstr>
      <vt:lpstr>Dinkelland</vt:lpstr>
      <vt:lpstr>Doetinchem</vt:lpstr>
      <vt:lpstr>Dronten</vt:lpstr>
      <vt:lpstr>Echt-Susteren</vt:lpstr>
      <vt:lpstr>Eindhoven</vt:lpstr>
      <vt:lpstr>Emmen</vt:lpstr>
      <vt:lpstr>Enschede</vt:lpstr>
      <vt:lpstr>Gennep</vt:lpstr>
      <vt:lpstr>Gilze en Rijen</vt:lpstr>
      <vt:lpstr>Gooise Meren</vt:lpstr>
      <vt:lpstr>Haarlem</vt:lpstr>
      <vt:lpstr>Haarlemmermeer</vt:lpstr>
      <vt:lpstr>Halderberge</vt:lpstr>
      <vt:lpstr>Hardenberg</vt:lpstr>
      <vt:lpstr>Hengelo (O)</vt:lpstr>
      <vt:lpstr>Hoogeveen</vt:lpstr>
      <vt:lpstr>Hoorn</vt:lpstr>
      <vt:lpstr>Hulst</vt:lpstr>
      <vt:lpstr>Landgraaf</vt:lpstr>
      <vt:lpstr>Lingewaard</vt:lpstr>
      <vt:lpstr>Lochem</vt:lpstr>
      <vt:lpstr>Losser</vt:lpstr>
      <vt:lpstr>Maashorst</vt:lpstr>
      <vt:lpstr>Maassluis</vt:lpstr>
      <vt:lpstr>Midden-Groningen</vt:lpstr>
      <vt:lpstr>Neder-Betuwe</vt:lpstr>
      <vt:lpstr>Nissewaard</vt:lpstr>
      <vt:lpstr>Onbekend</vt:lpstr>
      <vt:lpstr>Oost Gelre</vt:lpstr>
      <vt:lpstr>Overbetuwe</vt:lpstr>
      <vt:lpstr>Purmerend</vt:lpstr>
      <vt:lpstr>Roermond</vt:lpstr>
      <vt:lpstr>Rotterdam</vt:lpstr>
      <vt:lpstr>Sittard-Geleen</vt:lpstr>
      <vt:lpstr>Soest</vt:lpstr>
      <vt:lpstr>Son en Breugel</vt:lpstr>
      <vt:lpstr>Valkenswaard</vt:lpstr>
      <vt:lpstr>Veenendaal</vt:lpstr>
      <vt:lpstr>Venlo</vt:lpstr>
      <vt:lpstr>Venray</vt:lpstr>
      <vt:lpstr>Vlaardingen</vt:lpstr>
      <vt:lpstr>Voorne aan Zee</vt:lpstr>
      <vt:lpstr>Waalre</vt:lpstr>
      <vt:lpstr>Westland</vt:lpstr>
      <vt:lpstr>Woerden</vt:lpstr>
      <vt:lpstr>Zevenaar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