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e3ba0c285ee637/Skrivbord/"/>
    </mc:Choice>
  </mc:AlternateContent>
  <xr:revisionPtr revIDLastSave="665" documentId="8_{5D46E619-6508-4696-BF0D-9BFAA5FFA90C}" xr6:coauthVersionLast="47" xr6:coauthVersionMax="47" xr10:uidLastSave="{DDED13EA-F522-49AD-A127-D8600E61945B}"/>
  <bookViews>
    <workbookView xWindow="-110" yWindow="-110" windowWidth="19420" windowHeight="11500" activeTab="1" xr2:uid="{A1CABF6A-263F-4A97-9869-CE93D28EB625}"/>
  </bookViews>
  <sheets>
    <sheet name="Comps" sheetId="1" r:id="rId1"/>
    <sheet name="Sheet2" sheetId="2" r:id="rId2"/>
  </sheets>
  <definedNames>
    <definedName name="_xlnm.Print_Area" localSheetId="0">Comps!$A$2:$N$21</definedName>
    <definedName name="_xlnm.Print_Area" localSheetId="1">Sheet2!$A$1:$N$28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G14" i="1"/>
  <c r="G15" i="1"/>
  <c r="C10" i="2"/>
  <c r="C16" i="2" s="1"/>
  <c r="C6" i="2"/>
  <c r="G12" i="1"/>
  <c r="G18" i="1"/>
  <c r="C5" i="2"/>
  <c r="D13" i="1"/>
  <c r="G13" i="1" s="1"/>
  <c r="D11" i="1"/>
  <c r="G11" i="1" s="1"/>
  <c r="D17" i="1" l="1"/>
  <c r="E17" i="1"/>
  <c r="F17" i="1"/>
  <c r="G17" i="1"/>
  <c r="H17" i="1"/>
  <c r="C17" i="1"/>
  <c r="D16" i="1"/>
  <c r="E16" i="1"/>
  <c r="F16" i="1"/>
  <c r="G16" i="1"/>
  <c r="H16" i="1"/>
  <c r="D13" i="2" s="1"/>
  <c r="D15" i="2" s="1"/>
  <c r="D17" i="2" s="1"/>
  <c r="D20" i="2" s="1"/>
  <c r="C16" i="1"/>
  <c r="C13" i="2" l="1"/>
  <c r="C15" i="2" s="1"/>
  <c r="C17" i="2" l="1"/>
  <c r="C20" i="2" s="1"/>
  <c r="G20" i="2"/>
</calcChain>
</file>

<file path=xl/sharedStrings.xml><?xml version="1.0" encoding="utf-8"?>
<sst xmlns="http://schemas.openxmlformats.org/spreadsheetml/2006/main" count="43" uniqueCount="37">
  <si>
    <t>Peer Group</t>
  </si>
  <si>
    <t>SEKm</t>
  </si>
  <si>
    <t>2022A-2024E</t>
  </si>
  <si>
    <t>2024E</t>
  </si>
  <si>
    <t>Mcap</t>
  </si>
  <si>
    <t>EV</t>
  </si>
  <si>
    <t>Sales CAGR</t>
  </si>
  <si>
    <t>EBIT margin</t>
  </si>
  <si>
    <t>EV/EBIT</t>
  </si>
  <si>
    <t>P/E</t>
  </si>
  <si>
    <t>Company Name</t>
  </si>
  <si>
    <t>Comparable Companies</t>
  </si>
  <si>
    <t>Median</t>
  </si>
  <si>
    <t>Average</t>
  </si>
  <si>
    <t>Ratos</t>
  </si>
  <si>
    <t>Share price</t>
  </si>
  <si>
    <t>Shares outst.</t>
  </si>
  <si>
    <t>Revenue</t>
  </si>
  <si>
    <t>EBITDA</t>
  </si>
  <si>
    <t>Net income</t>
  </si>
  <si>
    <t>Net debt</t>
  </si>
  <si>
    <t>Values in mSEK</t>
  </si>
  <si>
    <t>Peer group mean</t>
  </si>
  <si>
    <t>EV/EBITDA</t>
  </si>
  <si>
    <t>Implied Ratos EV</t>
  </si>
  <si>
    <t>Less: Net Debt</t>
  </si>
  <si>
    <t>Equals: Implied Equity Value</t>
  </si>
  <si>
    <t>Ratos Shares outstanding</t>
  </si>
  <si>
    <t>Implied Ratos Share price</t>
  </si>
  <si>
    <t>Is Ratos undervalued based on Comps?</t>
  </si>
  <si>
    <t>Yes</t>
  </si>
  <si>
    <t>EV/Sales</t>
  </si>
  <si>
    <t>…From this point on, we can calculate the implied PPS for Ratos.</t>
  </si>
  <si>
    <t>We have used the most common multiples in this valuation.</t>
  </si>
  <si>
    <t>But depending on industry you might use alternative multiples</t>
  </si>
  <si>
    <t>such as P/B, EV/EBIT, amongst others.</t>
  </si>
  <si>
    <t>EV/EBITDA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</si>
</sst>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(#,##0\);0"/>
    <numFmt numFmtId="165" formatCode="#.0%;\(#.0%\);0"/>
    <numFmt numFmtId="166" formatCode="#,###.0%;\(#,###.0%\);0"/>
    <numFmt numFmtId="167" formatCode="#,###.0&quot;x&quot;;\(#,###.0\)&quot;x&quot;;0;"/>
    <numFmt numFmtId="168" formatCode="#,##0.0&quot;x&quot;;\(#,##0.0&quot;x&quot;\);0"/>
    <numFmt numFmtId="169" formatCode="[$SEK]\ 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4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4" borderId="0" xfId="1" applyNumberFormat="1" applyFont="1" applyFill="1" applyBorder="1" applyAlignment="1">
      <alignment horizontal="center" vertical="center"/>
    </xf>
    <xf numFmtId="165" fontId="0" fillId="4" borderId="0" xfId="1" applyNumberFormat="1" applyFont="1" applyFill="1" applyBorder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7" fillId="0" borderId="0" xfId="0" applyFont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3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8" fontId="0" fillId="5" borderId="0" xfId="0" applyNumberForma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2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514220</xdr:colOff>
      <xdr:row>10</xdr:row>
      <xdr:rowOff>33618</xdr:rowOff>
    </xdr:from>
    <xdr:to>
      <xdr:col>1</xdr:col>
      <xdr:colOff>1187491</xdr:colOff>
      <xdr:row>11</xdr:row>
      <xdr:rowOff>86534</xdr:rowOff>
    </xdr:to>
    <xdr:pic>
      <xdr:nvPicPr>
        <xdr:cNvPr id="2" name="Picture 1" descr="Bure new shareholder of Scandinova | ScandiNova">
          <a:extLst>
            <a:ext uri="{FF2B5EF4-FFF2-40B4-BE49-F238E27FC236}">
              <a16:creationId xmlns:a16="http://schemas.microsoft.com/office/drawing/2014/main" id="{B8FEC0FF-D393-4A7E-46DF-B642CC3F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338" y="2487706"/>
          <a:ext cx="670096" cy="35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480153</xdr:colOff>
      <xdr:row>11</xdr:row>
      <xdr:rowOff>1479</xdr:rowOff>
    </xdr:from>
    <xdr:to>
      <xdr:col>1</xdr:col>
      <xdr:colOff>1218264</xdr:colOff>
      <xdr:row>11</xdr:row>
      <xdr:rowOff>258708</xdr:rowOff>
    </xdr:to>
    <xdr:pic>
      <xdr:nvPicPr>
        <xdr:cNvPr id="3" name="Picture 2" descr="Home- Storskogen">
          <a:extLst>
            <a:ext uri="{FF2B5EF4-FFF2-40B4-BE49-F238E27FC236}">
              <a16:creationId xmlns:a16="http://schemas.microsoft.com/office/drawing/2014/main" id="{4D11678F-8124-F302-B140-458F1D2D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270" y="2695938"/>
          <a:ext cx="738111" cy="260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534537</xdr:colOff>
      <xdr:row>12</xdr:row>
      <xdr:rowOff>93392</xdr:rowOff>
    </xdr:from>
    <xdr:to>
      <xdr:col>1</xdr:col>
      <xdr:colOff>1169884</xdr:colOff>
      <xdr:row>12</xdr:row>
      <xdr:rowOff>206488</xdr:rowOff>
    </xdr:to>
    <xdr:pic>
      <xdr:nvPicPr>
        <xdr:cNvPr id="4" name="Picture 3" descr="Creades | Creades">
          <a:extLst>
            <a:ext uri="{FF2B5EF4-FFF2-40B4-BE49-F238E27FC236}">
              <a16:creationId xmlns:a16="http://schemas.microsoft.com/office/drawing/2014/main" id="{025653A6-C264-A9F3-DE1B-816F682C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85" y="3107729"/>
          <a:ext cx="638522" cy="113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512777</xdr:colOff>
      <xdr:row>13</xdr:row>
      <xdr:rowOff>22241</xdr:rowOff>
    </xdr:from>
    <xdr:to>
      <xdr:col>1</xdr:col>
      <xdr:colOff>1151286</xdr:colOff>
      <xdr:row>13</xdr:row>
      <xdr:rowOff>236931</xdr:rowOff>
    </xdr:to>
    <xdr:pic>
      <xdr:nvPicPr>
        <xdr:cNvPr id="6" name="Picture 5" descr="Investmentbolaget Spiltan - Snålänningen">
          <a:extLst>
            <a:ext uri="{FF2B5EF4-FFF2-40B4-BE49-F238E27FC236}">
              <a16:creationId xmlns:a16="http://schemas.microsoft.com/office/drawing/2014/main" id="{83827ED5-6B69-DDE8-6897-53F55D65C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62" t="31313" r="25714" b="34344"/>
        <a:stretch/>
      </xdr:blipFill>
      <xdr:spPr bwMode="auto">
        <a:xfrm>
          <a:off x="1124825" y="3342602"/>
          <a:ext cx="641684" cy="21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57152</xdr:rowOff>
    </xdr:to>
    <xdr:sp macro="" textlink="">
      <xdr:nvSpPr>
        <xdr:cNvPr id="1031" name="AutoShape 7" descr="Ratos B (RATO B)">
          <a:extLst>
            <a:ext uri="{FF2B5EF4-FFF2-40B4-BE49-F238E27FC236}">
              <a16:creationId xmlns:a16="http://schemas.microsoft.com/office/drawing/2014/main" id="{5A2E2C31-DE35-2437-746D-726D555F4812}"/>
            </a:ext>
          </a:extLst>
        </xdr:cNvPr>
        <xdr:cNvSpPr>
          <a:spLocks noChangeAspect="1" noChangeArrowheads="1"/>
        </xdr:cNvSpPr>
      </xdr:nvSpPr>
      <xdr:spPr bwMode="auto">
        <a:xfrm>
          <a:off x="2254250" y="4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57152</xdr:rowOff>
    </xdr:to>
    <xdr:sp macro="" textlink="">
      <xdr:nvSpPr>
        <xdr:cNvPr id="1032" name="AutoShape 8" descr="Ratos B (RATO B)">
          <a:extLst>
            <a:ext uri="{FF2B5EF4-FFF2-40B4-BE49-F238E27FC236}">
              <a16:creationId xmlns:a16="http://schemas.microsoft.com/office/drawing/2014/main" id="{D6D75EB2-C7A1-AA34-63AC-7319DACAB31D}"/>
            </a:ext>
          </a:extLst>
        </xdr:cNvPr>
        <xdr:cNvSpPr>
          <a:spLocks noChangeAspect="1" noChangeArrowheads="1"/>
        </xdr:cNvSpPr>
      </xdr:nvSpPr>
      <xdr:spPr bwMode="auto">
        <a:xfrm>
          <a:off x="2254250" y="4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443086</xdr:colOff>
      <xdr:row>17</xdr:row>
      <xdr:rowOff>76505</xdr:rowOff>
    </xdr:from>
    <xdr:to>
      <xdr:col>1</xdr:col>
      <xdr:colOff>1192675</xdr:colOff>
      <xdr:row>17</xdr:row>
      <xdr:rowOff>273183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1F4E54-349E-ED7F-595A-A959EE3A20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5468" b="23802"/>
        <a:stretch/>
      </xdr:blipFill>
      <xdr:spPr>
        <a:xfrm>
          <a:off x="1055134" y="4620963"/>
          <a:ext cx="746414" cy="193503"/>
        </a:xfrm>
        <a:prstGeom prst="rect">
          <a:avLst/>
        </a:prstGeom>
      </xdr:spPr>
    </xdr:pic>
    <xdr:clientData/>
  </xdr:twoCellAnchor>
  <xdr:oneCellAnchor>
    <xdr:from>
      <xdr:col>1</xdr:col>
      <xdr:colOff>546085</xdr:colOff>
      <xdr:row>14</xdr:row>
      <xdr:rowOff>41305</xdr:rowOff>
    </xdr:from>
    <xdr:ext cx="586203" cy="191859"/>
    <xdr:pic>
      <xdr:nvPicPr>
        <xdr:cNvPr id="9" name="Picture 8" descr="Svolder aktie | SVOL B | Aktiekurs, analyser &amp; nyheter - Börskollen">
          <a:extLst>
            <a:ext uri="{FF2B5EF4-FFF2-40B4-BE49-F238E27FC236}">
              <a16:creationId xmlns:a16="http://schemas.microsoft.com/office/drawing/2014/main" id="{1892D9DF-5F23-4672-8782-F83BF3873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133" y="3667691"/>
          <a:ext cx="586203" cy="191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062E-1D14-40C6-9258-E5125B1D1347}">
  <dimension ref="B2:Q26"/>
  <sheetViews>
    <sheetView showGridLines="0" showWhiteSpace="0" topLeftCell="A6" zoomScale="85" zoomScaleNormal="85" zoomScalePageLayoutView="55" workbookViewId="0">
      <selection activeCell="K18" sqref="K18"/>
    </sheetView>
  </sheetViews>
  <sheetFormatPr defaultRowHeight="14.5" x14ac:dyDescent="0.35"/>
  <cols>
    <col min="2" max="2" width="24.81640625" customWidth="1"/>
    <col min="3" max="4" width="14.7265625" customWidth="1"/>
    <col min="5" max="6" width="16.54296875" customWidth="1"/>
    <col min="7" max="7" width="12.7265625" customWidth="1"/>
    <col min="8" max="8" width="14.7265625" customWidth="1"/>
    <col min="15" max="15" width="49.453125" bestFit="1" customWidth="1"/>
    <col min="16" max="16" width="18.1796875" customWidth="1"/>
    <col min="17" max="17" width="13.453125" customWidth="1"/>
    <col min="18" max="19" width="11.453125" customWidth="1"/>
    <col min="20" max="20" width="6.6328125" customWidth="1"/>
  </cols>
  <sheetData>
    <row r="2" spans="2:17" ht="21" x14ac:dyDescent="0.5">
      <c r="B2" s="21" t="s">
        <v>11</v>
      </c>
    </row>
    <row r="4" spans="2:17" ht="16" x14ac:dyDescent="0.4">
      <c r="B4" s="22" t="str">
        <f>"Comparable companies valuation implies a target EV/EBIT multiple of "&amp;ROUND(G16, 1)&amp;"x 2024"</f>
        <v>Comparable companies valuation implies a target EV/EBIT multiple of 9.3x 2024</v>
      </c>
      <c r="O4" s="9"/>
    </row>
    <row r="6" spans="2:17" ht="29" customHeight="1" x14ac:dyDescent="0.35">
      <c r="O6" s="8"/>
    </row>
    <row r="7" spans="2:17" ht="18.5" customHeight="1" x14ac:dyDescent="0.35">
      <c r="B7" s="8" t="s">
        <v>0</v>
      </c>
    </row>
    <row r="8" spans="2:17" ht="18.5" customHeight="1" x14ac:dyDescent="0.35">
      <c r="P8" s="7"/>
    </row>
    <row r="9" spans="2:17" ht="22.5" customHeight="1" x14ac:dyDescent="0.35">
      <c r="B9" s="20" t="s">
        <v>10</v>
      </c>
      <c r="C9" s="20" t="s">
        <v>4</v>
      </c>
      <c r="D9" s="20" t="s">
        <v>5</v>
      </c>
      <c r="E9" s="20" t="s">
        <v>6</v>
      </c>
      <c r="F9" s="20" t="s">
        <v>7</v>
      </c>
      <c r="G9" s="20" t="s">
        <v>8</v>
      </c>
      <c r="H9" s="20" t="s">
        <v>9</v>
      </c>
      <c r="P9" s="10"/>
    </row>
    <row r="10" spans="2:17" ht="24.5" customHeight="1" x14ac:dyDescent="0.35">
      <c r="B10" s="23"/>
      <c r="C10" s="24" t="s">
        <v>1</v>
      </c>
      <c r="D10" s="24" t="s">
        <v>1</v>
      </c>
      <c r="E10" s="24" t="s">
        <v>2</v>
      </c>
      <c r="F10" s="24" t="s">
        <v>3</v>
      </c>
      <c r="G10" s="24" t="s">
        <v>3</v>
      </c>
      <c r="H10" s="24" t="s">
        <v>3</v>
      </c>
      <c r="P10" s="10"/>
    </row>
    <row r="11" spans="2:17" ht="24" customHeight="1" x14ac:dyDescent="0.35">
      <c r="B11" s="25"/>
      <c r="C11" s="3">
        <v>24747</v>
      </c>
      <c r="D11" s="3">
        <f>C11+(57-1454)+14</f>
        <v>23364</v>
      </c>
      <c r="E11" s="26">
        <v>0.03</v>
      </c>
      <c r="F11" s="27">
        <v>0.03</v>
      </c>
      <c r="G11" s="28">
        <f>D11/4749</f>
        <v>4.9197725837018318</v>
      </c>
      <c r="H11" s="28">
        <v>9.1999999999999993</v>
      </c>
      <c r="P11" s="10"/>
    </row>
    <row r="12" spans="2:17" ht="24" customHeight="1" x14ac:dyDescent="0.35">
      <c r="C12" s="3">
        <v>9975</v>
      </c>
      <c r="D12" s="3">
        <v>22705</v>
      </c>
      <c r="E12" s="26">
        <v>0.06</v>
      </c>
      <c r="F12" s="27">
        <v>-2.5000000000000001E-2</v>
      </c>
      <c r="G12" s="28">
        <f>D12/2446</f>
        <v>9.2825020441537198</v>
      </c>
      <c r="H12" s="28">
        <v>14.3</v>
      </c>
    </row>
    <row r="13" spans="2:17" ht="24" customHeight="1" x14ac:dyDescent="0.35">
      <c r="C13" s="3">
        <v>9280</v>
      </c>
      <c r="D13" s="3">
        <f>C13+(147-299)</f>
        <v>9128</v>
      </c>
      <c r="E13" s="26">
        <v>-0.02</v>
      </c>
      <c r="F13" s="26">
        <v>0.13600000000000001</v>
      </c>
      <c r="G13" s="28">
        <f>D13/522</f>
        <v>17.486590038314176</v>
      </c>
      <c r="H13" s="28">
        <v>13.7</v>
      </c>
      <c r="O13" s="8"/>
    </row>
    <row r="14" spans="2:17" ht="24" customHeight="1" x14ac:dyDescent="0.35">
      <c r="C14" s="3">
        <v>6169</v>
      </c>
      <c r="D14" s="3">
        <v>6318</v>
      </c>
      <c r="E14" s="26">
        <v>0.1356</v>
      </c>
      <c r="F14" s="27">
        <v>-7.3639999999999997E-2</v>
      </c>
      <c r="G14" s="28">
        <f>D14/625</f>
        <v>10.1088</v>
      </c>
      <c r="H14" s="28">
        <v>10.3</v>
      </c>
      <c r="O14" s="8"/>
      <c r="P14" s="12"/>
      <c r="Q14" s="12"/>
    </row>
    <row r="15" spans="2:17" ht="24" customHeight="1" x14ac:dyDescent="0.35">
      <c r="B15" s="25"/>
      <c r="C15" s="3">
        <v>6138</v>
      </c>
      <c r="D15" s="3">
        <v>6325</v>
      </c>
      <c r="E15" s="26">
        <v>2.3E-2</v>
      </c>
      <c r="F15" s="27">
        <v>0.2</v>
      </c>
      <c r="G15" s="28">
        <f>D15/-530</f>
        <v>-11.933962264150944</v>
      </c>
      <c r="H15" s="28">
        <v>18.100000000000001</v>
      </c>
      <c r="O15" s="8"/>
    </row>
    <row r="16" spans="2:17" ht="24" customHeight="1" x14ac:dyDescent="0.35">
      <c r="B16" s="2" t="s">
        <v>12</v>
      </c>
      <c r="C16" s="1">
        <f t="shared" ref="C16:H16" si="0">MEDIAN(C11:C15)</f>
        <v>9280</v>
      </c>
      <c r="D16" s="1">
        <f t="shared" si="0"/>
        <v>9128</v>
      </c>
      <c r="E16" s="4">
        <f t="shared" si="0"/>
        <v>0.03</v>
      </c>
      <c r="F16" s="5">
        <f t="shared" si="0"/>
        <v>0.03</v>
      </c>
      <c r="G16" s="6">
        <f t="shared" si="0"/>
        <v>9.2825020441537198</v>
      </c>
      <c r="H16" s="6">
        <f t="shared" si="0"/>
        <v>13.7</v>
      </c>
      <c r="P16" s="11"/>
      <c r="Q16" s="11"/>
    </row>
    <row r="17" spans="2:17" ht="24" customHeight="1" x14ac:dyDescent="0.35">
      <c r="B17" s="2" t="s">
        <v>13</v>
      </c>
      <c r="C17" s="1">
        <f t="shared" ref="C17:H17" si="1">AVERAGE(C11:C15)</f>
        <v>11261.8</v>
      </c>
      <c r="D17" s="1">
        <f t="shared" si="1"/>
        <v>13568</v>
      </c>
      <c r="E17" s="4">
        <f t="shared" si="1"/>
        <v>4.5719999999999997E-2</v>
      </c>
      <c r="F17" s="5">
        <f t="shared" si="1"/>
        <v>5.3472000000000006E-2</v>
      </c>
      <c r="G17" s="6">
        <f t="shared" si="1"/>
        <v>5.9727404804037576</v>
      </c>
      <c r="H17" s="6">
        <f t="shared" si="1"/>
        <v>13.12</v>
      </c>
      <c r="P17" s="11"/>
      <c r="Q17" s="11"/>
    </row>
    <row r="18" spans="2:17" ht="23" customHeight="1" x14ac:dyDescent="0.35">
      <c r="C18" s="3">
        <v>11796</v>
      </c>
      <c r="D18" s="3">
        <v>21676</v>
      </c>
      <c r="E18" s="26">
        <v>0.03</v>
      </c>
      <c r="F18" s="27">
        <v>0.05</v>
      </c>
      <c r="G18" s="28">
        <f>D18/3010</f>
        <v>7.2013289036544847</v>
      </c>
      <c r="H18" s="28">
        <v>8.1</v>
      </c>
      <c r="P18" s="11"/>
      <c r="Q18" s="11"/>
    </row>
    <row r="19" spans="2:17" ht="18.5" customHeight="1" x14ac:dyDescent="0.35">
      <c r="P19" s="11"/>
      <c r="Q19" s="11"/>
    </row>
    <row r="20" spans="2:17" ht="23" customHeight="1" x14ac:dyDescent="0.35">
      <c r="H20" s="29"/>
      <c r="P20" s="13"/>
      <c r="Q20" s="13"/>
    </row>
    <row r="21" spans="2:17" ht="23" customHeight="1" x14ac:dyDescent="0.35">
      <c r="H21" s="29"/>
      <c r="O21" s="8"/>
    </row>
    <row r="22" spans="2:17" ht="27" customHeight="1" x14ac:dyDescent="0.35"/>
    <row r="23" spans="2:17" ht="27" customHeight="1" x14ac:dyDescent="0.35"/>
    <row r="24" spans="2:17" ht="27" customHeight="1" x14ac:dyDescent="0.35"/>
    <row r="25" spans="2:17" ht="27" customHeight="1" x14ac:dyDescent="0.35"/>
    <row r="26" spans="2:17" ht="27" customHeight="1" x14ac:dyDescent="0.35"/>
  </sheetData>
  <pageMargins left="0.7" right="0.7" top="0.75" bottom="0.75" header="0.3" footer="0.3"/>
  <pageSetup paperSize="9" scale="42" orientation="portrait" r:id="rId1"/>
  <colBreaks count="1" manualBreakCount="1">
    <brk id="14" max="5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2995-6440-444E-9966-B48CCB0315F5}">
  <dimension ref="B2:L25"/>
  <sheetViews>
    <sheetView showGridLines="0" tabSelected="1" topLeftCell="A7" zoomScaleNormal="100" zoomScaleSheetLayoutView="100" workbookViewId="0">
      <selection activeCell="L11" sqref="L11"/>
    </sheetView>
  </sheetViews>
  <sheetFormatPr defaultRowHeight="14.5" x14ac:dyDescent="0.35"/>
  <cols>
    <col min="2" max="2" width="33.90625" bestFit="1" customWidth="1"/>
    <col min="3" max="3" width="12.453125" customWidth="1"/>
    <col min="4" max="4" width="12.08984375" bestFit="1" customWidth="1"/>
    <col min="6" max="6" width="4.90625" customWidth="1"/>
    <col min="7" max="7" width="8.81640625" bestFit="1" customWidth="1"/>
    <col min="8" max="12" width="8.90625" bestFit="1" customWidth="1"/>
  </cols>
  <sheetData>
    <row r="2" spans="2:7" x14ac:dyDescent="0.35">
      <c r="B2" s="9" t="s">
        <v>21</v>
      </c>
    </row>
    <row r="4" spans="2:7" x14ac:dyDescent="0.35">
      <c r="B4" s="8" t="s">
        <v>14</v>
      </c>
    </row>
    <row r="5" spans="2:7" x14ac:dyDescent="0.35">
      <c r="B5" t="s">
        <v>15</v>
      </c>
      <c r="C5" t="str">
        <f>"SEK 34.2 / share"</f>
        <v>SEK 34.2 / share</v>
      </c>
    </row>
    <row r="6" spans="2:7" x14ac:dyDescent="0.35">
      <c r="B6" t="s">
        <v>16</v>
      </c>
      <c r="C6" s="7" t="str">
        <f>"307,102,384 shares"</f>
        <v>307,102,384 shares</v>
      </c>
    </row>
    <row r="7" spans="2:7" x14ac:dyDescent="0.35">
      <c r="B7" t="s">
        <v>17</v>
      </c>
      <c r="C7" s="10">
        <v>7825</v>
      </c>
    </row>
    <row r="8" spans="2:7" x14ac:dyDescent="0.35">
      <c r="B8" t="s">
        <v>18</v>
      </c>
      <c r="C8" s="10">
        <v>5308</v>
      </c>
    </row>
    <row r="9" spans="2:7" x14ac:dyDescent="0.35">
      <c r="B9" t="s">
        <v>19</v>
      </c>
      <c r="C9" s="10">
        <v>2006</v>
      </c>
    </row>
    <row r="10" spans="2:7" x14ac:dyDescent="0.35">
      <c r="B10" t="s">
        <v>20</v>
      </c>
      <c r="C10" s="10">
        <f>1289+9415-1639</f>
        <v>9065</v>
      </c>
    </row>
    <row r="12" spans="2:7" x14ac:dyDescent="0.35">
      <c r="B12" s="8"/>
      <c r="C12" t="s">
        <v>23</v>
      </c>
      <c r="D12" t="s">
        <v>9</v>
      </c>
      <c r="E12" t="s">
        <v>31</v>
      </c>
    </row>
    <row r="13" spans="2:7" x14ac:dyDescent="0.35">
      <c r="B13" s="8" t="s">
        <v>22</v>
      </c>
      <c r="C13" s="12">
        <f>Comps!G16</f>
        <v>9.2825020441537198</v>
      </c>
      <c r="D13" s="12">
        <f>Comps!H16</f>
        <v>13.7</v>
      </c>
      <c r="G13" t="s">
        <v>32</v>
      </c>
    </row>
    <row r="14" spans="2:7" x14ac:dyDescent="0.35">
      <c r="B14" s="8"/>
    </row>
    <row r="15" spans="2:7" x14ac:dyDescent="0.35">
      <c r="B15" t="s">
        <v>24</v>
      </c>
      <c r="C15" s="11">
        <f>C13*C8</f>
        <v>49271.520850367946</v>
      </c>
      <c r="D15" s="11">
        <f>D13*C9</f>
        <v>27482.199999999997</v>
      </c>
      <c r="G15" t="s">
        <v>33</v>
      </c>
    </row>
    <row r="16" spans="2:7" x14ac:dyDescent="0.35">
      <c r="B16" t="s">
        <v>25</v>
      </c>
      <c r="C16" s="11">
        <f>C10</f>
        <v>9065</v>
      </c>
      <c r="D16" s="11">
        <v>9065</v>
      </c>
      <c r="G16" t="s">
        <v>34</v>
      </c>
    </row>
    <row r="17" spans="2:12" x14ac:dyDescent="0.35">
      <c r="B17" t="s">
        <v>26</v>
      </c>
      <c r="C17" s="11">
        <f>C15-C16</f>
        <v>40206.520850367946</v>
      </c>
      <c r="D17" s="11">
        <f>D15-D16</f>
        <v>18417.199999999997</v>
      </c>
      <c r="G17" t="s">
        <v>35</v>
      </c>
    </row>
    <row r="18" spans="2:12" x14ac:dyDescent="0.35">
      <c r="B18" t="s">
        <v>27</v>
      </c>
      <c r="C18" s="11">
        <v>327102384</v>
      </c>
      <c r="D18" s="7">
        <v>327102384</v>
      </c>
    </row>
    <row r="19" spans="2:12" ht="20" customHeight="1" x14ac:dyDescent="0.35">
      <c r="F19" s="30" t="s">
        <v>18</v>
      </c>
      <c r="G19" s="31" t="s">
        <v>36</v>
      </c>
      <c r="H19" s="31"/>
      <c r="I19" s="31"/>
      <c r="J19" s="31"/>
      <c r="K19" s="31"/>
      <c r="L19" s="31"/>
    </row>
    <row r="20" spans="2:12" ht="20" customHeight="1" x14ac:dyDescent="0.35">
      <c r="B20" t="s">
        <v>28</v>
      </c>
      <c r="C20" s="13">
        <f>C17*1000000/C18</f>
        <v>122.91723575566463</v>
      </c>
      <c r="D20" s="13">
        <f>D17*1000000/D18</f>
        <v>56.30408367797159</v>
      </c>
      <c r="F20" s="30"/>
      <c r="G20" s="15">
        <f>C15</f>
        <v>49271.520850367946</v>
      </c>
      <c r="H20" s="16">
        <v>8.6999999999999993</v>
      </c>
      <c r="I20" s="16">
        <v>9</v>
      </c>
      <c r="J20" s="16">
        <v>9.2825020441537198</v>
      </c>
      <c r="K20" s="16">
        <v>9.6</v>
      </c>
      <c r="L20" s="16">
        <v>9.9</v>
      </c>
    </row>
    <row r="21" spans="2:12" ht="20" customHeight="1" x14ac:dyDescent="0.35">
      <c r="B21" s="8" t="s">
        <v>29</v>
      </c>
      <c r="C21" t="s">
        <v>30</v>
      </c>
      <c r="D21" t="s">
        <v>30</v>
      </c>
      <c r="F21" s="30"/>
      <c r="G21" s="14">
        <v>5708</v>
      </c>
      <c r="H21" s="17">
        <f t="dataTable" ref="H21:L25" dt2D="1" dtr="1" r1="C8" r2="C13"/>
        <v>49659.6</v>
      </c>
      <c r="I21" s="17">
        <v>51372</v>
      </c>
      <c r="J21" s="17">
        <v>52984.521668029432</v>
      </c>
      <c r="K21" s="17">
        <v>54796.799999999996</v>
      </c>
      <c r="L21" s="17">
        <v>56509.200000000004</v>
      </c>
    </row>
    <row r="22" spans="2:12" ht="20" customHeight="1" x14ac:dyDescent="0.35">
      <c r="F22" s="30"/>
      <c r="G22" s="14">
        <v>5508</v>
      </c>
      <c r="H22" s="17">
        <v>47919.6</v>
      </c>
      <c r="I22" s="18">
        <v>49572</v>
      </c>
      <c r="J22" s="18">
        <v>51128.021259198686</v>
      </c>
      <c r="K22" s="18">
        <v>52876.799999999996</v>
      </c>
      <c r="L22" s="17">
        <v>54529.200000000004</v>
      </c>
    </row>
    <row r="23" spans="2:12" ht="20" customHeight="1" x14ac:dyDescent="0.35">
      <c r="F23" s="30"/>
      <c r="G23" s="14">
        <v>5308</v>
      </c>
      <c r="H23" s="17">
        <v>46179.6</v>
      </c>
      <c r="I23" s="18">
        <v>47772</v>
      </c>
      <c r="J23" s="19">
        <v>49271.520850367946</v>
      </c>
      <c r="K23" s="18">
        <v>50956.799999999996</v>
      </c>
      <c r="L23" s="17">
        <v>52549.200000000004</v>
      </c>
    </row>
    <row r="24" spans="2:12" ht="20" customHeight="1" x14ac:dyDescent="0.35">
      <c r="F24" s="30"/>
      <c r="G24" s="14">
        <v>5108</v>
      </c>
      <c r="H24" s="17">
        <v>44439.6</v>
      </c>
      <c r="I24" s="18">
        <v>45972</v>
      </c>
      <c r="J24" s="18">
        <v>47415.020441537199</v>
      </c>
      <c r="K24" s="18">
        <v>49036.799999999996</v>
      </c>
      <c r="L24" s="17">
        <v>50569.200000000004</v>
      </c>
    </row>
    <row r="25" spans="2:12" ht="20" customHeight="1" x14ac:dyDescent="0.35">
      <c r="F25" s="30"/>
      <c r="G25" s="14">
        <v>4908</v>
      </c>
      <c r="H25" s="17">
        <v>42699.6</v>
      </c>
      <c r="I25" s="17">
        <v>44172</v>
      </c>
      <c r="J25" s="17">
        <v>45558.520032706459</v>
      </c>
      <c r="K25" s="17">
        <v>47116.799999999996</v>
      </c>
      <c r="L25" s="17">
        <v>48589.200000000004</v>
      </c>
    </row>
  </sheetData>
  <mergeCells count="2">
    <mergeCell ref="F19:F25"/>
    <mergeCell ref="G19:L19"/>
  </mergeCells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Comps</vt:lpstr>
      <vt:lpstr>Sheet2</vt:lpstr>
      <vt:lpstr>Comps!Print_Area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Stoytchev Sulevani</dc:creator>
  <cp:lastModifiedBy>Robin Stoytchev Sulevani</cp:lastModifiedBy>
  <cp:lastPrinted>2024-05-08T11:41:22Z</cp:lastPrinted>
  <dcterms:created xsi:type="dcterms:W3CDTF">2024-04-22T15:33:00Z</dcterms:created>
  <dcterms:modified xsi:type="dcterms:W3CDTF">2024-09-06T13:11:03Z</dcterms:modified>
</cp:coreProperties>
</file>