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42E3BA0C285EE637/Skrivbord/"/>
    </mc:Choice>
  </mc:AlternateContent>
  <xr:revisionPtr revIDLastSave="1897" documentId="8_{8B73691D-1D51-4C1E-B1CA-FCABB161291C}" xr6:coauthVersionLast="47" xr6:coauthVersionMax="47" xr10:uidLastSave="{E31567BE-D3A4-4808-A408-5FE66EE3BF28}"/>
  <bookViews>
    <workbookView xWindow="-120" yWindow="-120" windowWidth="29040" windowHeight="15720" activeTab="1" xr2:uid="{B6D3C4EE-349C-48BD-AF1F-E6085F99CC5B}"/>
  </bookViews>
  <sheets>
    <sheet name="DCF" sheetId="1" r:id="rId1"/>
    <sheet name="Comments" sheetId="4" r:id="rId2"/>
  </sheets>
  <definedNames>
    <definedName name="_xlnm._FilterDatabase" localSheetId="0" hidden="1">DCF!$F$24:$J$31</definedName>
    <definedName name="Beta" comment="Beta">DCF!$J$27</definedName>
    <definedName name="C_d" comment="Cost of Debt">DCF!$H$29</definedName>
    <definedName name="C_e" comment="Cost of Equity">DCF!$H$31</definedName>
    <definedName name="Cash" comment="Cash">DCF!$J$29</definedName>
    <definedName name="CE" comment="Cash Equivalents">DCF!$O$28</definedName>
    <definedName name="D" comment="Debt">DCF!$H$25</definedName>
    <definedName name="D_E" comment="Debt + Equity">DCF!$H$28</definedName>
    <definedName name="DE" comment="Debt Equivalents">DCF!$O$29</definedName>
    <definedName name="E" comment="Equity value">DCF!$H$27</definedName>
    <definedName name="EBIT_margin" comment="EBIT Margin">DCF!$O$26</definedName>
    <definedName name="Equity_bridge" comment="Equity Bridge">DCF!$D$29</definedName>
    <definedName name="EV" comment="Enterprise Value">DCF!$D$28</definedName>
    <definedName name="Interest_Expense" comment="Interest Expense">DCF!$H$26</definedName>
    <definedName name="MRP" comment="Market Risk Premium">DCF!$J$26</definedName>
    <definedName name="NCA" comment="Non-Core Assets">DCF!$O$27</definedName>
    <definedName name="NCI" comment="Non-Controlling Interests">DCF!$O$30</definedName>
    <definedName name="_xlnm.Print_Area" localSheetId="1">Comments!$A$1:$W$167</definedName>
    <definedName name="_xlnm.Print_Area" localSheetId="0">DCF!$A$1:$Y$46</definedName>
    <definedName name="PV_FCFF" comment="Present Value of Free Cash Flow to Firm">DCF!$D$25</definedName>
    <definedName name="r_f" comment="Risk-free rate">DCF!$J$25</definedName>
    <definedName name="Shares" comment="Shares Outstanding">DCF!$J$28</definedName>
    <definedName name="Tax_rate" comment="Tax rate">DCF!$H$30</definedName>
    <definedName name="TGR" comment="Terminal Growth Rate">DCF!$J$31</definedName>
    <definedName name="TGV" comment="Terminal Growth Value">DCF!$D$27</definedName>
    <definedName name="WACC" comment="Weighted Average Cost of Capital">DCF!$J$30</definedName>
    <definedName name="WACC_premium" comment="WACC Conservative Premium">DCF!$O$25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0" i="1" l="1"/>
  <c r="W32" i="1"/>
  <c r="X32" i="1" s="1"/>
  <c r="S36" i="1"/>
  <c r="S37" i="1" s="1"/>
  <c r="S34" i="1"/>
  <c r="S33" i="1" s="1"/>
  <c r="S28" i="1"/>
  <c r="S29" i="1" s="1"/>
  <c r="S26" i="1"/>
  <c r="S25" i="1" s="1"/>
  <c r="W24" i="1"/>
  <c r="X24" i="1" s="1"/>
  <c r="U24" i="1"/>
  <c r="T24" i="1" s="1"/>
  <c r="M8" i="1"/>
  <c r="U32" i="1" l="1"/>
  <c r="T32" i="1" s="1"/>
  <c r="D134" i="4" l="1"/>
  <c r="H28" i="1"/>
  <c r="H29" i="1"/>
  <c r="D29" i="1"/>
  <c r="H30" i="1"/>
  <c r="C17" i="1"/>
  <c r="D17" i="1"/>
  <c r="E17" i="1"/>
  <c r="D13" i="1"/>
  <c r="E13" i="1"/>
  <c r="C13" i="1"/>
  <c r="F4" i="1"/>
  <c r="F3" i="1"/>
  <c r="E8" i="1"/>
  <c r="E9" i="1" s="1"/>
  <c r="E11" i="1" s="1"/>
  <c r="D4" i="1"/>
  <c r="D3" i="1"/>
  <c r="H31" i="1"/>
  <c r="E14" i="1" l="1"/>
  <c r="E18" i="1" s="1"/>
  <c r="G19" i="1" l="1"/>
  <c r="J19" i="1"/>
  <c r="F19" i="1"/>
  <c r="I19" i="1"/>
  <c r="H19" i="1"/>
  <c r="F8" i="1" l="1"/>
  <c r="D8" i="1"/>
  <c r="C8" i="1"/>
  <c r="B17" i="1"/>
  <c r="B16" i="1"/>
  <c r="B15" i="1"/>
  <c r="B14" i="1"/>
  <c r="B9" i="1"/>
  <c r="F16" i="1" l="1"/>
  <c r="D9" i="1"/>
  <c r="D11" i="1" s="1"/>
  <c r="D14" i="1"/>
  <c r="D18" i="1" s="1"/>
  <c r="C9" i="1"/>
  <c r="C11" i="1" s="1"/>
  <c r="O26" i="1" s="1"/>
  <c r="F11" i="1" s="1"/>
  <c r="G11" i="1" s="1"/>
  <c r="H11" i="1" s="1"/>
  <c r="I11" i="1" s="1"/>
  <c r="J11" i="1" s="1"/>
  <c r="C14" i="1"/>
  <c r="G8" i="1"/>
  <c r="C18" i="1"/>
  <c r="G16" i="1" l="1"/>
  <c r="F10" i="1"/>
  <c r="F12" i="1" s="1"/>
  <c r="H8" i="1"/>
  <c r="F9" i="1"/>
  <c r="H16" i="1" l="1"/>
  <c r="F13" i="1"/>
  <c r="F17" i="1" s="1"/>
  <c r="F14" i="1"/>
  <c r="I8" i="1"/>
  <c r="G9" i="1"/>
  <c r="G10" i="1" s="1"/>
  <c r="G12" i="1" s="1"/>
  <c r="I16" i="1" l="1"/>
  <c r="G13" i="1"/>
  <c r="G17" i="1" s="1"/>
  <c r="G14" i="1"/>
  <c r="J8" i="1"/>
  <c r="H9" i="1"/>
  <c r="G18" i="1" l="1"/>
  <c r="G20" i="1" s="1"/>
  <c r="J16" i="1"/>
  <c r="I9" i="1"/>
  <c r="H10" i="1"/>
  <c r="F18" i="1"/>
  <c r="F20" i="1" s="1"/>
  <c r="H12" i="1" l="1"/>
  <c r="H13" i="1" s="1"/>
  <c r="H14" i="1"/>
  <c r="J9" i="1"/>
  <c r="J10" i="1" s="1"/>
  <c r="J12" i="1" s="1"/>
  <c r="I10" i="1"/>
  <c r="J13" i="1" l="1"/>
  <c r="J17" i="1" s="1"/>
  <c r="J14" i="1"/>
  <c r="I12" i="1"/>
  <c r="I13" i="1" s="1"/>
  <c r="I14" i="1"/>
  <c r="H17" i="1"/>
  <c r="H18" i="1" s="1"/>
  <c r="H20" i="1" s="1"/>
  <c r="I17" i="1" l="1"/>
  <c r="I18" i="1" s="1"/>
  <c r="I20" i="1" s="1"/>
  <c r="J18" i="1"/>
  <c r="D26" i="1" s="1"/>
  <c r="D22" i="1" s="1"/>
  <c r="J20" i="1" l="1"/>
  <c r="D25" i="1" l="1"/>
  <c r="D27" i="1"/>
  <c r="D28" i="1" l="1"/>
  <c r="S32" i="1" s="1"/>
  <c r="D30" i="1" l="1"/>
  <c r="D31" i="1" s="1"/>
  <c r="G3" i="1" s="1"/>
  <c r="J4" i="1" s="1"/>
  <c r="S24" i="1"/>
</calcChain>
</file>

<file path=xl/sharedStrings.xml><?xml version="1.0" encoding="utf-8"?>
<sst xmlns="http://schemas.openxmlformats.org/spreadsheetml/2006/main" count="193" uniqueCount="185">
  <si>
    <t>TGR</t>
  </si>
  <si>
    <t>Discounted Cash Flows</t>
  </si>
  <si>
    <t>SEKm</t>
  </si>
  <si>
    <t>EBITDA</t>
  </si>
  <si>
    <t>EBIT</t>
  </si>
  <si>
    <t>Tax</t>
  </si>
  <si>
    <t>NOPAT</t>
  </si>
  <si>
    <t>FCFF</t>
  </si>
  <si>
    <t>2022A</t>
  </si>
  <si>
    <t>2023A</t>
  </si>
  <si>
    <t>2024E</t>
  </si>
  <si>
    <t>2025E</t>
  </si>
  <si>
    <t>2026E</t>
  </si>
  <si>
    <t>2027E</t>
  </si>
  <si>
    <t>2028E</t>
  </si>
  <si>
    <t>2021A</t>
  </si>
  <si>
    <t>Kommentar</t>
  </si>
  <si>
    <t>Annual report</t>
  </si>
  <si>
    <t>Ej tillgång till bloomberg än för analytikerestimat</t>
  </si>
  <si>
    <t>EBIT - tax</t>
  </si>
  <si>
    <t>Annual report actual, normalized estimated</t>
  </si>
  <si>
    <t>EBITDA - EBIT</t>
  </si>
  <si>
    <t>Estimated</t>
  </si>
  <si>
    <t>DCF Summary</t>
  </si>
  <si>
    <t>Sum of PV of FCFF</t>
  </si>
  <si>
    <t>PV of Terminal Value</t>
  </si>
  <si>
    <t>Equity Value</t>
  </si>
  <si>
    <t>Equity bridge</t>
  </si>
  <si>
    <t>Enterprise Value</t>
  </si>
  <si>
    <t>Cost of Debt:</t>
  </si>
  <si>
    <t>Debt (Short + Long):</t>
  </si>
  <si>
    <t>Equity:</t>
  </si>
  <si>
    <t>D + E</t>
  </si>
  <si>
    <t>Cost of Equity:</t>
  </si>
  <si>
    <t>Tax rate</t>
  </si>
  <si>
    <t>Risk-free rate:</t>
  </si>
  <si>
    <t>Beta</t>
  </si>
  <si>
    <t>Mkt Risk Prem:</t>
  </si>
  <si>
    <t>Discount factor</t>
  </si>
  <si>
    <t>Interest expense</t>
  </si>
  <si>
    <t xml:space="preserve">WACC </t>
  </si>
  <si>
    <t>PV of FCFF</t>
  </si>
  <si>
    <t>WACC &amp; TGR</t>
  </si>
  <si>
    <t>Terminal Value</t>
  </si>
  <si>
    <t>Implied PPS</t>
  </si>
  <si>
    <t>Equity Value:</t>
  </si>
  <si>
    <t xml:space="preserve">Man kan ibland dribbla bort sig mellan Equity Value i WACC:en och Equity Value som man kommer fram till I DCF:en. </t>
  </si>
  <si>
    <t>Vad är egentligen skillnaden mellan dessa? Equity Value I WACC är nuvarande börsvärdet (market cap) för bolaget.</t>
  </si>
  <si>
    <t>Det reflekterar marknadens nuvarande värdering av företagets aktievärde (equity value) och används för att bestämma kostnaden för aktiekapital.</t>
  </si>
  <si>
    <t xml:space="preserve">I kontrast, så är Equity value i DCF:en en representation av det intrinsiska värdet av företagets aktievärde baserat på dess framtida </t>
  </si>
  <si>
    <t>uppskattade kassaflödesgenerering. Detta Equity Value försöker alltså estimera det sanna värdet för aktieägare, bortom dagens marknadspriser,</t>
  </si>
  <si>
    <t>RATO B</t>
  </si>
  <si>
    <t xml:space="preserve"> </t>
  </si>
  <si>
    <t>Shares</t>
  </si>
  <si>
    <t>WACC conservative premium:</t>
  </si>
  <si>
    <t xml:space="preserve">Det finns två huvudsakliga sätt att ha som slutmål i sin DCF. Antingen kan man köra på Implied Share Price (Implied PPS), vilket är att man helt enkelt får fram en </t>
  </si>
  <si>
    <t>Däremot så kan man även bestämma sig för att köra på en multipelindikation. Då får man istället fram en EV/EBIT vanligtvis, t.ex. 14.3x EV/EBIT.</t>
  </si>
  <si>
    <t>Man har samma steg I sin DCF, men istället för att slutgiltigen använde Equity value så använder man Enterprice Value och dividerar med EBIT för</t>
  </si>
  <si>
    <t>innevarande år. "Bolag A är värt 14.3x EV/EBIT, dvs bolaget har ett intrinsiskt värde som är 14x rörelseresultatet."</t>
  </si>
  <si>
    <t>värdering av det intrinsiska värdet av bolaget genom ett antydande aktiepris. Detta innefattar att man I slutsteget dividerar Equity value med antalet utomstående aktier.</t>
  </si>
  <si>
    <t>Risk-free rate</t>
  </si>
  <si>
    <t>Detta är inte ett mått på vad du får för ränta som privatperson på ett sparkonto med rörlig ränta idag. Det hade varit orimligt då vi modellerar 5-10 år in I framtiden I vår DCF,</t>
  </si>
  <si>
    <t>och en kortsiktig ränta hade därför varit opassande att använda sig av. Det vanliga är att man använder statsobligationer med långt förfallodatum.</t>
  </si>
  <si>
    <t>I USA är det T10 (10-year treasury bill) och för ett svenskt företag hade vi använt den 10-åriga statsobligationen. Aktuella räntor på https://www.di.se/rantor/stat-10y-33383/</t>
  </si>
  <si>
    <t>Varför just dessa statsobligationer då? Därför att de verkligen anses "riskfria" I bemärkelsen att enda gången du inte skulle få tillbaka dina pengar är om staten defaultar.</t>
  </si>
  <si>
    <t>Vilket inte är särskilt troligt i utvecklade ekonomier som Sverige eller USA.</t>
  </si>
  <si>
    <t>Det handlar inte om att Ratos ska köpa 10y, eller att investerare ska köpa den. Det är helt enkelt en ränta som används som ett teoretiskt ankare för ett företags kapitalkostnad</t>
  </si>
  <si>
    <t>i den miljön företaget befinner sig i.</t>
  </si>
  <si>
    <t>Up/down side:</t>
  </si>
  <si>
    <t>Du vill alltså använda den effektiva skatten, som mer rättvist reflekterar företagets individuella skattesituation, eftersom alla justeringar tas hänsyn till,</t>
  </si>
  <si>
    <t>t.ex. effekt av andra skatter I andra länder, ej avdragsgilla kostnader, osv osv. Du vill sedan dividera denna effektiva skattebörda med EBIT.</t>
  </si>
  <si>
    <t>Effective tax rate</t>
  </si>
  <si>
    <r>
      <t xml:space="preserve">Något du </t>
    </r>
    <r>
      <rPr>
        <u/>
        <sz val="11"/>
        <color theme="1"/>
        <rFont val="Aptos Narrow"/>
        <family val="2"/>
        <scheme val="minor"/>
      </rPr>
      <t xml:space="preserve">inte </t>
    </r>
    <r>
      <rPr>
        <sz val="11"/>
        <color theme="1"/>
        <rFont val="Aptos Narrow"/>
        <family val="2"/>
        <scheme val="minor"/>
      </rPr>
      <t xml:space="preserve">kan göra är att använda en skattekostnad som inte tar hänsyn till uppskjuten skatt (deferred tax) och andra skattejusteringar. </t>
    </r>
  </si>
  <si>
    <r>
      <t xml:space="preserve">Något du </t>
    </r>
    <r>
      <rPr>
        <u/>
        <sz val="11"/>
        <color theme="1"/>
        <rFont val="Aptos Narrow"/>
        <family val="2"/>
        <scheme val="minor"/>
      </rPr>
      <t xml:space="preserve">inte </t>
    </r>
    <r>
      <rPr>
        <sz val="11"/>
        <color theme="1"/>
        <rFont val="Aptos Narrow"/>
        <family val="2"/>
        <scheme val="minor"/>
      </rPr>
      <t>vill göra är att dividera med EBT. Detta är ju trots allt en FCFF modellering - vi vill inte ta hänsyn till kapitalstrukturen och eventuella räntebetalningar,</t>
    </r>
  </si>
  <si>
    <t>Tax rate är rätt komplicerat och man kan göra på olika sätt beroende på nivån av komplexitet I analysen. Vilken skattesats ska vi då använda i WACC:en i vår DCF?</t>
  </si>
  <si>
    <t>eftersom att vi vill estimera pengarna som är kvar till alla värdepappersägare, vare sig skuldägare eller aktieägare, oaktat kapitalstruktur.</t>
  </si>
  <si>
    <t>Hade vi velat modellera aktievärdet enbart så hade vi använt oss av FCFE beräkning, vilken tar hänsyn till kapitalstrukturen.</t>
  </si>
  <si>
    <t>PPS vs EV/EBIT</t>
  </si>
  <si>
    <t>Dyker vi lite djupare så kan även den effektiva skatten vara problematiskt att modellera över en längre tidshorisont. Det beror på att effektiva skattesatsen inkluderar</t>
  </si>
  <si>
    <t>Därför kan man ibland se, I mer komplexa DCF:er, att man modellerar effektiva skatten första åren, och sedan går över till marginalskatten (som oftast är högre) de sista åren.</t>
  </si>
  <si>
    <t>Då hade det varit okej att använda Net Profit som baseline istället för EBIT, eftersom vi då vill dra av eventuella räntekostnader för att isolera pengarna som är kvar till aktieägarna,</t>
  </si>
  <si>
    <t>efter att skuldägarna har fått sin ränta (som även har prio över aktieägare)</t>
  </si>
  <si>
    <t>CapEx</t>
  </si>
  <si>
    <t>samt marknaden och industrin som helhet. Går Ratos in i en mer mogen investeringsfas där betoning ligger på att hålla kvar eller divestera? Då kanske du vill vara mer återhållsam i CapEx-tillväxten.</t>
  </si>
  <si>
    <t>Man kan även göra en industri-proxy CapEx nivå och använda den på estimerat EBITDA. För en mer rättvis bild borde man däremot försöka läsa på om strategin som företaget har framöver för sina investeringar,</t>
  </si>
  <si>
    <t xml:space="preserve">Vilken kommunikation har man utåt vad gäller investeringsstrategin? Om man säger att senaste åren har varit en hög tillväxtfas I investeringscykeln, så blir det missvisande att projicera CapEx 5 år framåt på en </t>
  </si>
  <si>
    <t xml:space="preserve">CapEx är svårt att estimera eftersom investeringsstrategi kan skilja sig mycket från bolag till  bolag och industri till industri. Det är vanligt att välja att normalisera CapEx-tillväxten baserat på historisk data. </t>
  </si>
  <si>
    <t>"förvrängd" average. Alltså: historisk data senaste åren kan potentiellt vara en cyklisk up eller down I investeringscykeln och att projicera på detta kan vara missvisande.</t>
  </si>
  <si>
    <t>D&amp;A</t>
  </si>
  <si>
    <t>Det absolut vanligaste sättet är att normalisera D&amp;A till en andel av EBITDA baserat på historiska nivåer, vilket jag har gjort i denna DCF modell.</t>
  </si>
  <si>
    <t>Något man bör känna till om D&amp;A är att det mycket riktigt är verklig nedgång i tillgångar, även om det är en non-cash expense. Så mycket så att Warren Buffet och Charlie Munger</t>
  </si>
  <si>
    <t>ökänt har sagt att de ersätter EBITDA-margin för Bullshit-margin varje gång de hör det. Buffet menar att det är en försköning av verkligheten som redovisningsekonomer gör,</t>
  </si>
  <si>
    <t>den värsta sortens försköning eftersom man måste betala up-front med cash först (för CapEx som D&amp;A baseras på). Detta är en valid kritik, men det är viktigt att förstå att EBITDA</t>
  </si>
  <si>
    <t>T.ex. använder välkända investerare som Carl Armfeldt (TIN Fonder) osv EV/EBITDA multipeln frekvent. Det kan vara användbart för att få en övergripande</t>
  </si>
  <si>
    <t>används brett inom finans, som en proxy på företags operationella kassaflöde innan konsekvenserna av kapitalstrukturen, skattemiljö, och kapitalinvesteringsbeslut.</t>
  </si>
  <si>
    <t>bild av företagsvärderingen baserat på rått kassaflöde. Det tillåter en straightforward jämförelse mellan företag, t.om. internationellt, där det annars kan skilja sig åt mycket</t>
  </si>
  <si>
    <t>om man går längre ner i resultaträkningen.</t>
  </si>
  <si>
    <t>Kollar man på industrier med hög CapEx, som t.ex. Telekom eller tillverkning, automotive osv så är ofta CapEx signifikant och då måste man definitivt ta hänsyn till detta om man</t>
  </si>
  <si>
    <t>vill göra en mer korrekt analys. Företag inom service-orienterade branscher som mjukvara, konsulting, osv har ofta en lägre CapEx och då är EBITDA en bättre proxy för det råa kassaflödet.</t>
  </si>
  <si>
    <t>Beta är inte svårare än att jämföra aktiens rörelser mot ett index som alltid är 1. Om Beta är 1.2 så innebär det att aktien rör sig 20% mer än index I uppgång eller nedgång.</t>
  </si>
  <si>
    <t>Om Beta är 0.8 så innebär det att aktien rör sig 20% mindre än index när index går upp eller går ner. Beta tas vanligtvis från en databas (Infront I detta fall) då beräkningen är lite väl jobbig att göra själv.</t>
  </si>
  <si>
    <t>Något som är en riktig curveball dock som jag fick på min senaste DCF-intervju, är Alpha. Det är en bolags-specifik riskpremie som inte fångas in i vanliga Beta. Det används vanligen i situationer</t>
  </si>
  <si>
    <t>där specifika risker förknippade med bolaget inte fångas in av MRP, beta, eller någon annan riskpremie. Detta är ovanligt att stöta på i en DCF, men du hade helt enkelt adderat den till din Cost of equity.</t>
  </si>
  <si>
    <t>Tankegången är att det är dyrare för bolaget att finansiera med kapital om bolaget har dålig management, dålig geografisk diversifiering, osv osv. Ja, det kan vara vad som helst nästan.</t>
  </si>
  <si>
    <r>
      <t xml:space="preserve">Terminal Growth Value är vårt estimat på värdet av alla kassaflöden in i oändligheten </t>
    </r>
    <r>
      <rPr>
        <u/>
        <sz val="11"/>
        <color theme="1"/>
        <rFont val="Aptos Narrow"/>
        <family val="2"/>
        <scheme val="minor"/>
      </rPr>
      <t>efter vår projicerade period.</t>
    </r>
    <r>
      <rPr>
        <sz val="11"/>
        <color theme="1"/>
        <rFont val="Aptos Narrow"/>
        <family val="2"/>
        <scheme val="minor"/>
      </rPr>
      <t xml:space="preserve"> Vi börjar med att beräkna detta värde, och sen diskonterar vi med WACC för sista året</t>
    </r>
  </si>
  <si>
    <t>Formeln ser ut såhär: Last_FCF*(1+TGR) / (WACC - TGR). Viktigt att notera att Last_FCF alltså ska vara det icke-diskonterade värdet på ditt sista kassaflöde. Som sagt ovan kommer vi att diskontera hela TGV sen.</t>
  </si>
  <si>
    <t>Denna formel är lite svår att förstå vid första anblick. Den har sina rötter I "perpetuity growth", eller på svenska en oändlig serie av växande kassaflöden.</t>
  </si>
  <si>
    <t>"För att hitta Nuvärdet av en oändlig serie växande kassaflöden, så tar du första kassaflödet (därav Last_FCF*(1 + TGR) som alltså blir första kassaflödet efter projiceringsperioden)</t>
  </si>
  <si>
    <t>Oftast är WACC större än TGR då man inte vill göra för stora antaganden på tillväxten, samt som man räknar med en konservativ (läs högre) kostnad av kapital.</t>
  </si>
  <si>
    <t>TGV/TGR</t>
  </si>
  <si>
    <t>för att vå fram nuvärdet av alla dessa kassaflöden som sker efter projiceringsperioden. TGR är helt enkelt tillväxthastigheten, dvs Terminal Growth Rate.</t>
  </si>
  <si>
    <t xml:space="preserve">och dividerar med WACC justerat för tillväxten. Om du bara dividerade med WACC, så antar du att kassaflödena inte kommer att växa, vilket hade underestimerat värdet om de faktisk växer. </t>
  </si>
  <si>
    <t>Sensitivity Analys</t>
  </si>
  <si>
    <t xml:space="preserve">Detta är en av de viktigaste komponenterna I en DCF som du måste ha med. Eftersom man gör väldigt många antaganden, och särkilt sårbara sådana i tillväxthastigheten och kostnaden av kapital, </t>
  </si>
  <si>
    <t>så gör du en sanity-check med en sensitivity analysis. Detta är inte svårare än att du modellerar utfallet av EV baserat på¨olika kombinationer av WACC och TGR. Detta redovisas därför vanligen</t>
  </si>
  <si>
    <t>i en 2D tabell där du har WACC på ena axeln och Growth eller TGR på andra. Base case är alltid mitten av mitten, sen har du alla kombinationer bort från mitten.</t>
  </si>
  <si>
    <t>Non-Core Assets:</t>
  </si>
  <si>
    <t>Cash &amp; CE</t>
  </si>
  <si>
    <t>Debt equivalents:</t>
  </si>
  <si>
    <t>Non-Controlling Interests:</t>
  </si>
  <si>
    <t>Cash equivalents:</t>
  </si>
  <si>
    <t>Equity bridge är justeringar till EV för att reflektera poster som inte fångas I FCFF men fortfarande bidrar till värdet för aktieägare.</t>
  </si>
  <si>
    <t>EV</t>
  </si>
  <si>
    <t>Ibland kan man bli förvirrad kring EV I teorin och EV I DCF:en, som egentligen är samma sak. I teorin är EV en uppskattning av värdet på företagets operationella verksamhet, både till</t>
  </si>
  <si>
    <t>aktieägare och skuldägare. I praktiken, alltså I DCF:en, så uppskattar du däremot EV genom framtida kassaflöden från kärnverksamheten.</t>
  </si>
  <si>
    <t xml:space="preserve">Teoretiska perspektivet fokuserar på kapitalstrukturen och återspeglar vad både aktie och skuldägare har investerat I företaget. Praktiska perspektivet återspeglar kassaflödena som </t>
  </si>
  <si>
    <t>dessa investeringar möjliggör. Men I slutändan fokuserar båda på operationella värdet till både aktie och skuldägare, som är bottom-line helt enkelt.</t>
  </si>
  <si>
    <t>Båda perspektiv betonar att värdet av ett företag inte enbart är nettotillgångar eller aktievärde. Ena är en framtidsbaserad värdering, och andra är en nubild.</t>
  </si>
  <si>
    <t>Båda vill samma sak.</t>
  </si>
  <si>
    <t>baserat på förväntad framtida kassaflödesgenerering. Men även detta uppskattade equity value menar att reflektera samma sak som nuvarande aktievärde - värdet till aktieägarna.</t>
  </si>
  <si>
    <t>uppskjuten skatt (deferred taxes) vilken man I modellen då antar kan skjutas upp I evighet - något som inte rimmar så bra med verkligheten, då företag ofta endast kan skjuta upp skatt en viss tid.</t>
  </si>
  <si>
    <t>…där Net Debt är: Debt + Debt equivalents - Cash - Cash equivalents. Detta är lite komplicerat att förstå vid första anblick så vi bryter ner varför bryggan ser ut som den gör.</t>
  </si>
  <si>
    <t>WACC</t>
  </si>
  <si>
    <t>Sensitivity Analysis</t>
  </si>
  <si>
    <t>Du måste ha din DCF setup korrekt. Dvs, ändrar du WACC eller TGR</t>
  </si>
  <si>
    <t>så ska alla siffror I DCF Summary ändras. Så ha en helt dynamisk DCF</t>
  </si>
  <si>
    <t>innan du gör Sensitivity Analysis.</t>
  </si>
  <si>
    <t xml:space="preserve">I toppvänster cell så ska du ha EV eller den metric du vill analysera </t>
  </si>
  <si>
    <t>som indirekt eller direkt beror på WACC och TGR.</t>
  </si>
  <si>
    <t xml:space="preserve">Jag testade innan att göra Sensitivity Analysis I ett annat arbetsblad där  </t>
  </si>
  <si>
    <t>jag refererar till detta arbetsblad. Det funkade inte. Därför har jag det här.</t>
  </si>
  <si>
    <t>Selecta hela tabellen inklusive procenten. Alt + A + W + T ger dig What-If</t>
  </si>
  <si>
    <t>Analysis. Row/Column Input ska helt enkelt vara WACC och TGR cellerna.</t>
  </si>
  <si>
    <t>EBIT-margin</t>
  </si>
  <si>
    <t>% margin</t>
  </si>
  <si>
    <t>EBIT-margin:</t>
  </si>
  <si>
    <t>*Notera att det finns en gömd rad (rad 11) för EBIT-margin då jag vill hålla FCFF samman-</t>
  </si>
  <si>
    <t>Notera att det är av högsta värde när du gör en sensitivity analysis att dina inputs</t>
  </si>
  <si>
    <t>ändrar värdet på kassaflödena för alla år I den projicerade perioden.</t>
  </si>
  <si>
    <t>Därför vill du att din row/column inputs är enskilda celler som, om ändras,</t>
  </si>
  <si>
    <r>
      <t xml:space="preserve">ändrar värdet för alla år I </t>
    </r>
    <r>
      <rPr>
        <b/>
        <sz val="11"/>
        <color theme="1"/>
        <rFont val="Aptos Narrow"/>
        <family val="2"/>
        <scheme val="minor"/>
      </rPr>
      <t>den projicerade perioden.</t>
    </r>
  </si>
  <si>
    <t>ställningen sleek och inte överflödig, då den ska vara med I presentation.</t>
  </si>
  <si>
    <t>Vill du söka på något begrepp istället för att scrolla tills du hittar det?  Ctrl + F för PC och Cmd + F för Mac och sök på termen helt enkelt!</t>
  </si>
  <si>
    <r>
      <t xml:space="preserve">Såklart finns det rätt och fel, men när det kommer till projiceringar och modeller så handlar mycket också om hur du kan motivera vad du gör. Det är alltså inte lika svartvitt som terminologin e.g., utan finns olika perspektiv. Så länge du kan motivera </t>
    </r>
    <r>
      <rPr>
        <b/>
        <sz val="10.5"/>
        <color theme="1"/>
        <rFont val="Aptos Narrow"/>
        <family val="2"/>
        <scheme val="minor"/>
      </rPr>
      <t xml:space="preserve">varför </t>
    </r>
    <r>
      <rPr>
        <sz val="10.5"/>
        <color theme="1"/>
        <rFont val="Aptos Narrow"/>
        <family val="2"/>
        <scheme val="minor"/>
      </rPr>
      <t>du gör som du gör så är det viktiga.</t>
    </r>
  </si>
  <si>
    <t xml:space="preserve">NCA skapar inte kassaflöden som är hänförliga till företagets kärnverksamhet (och ibland skapar NCA inga kassaflöden öht). </t>
  </si>
  <si>
    <t>När du gör din DCF så börjar du med att uppskatta värdet av företaget baserat på dess framtida kassaflöden. Här ingår inte NCA eftersom det är icke-operationella tillgångar.</t>
  </si>
  <si>
    <t>NCA: Non-Core Assets är tillgångar som inte används i dagliga eller pågående operationella verksamheten, och ska därmed inte värderas I kassaflödesdelen av DCF:en.</t>
  </si>
  <si>
    <t>NCA är ju fortfarande tillgångar I bolaget, och därför kan man inte ignorera detta helt och hållet I DCF:en. Men skillnaden är att det kommer efter kassaflödena.</t>
  </si>
  <si>
    <t>Det hade ju varit missvisande att ha med sporadiska engångsförsäljningar och dylikt i kassaflödena, då NCA-kassaflöden inte räknas som stabila över tiden du projicerar</t>
  </si>
  <si>
    <t>och ska inte vara med i diskonterade kassaflödena därav som sagt, men ingår I bryggan som kommer sen när du ska beräkna Equity Value.</t>
  </si>
  <si>
    <r>
      <t xml:space="preserve">NCI: När vi beräknar EV, så beräknar vi värdet om man hade köpt allt värde (både aktie och skuldvärde). NCI, tidigare kallat minority interest, är aktievärdet som </t>
    </r>
    <r>
      <rPr>
        <u/>
        <sz val="11"/>
        <color theme="1"/>
        <rFont val="Aptos Narrow"/>
        <family val="2"/>
        <scheme val="minor"/>
      </rPr>
      <t>inte</t>
    </r>
  </si>
  <si>
    <r>
      <t xml:space="preserve">Det du däremot vill göra efter att ha uppskattat det operationella värdet, är att få fram ditt </t>
    </r>
    <r>
      <rPr>
        <b/>
        <sz val="11"/>
        <color theme="1"/>
        <rFont val="Aptos Narrow"/>
        <family val="2"/>
        <scheme val="minor"/>
      </rPr>
      <t>Equity Value</t>
    </r>
    <r>
      <rPr>
        <sz val="11"/>
        <color theme="1"/>
        <rFont val="Aptos Narrow"/>
        <family val="2"/>
        <scheme val="minor"/>
      </rPr>
      <t xml:space="preserve">. Detta är </t>
    </r>
    <r>
      <rPr>
        <b/>
        <sz val="11"/>
        <color theme="1"/>
        <rFont val="Aptos Narrow"/>
        <family val="2"/>
        <scheme val="minor"/>
      </rPr>
      <t>aktievärdet som är hänförligt moderbolagets aktieägare.</t>
    </r>
  </si>
  <si>
    <t>Och här ingår även icke-operationella tillgångar. Säg t.ex. att det finns en tom produktionsfacilitet (obelånad för simplicity); vid ett uppköp så betalar ju köparen även för denna byggnad,</t>
  </si>
  <si>
    <t>och moderbolagets aktieägare har så klart rätt till hela aktievärdet från denna facilitet. Är faciliteten värd 2MSEK t.ex. så har ju moderbolagets aktieägare rätt till dessa - därför lägger vi till.</t>
  </si>
  <si>
    <t>Genom att lägga till NCA får vi en adjusted EV, där EV + NCA sammantaget blir hela värdet av företaget, både operationella tillgångar och icke-operationella tillgångar.</t>
  </si>
  <si>
    <t>Man kan säga att vid ett hypotetiskt uppköp av Ratos så hade moderbolagets aktieägare inte kunnat sälja dessa 30% som ägs av andra minoritetsägare, kanske Knightecs styrelse t.ex.</t>
  </si>
  <si>
    <t>Nästa extremt viktiga sak som gäller NCI, är att dotterbolag som man är majoritetsägare I måste konsolideras - dvs, man måste redovisa intäkter osv. som om man köpt upp 100% av bolaget.</t>
  </si>
  <si>
    <t xml:space="preserve">Så för att vå en korrekt bild av aktierna som är hänförliga moderbolagets ägare (dvs Equity Value), så måste vi subtrahera NCI eftersom moderb. Aktieäg. Inte har rätt till dessa aktier </t>
  </si>
  <si>
    <r>
      <t xml:space="preserve">kan attribueras till majoritetsägaren. Och majoritetsägare är man när man äger mer än 50% men mindre än 100%. Med detta menas att NCI </t>
    </r>
    <r>
      <rPr>
        <u/>
        <sz val="11"/>
        <color theme="1"/>
        <rFont val="Aptos Narrow"/>
        <family val="2"/>
        <scheme val="minor"/>
      </rPr>
      <t>inte</t>
    </r>
    <r>
      <rPr>
        <b/>
        <u/>
        <sz val="11"/>
        <color theme="1"/>
        <rFont val="Aptos Narrow"/>
        <family val="2"/>
        <scheme val="minor"/>
      </rPr>
      <t xml:space="preserve"> </t>
    </r>
    <r>
      <rPr>
        <sz val="11"/>
        <color theme="1"/>
        <rFont val="Aptos Narrow"/>
        <family val="2"/>
        <scheme val="minor"/>
      </rPr>
      <t xml:space="preserve">omfattar aktievärde där man är </t>
    </r>
    <r>
      <rPr>
        <i/>
        <sz val="11"/>
        <color theme="1"/>
        <rFont val="Aptos Narrow"/>
        <family val="2"/>
        <scheme val="minor"/>
      </rPr>
      <t>minoritetsägare,</t>
    </r>
  </si>
  <si>
    <t>dvs äger mindre än 50%. Ratos köpte exempelvis upp 70% av aktierna I IT-bolaget Knightec I år - då räknas NCI alltså som 30% av aktievärdet I Knightec.</t>
  </si>
  <si>
    <t>Men vi vill ju bara se aktievärdet som är hänförligt till moderbolaget. Var ser vi det? Detta redovisas under en post som heter "Innehav utan bestämmande inflytande" eller dylikt I BR.</t>
  </si>
  <si>
    <t>(som dock har räknats med i BR). Annars hade det ju blivit att man hade överskattat aktievärdet som är hänförligt till moderb. Aktieäg., trots att det är mindre vid ett verkligt uppköp.</t>
  </si>
  <si>
    <t>Anledningen till att man gör såhär är rätt logisk - tänk själv om Ratos var tvunget att redovisa intäkter och kostnader för varje dotterbolag viktat efter ägarandelen - helt enkelt mer komplicerat</t>
  </si>
  <si>
    <t xml:space="preserve">ur ett redovisningsperspektiv. Istället konsoliderar man, och anger sedan I en separat post hur mycket som är NCI totalt.Hur hittar du NCI? Kolla I noterna till balansräkningen om </t>
  </si>
  <si>
    <t>det inte framgår tydligt, men oftast gör det det för större bolag åtminstone. Det brukar stå "Equity derived from Non-Controlling Interests" eller dylikt. I Ratos fall står det "Innehav utan bestämmande inflytande" I BR.</t>
  </si>
  <si>
    <t>Side note: När det gäller minoritetsägande (här är NCI alltså inte på tal om) i intresseföretag eller joint ventures, så redovisas dessa på andra sätt, vanligtvis genom kapitalanskaffningsmetoden (equity method) osv.</t>
  </si>
  <si>
    <r>
      <rPr>
        <b/>
        <sz val="11"/>
        <color theme="1"/>
        <rFont val="Aptos Narrow"/>
        <family val="2"/>
        <scheme val="minor"/>
      </rPr>
      <t>Varför lägger vi till D&amp;A från NOPAT?</t>
    </r>
    <r>
      <rPr>
        <sz val="11"/>
        <color theme="1"/>
        <rFont val="Aptos Narrow"/>
        <family val="2"/>
        <scheme val="minor"/>
      </rPr>
      <t xml:space="preserve"> Svaret är att D&amp;A (nedskrivningar och avskrivningar) finns som en minuspost I resultaträkningen. Man har alltså räknat ner inkomsterna.</t>
    </r>
  </si>
  <si>
    <t>Men när vi gör DCF:en, så är vi intresserade av att undersöka faktiska kassaflöden. D&amp;A är inga faktiska kassaflöden, utan enbart redovisningsprincip (viktig sådan därtill).</t>
  </si>
  <si>
    <t>Därför lägger vi till D&amp;A; så att vi får en rättvis bild på det faktiska inflödet av pengar efter skatt (NOPAT). Man skattar ju inte på D&amp;A då det inte är en verklig kostnad, så hade varit fel att lägga till innan NOPAT.</t>
  </si>
  <si>
    <t>NOPAT är en återspegling av företagets fundamentala operationella kassaflöde, och tar inte hänsyn till cash flow management (D&amp;A, CapEx, NWC).</t>
  </si>
  <si>
    <r>
      <t xml:space="preserve">Varför drar vi bort CapEx från NOPAT? </t>
    </r>
    <r>
      <rPr>
        <sz val="11"/>
        <color theme="1"/>
        <rFont val="Aptos Narrow"/>
        <family val="2"/>
        <scheme val="minor"/>
      </rPr>
      <t>Svaret är att CapEx är kapitalinvesteringar (cash flow management) som är riktiga utflöden av pengar. Det minskar ju det fria kassaflödet genom att binda upp pengar I en stor lokal, ett stort projekt eller liknande.</t>
    </r>
  </si>
  <si>
    <r>
      <t xml:space="preserve">Eftersom att vi gör en FCFF modell, så använder vi NOPAT = EBIT*(1 - tax rate) som utgångspunkt för operationella kassaflödena. Detta för att, återigen, </t>
    </r>
    <r>
      <rPr>
        <b/>
        <sz val="11"/>
        <color theme="1"/>
        <rFont val="Aptos Narrow"/>
        <family val="2"/>
        <scheme val="minor"/>
      </rPr>
      <t>inte ta hänsyn till kapitalstrukturen och eventuella räntebetalningar.</t>
    </r>
  </si>
  <si>
    <t>NCI</t>
  </si>
  <si>
    <t>NCA (optional)</t>
  </si>
  <si>
    <r>
      <t xml:space="preserve">Bryggan beräknas enligt följande formel som sammankopplar EV med Equity Value: </t>
    </r>
    <r>
      <rPr>
        <b/>
        <sz val="11"/>
        <color theme="1"/>
        <rFont val="Aptos Narrow"/>
        <family val="2"/>
        <scheme val="minor"/>
      </rPr>
      <t>EV = Equity Value + Net Debt + Preferred Stock + NCI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</si>
</sst>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64" formatCode="0.0%"/>
    <numFmt numFmtId="165" formatCode="#,###;\(#,###\);0"/>
    <numFmt numFmtId="166" formatCode="\(#,###\);#,###;0"/>
  </numFmts>
  <fonts count="14"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6"/>
      <color theme="1"/>
      <name val="Aptos Narrow"/>
      <family val="2"/>
      <scheme val="minor"/>
    </font>
    <font>
      <b/>
      <sz val="12"/>
      <color theme="0"/>
      <name val="Aptos Narrow"/>
      <family val="2"/>
      <scheme val="minor"/>
    </font>
    <font>
      <u/>
      <sz val="11"/>
      <color theme="1"/>
      <name val="Aptos Narrow"/>
      <family val="2"/>
      <scheme val="minor"/>
    </font>
    <font>
      <sz val="11"/>
      <color theme="0"/>
      <name val="Aptos Narrow"/>
      <family val="2"/>
      <scheme val="minor"/>
    </font>
    <font>
      <b/>
      <sz val="12"/>
      <color theme="1"/>
      <name val="Aptos Narrow"/>
      <family val="2"/>
      <scheme val="minor"/>
    </font>
    <font>
      <b/>
      <sz val="14"/>
      <color theme="0"/>
      <name val="Aptos Narrow"/>
      <family val="2"/>
      <scheme val="minor"/>
    </font>
    <font>
      <sz val="10.5"/>
      <color theme="1"/>
      <name val="Aptos Narrow"/>
      <family val="2"/>
      <scheme val="minor"/>
    </font>
    <font>
      <b/>
      <sz val="10.5"/>
      <color theme="1"/>
      <name val="Aptos Narrow"/>
      <family val="2"/>
      <scheme val="minor"/>
    </font>
    <font>
      <b/>
      <u/>
      <sz val="11"/>
      <color theme="1"/>
      <name val="Aptos Narrow"/>
      <family val="2"/>
      <scheme val="minor"/>
    </font>
    <font>
      <i/>
      <sz val="11"/>
      <color theme="1"/>
      <name val="Aptos Narrow"/>
      <family val="2"/>
      <scheme val="minor"/>
    </font>
  </fonts>
  <fills count="13">
    <fill>
      <patternFill patternType="none"/>
    </fill>
    <fill>
      <patternFill patternType="gray125"/>
    </fill>
    <fill>
      <patternFill patternType="solid">
        <fgColor theme="3" tint="9.9978637043366805E-2"/>
        <bgColor indexed="64"/>
      </patternFill>
    </fill>
    <fill>
      <patternFill patternType="solid">
        <fgColor theme="3"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4"/>
        <bgColor indexed="64"/>
      </patternFill>
    </fill>
    <fill>
      <patternFill patternType="solid">
        <fgColor theme="4" tint="-0.249977111117893"/>
        <bgColor indexed="64"/>
      </patternFill>
    </fill>
    <fill>
      <patternFill patternType="solid">
        <fgColor theme="0"/>
        <bgColor indexed="64"/>
      </patternFill>
    </fill>
    <fill>
      <patternFill patternType="solid">
        <fgColor rgb="FF002060"/>
        <bgColor indexed="64"/>
      </patternFill>
    </fill>
    <fill>
      <patternFill patternType="solid">
        <fgColor theme="0" tint="-0.14999847407452621"/>
        <bgColor indexed="64"/>
      </patternFill>
    </fill>
    <fill>
      <patternFill patternType="solid">
        <fgColor theme="3" tint="0.749992370372631"/>
        <bgColor indexed="64"/>
      </patternFill>
    </fill>
    <fill>
      <patternFill patternType="solid">
        <fgColor theme="5" tint="0.59999389629810485"/>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right/>
      <top/>
      <bottom style="thin">
        <color theme="1"/>
      </bottom>
      <diagonal/>
    </border>
    <border>
      <left/>
      <right/>
      <top style="thin">
        <color theme="1"/>
      </top>
      <bottom style="thin">
        <color theme="1"/>
      </bottom>
      <diagonal/>
    </border>
    <border>
      <left/>
      <right/>
      <top/>
      <bottom style="medium">
        <color indexed="64"/>
      </bottom>
      <diagonal/>
    </border>
    <border>
      <left/>
      <right/>
      <top style="thin">
        <color theme="1"/>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style="medium">
        <color theme="2" tint="-0.249977111117893"/>
      </right>
      <top/>
      <bottom style="medium">
        <color theme="2" tint="-0.249977111117893"/>
      </bottom>
      <diagonal/>
    </border>
    <border>
      <left style="thin">
        <color theme="1"/>
      </left>
      <right/>
      <top/>
      <bottom/>
      <diagonal/>
    </border>
    <border>
      <left style="thin">
        <color theme="1"/>
      </left>
      <right/>
      <top/>
      <bottom style="thin">
        <color theme="1"/>
      </bottom>
      <diagonal/>
    </border>
    <border>
      <left style="thin">
        <color indexed="64"/>
      </left>
      <right/>
      <top/>
      <bottom style="thin">
        <color theme="1"/>
      </bottom>
      <diagonal/>
    </border>
    <border>
      <left/>
      <right style="thin">
        <color theme="1"/>
      </right>
      <top/>
      <bottom/>
      <diagonal/>
    </border>
    <border>
      <left/>
      <right/>
      <top/>
      <bottom style="medium">
        <color theme="1"/>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80">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left" vertical="center"/>
    </xf>
    <xf numFmtId="0" fontId="0" fillId="0" borderId="0" xfId="0" applyAlignment="1">
      <alignment vertical="center"/>
    </xf>
    <xf numFmtId="0" fontId="4" fillId="0" borderId="0" xfId="0" applyFont="1"/>
    <xf numFmtId="0" fontId="0" fillId="0" borderId="4" xfId="0" applyBorder="1"/>
    <xf numFmtId="0" fontId="2" fillId="2" borderId="5" xfId="0" applyFont="1" applyFill="1" applyBorder="1" applyAlignment="1">
      <alignment horizontal="center" vertical="center"/>
    </xf>
    <xf numFmtId="0" fontId="2" fillId="4" borderId="0" xfId="0" applyFont="1" applyFill="1" applyAlignment="1">
      <alignment horizontal="center" vertical="center"/>
    </xf>
    <xf numFmtId="0" fontId="3" fillId="0" borderId="0" xfId="0" applyFont="1" applyAlignment="1">
      <alignment horizontal="center"/>
    </xf>
    <xf numFmtId="0" fontId="0" fillId="5" borderId="0" xfId="0" applyFill="1"/>
    <xf numFmtId="0" fontId="3" fillId="5" borderId="0" xfId="0" applyFont="1" applyFill="1"/>
    <xf numFmtId="0" fontId="0" fillId="5" borderId="4" xfId="0" applyFill="1" applyBorder="1"/>
    <xf numFmtId="166" fontId="0" fillId="0" borderId="0" xfId="0" applyNumberFormat="1"/>
    <xf numFmtId="165" fontId="0" fillId="0" borderId="0" xfId="0" applyNumberFormat="1"/>
    <xf numFmtId="1" fontId="0" fillId="0" borderId="0" xfId="0" applyNumberFormat="1"/>
    <xf numFmtId="164" fontId="0" fillId="5" borderId="4" xfId="1" applyNumberFormat="1" applyFont="1" applyFill="1" applyBorder="1" applyAlignment="1">
      <alignment horizontal="center"/>
    </xf>
    <xf numFmtId="1" fontId="3" fillId="0" borderId="0" xfId="0" applyNumberFormat="1" applyFont="1" applyAlignment="1">
      <alignment horizontal="center"/>
    </xf>
    <xf numFmtId="165" fontId="0" fillId="5" borderId="4" xfId="0" applyNumberFormat="1" applyFill="1" applyBorder="1" applyAlignment="1">
      <alignment horizontal="center"/>
    </xf>
    <xf numFmtId="165" fontId="0" fillId="5" borderId="0" xfId="0" applyNumberFormat="1" applyFill="1" applyAlignment="1">
      <alignment horizontal="center"/>
    </xf>
    <xf numFmtId="165" fontId="3" fillId="5" borderId="0" xfId="0" applyNumberFormat="1" applyFont="1" applyFill="1" applyAlignment="1">
      <alignment horizontal="center"/>
    </xf>
    <xf numFmtId="0" fontId="2" fillId="6" borderId="0" xfId="0" applyFont="1" applyFill="1" applyAlignment="1">
      <alignment horizontal="center" vertical="center"/>
    </xf>
    <xf numFmtId="0" fontId="0" fillId="0" borderId="6" xfId="0" applyBorder="1"/>
    <xf numFmtId="0" fontId="3" fillId="0" borderId="6" xfId="0" applyFont="1" applyBorder="1"/>
    <xf numFmtId="0" fontId="0" fillId="0" borderId="8" xfId="0" applyBorder="1"/>
    <xf numFmtId="3" fontId="0" fillId="0" borderId="0" xfId="0" applyNumberFormat="1" applyAlignment="1">
      <alignment horizontal="left"/>
    </xf>
    <xf numFmtId="164" fontId="0" fillId="0" borderId="0" xfId="1" applyNumberFormat="1" applyFont="1" applyAlignment="1">
      <alignment horizontal="left"/>
    </xf>
    <xf numFmtId="9" fontId="0" fillId="0" borderId="0" xfId="0" applyNumberFormat="1"/>
    <xf numFmtId="2" fontId="0" fillId="0" borderId="0" xfId="0" applyNumberFormat="1" applyAlignment="1">
      <alignment horizontal="center"/>
    </xf>
    <xf numFmtId="0" fontId="2" fillId="3" borderId="1" xfId="0" applyFont="1" applyFill="1" applyBorder="1" applyAlignment="1">
      <alignment horizontal="center" vertical="center"/>
    </xf>
    <xf numFmtId="0" fontId="0" fillId="0" borderId="0" xfId="0" applyAlignment="1">
      <alignment horizontal="left" indent="1"/>
    </xf>
    <xf numFmtId="0" fontId="0" fillId="0" borderId="0" xfId="0" applyAlignment="1">
      <alignment horizontal="right"/>
    </xf>
    <xf numFmtId="2" fontId="0" fillId="0" borderId="7" xfId="0" applyNumberFormat="1" applyBorder="1"/>
    <xf numFmtId="0" fontId="0" fillId="0" borderId="9" xfId="0" applyBorder="1" applyAlignment="1">
      <alignment horizontal="left" vertical="center"/>
    </xf>
    <xf numFmtId="14" fontId="0" fillId="0" borderId="10" xfId="0" applyNumberFormat="1" applyBorder="1" applyAlignment="1">
      <alignment horizontal="left" vertical="center"/>
    </xf>
    <xf numFmtId="0" fontId="0" fillId="0" borderId="2" xfId="0" applyBorder="1"/>
    <xf numFmtId="164" fontId="0" fillId="0" borderId="0" xfId="1" applyNumberFormat="1" applyFont="1" applyBorder="1" applyAlignment="1">
      <alignment horizontal="left"/>
    </xf>
    <xf numFmtId="164" fontId="3" fillId="0" borderId="2" xfId="0" applyNumberFormat="1" applyFont="1" applyBorder="1"/>
    <xf numFmtId="0" fontId="0" fillId="0" borderId="11" xfId="0" applyBorder="1"/>
    <xf numFmtId="164" fontId="3" fillId="0" borderId="0" xfId="1" applyNumberFormat="1" applyFont="1" applyBorder="1"/>
    <xf numFmtId="3" fontId="0" fillId="0" borderId="0" xfId="0" applyNumberFormat="1" applyAlignment="1">
      <alignment horizontal="right"/>
    </xf>
    <xf numFmtId="2" fontId="0" fillId="0" borderId="0" xfId="0" applyNumberFormat="1"/>
    <xf numFmtId="164" fontId="0" fillId="0" borderId="0" xfId="1" applyNumberFormat="1" applyFont="1" applyBorder="1"/>
    <xf numFmtId="0" fontId="0" fillId="0" borderId="12" xfId="0" applyBorder="1"/>
    <xf numFmtId="0" fontId="0" fillId="0" borderId="3" xfId="0" applyBorder="1"/>
    <xf numFmtId="0" fontId="3" fillId="0" borderId="13" xfId="0" applyFont="1" applyBorder="1"/>
    <xf numFmtId="2" fontId="0" fillId="0" borderId="9" xfId="0" applyNumberFormat="1" applyBorder="1" applyAlignment="1">
      <alignment horizontal="left"/>
    </xf>
    <xf numFmtId="4" fontId="0" fillId="0" borderId="10" xfId="0" applyNumberFormat="1" applyBorder="1" applyAlignment="1">
      <alignment horizontal="left"/>
    </xf>
    <xf numFmtId="0" fontId="0" fillId="0" borderId="14" xfId="0" applyBorder="1"/>
    <xf numFmtId="0" fontId="0" fillId="0" borderId="11" xfId="0" applyBorder="1" applyAlignment="1">
      <alignment horizontal="left" indent="1"/>
    </xf>
    <xf numFmtId="9" fontId="0" fillId="0" borderId="0" xfId="1" applyFont="1" applyAlignment="1">
      <alignment horizontal="center" vertical="center"/>
    </xf>
    <xf numFmtId="165" fontId="0" fillId="0" borderId="15" xfId="0" applyNumberFormat="1" applyBorder="1" applyAlignment="1">
      <alignment horizontal="center"/>
    </xf>
    <xf numFmtId="165" fontId="3" fillId="0" borderId="0" xfId="0" applyNumberFormat="1" applyFont="1" applyAlignment="1">
      <alignment horizontal="center" vertical="center"/>
    </xf>
    <xf numFmtId="165" fontId="0" fillId="0" borderId="8" xfId="0" applyNumberFormat="1" applyBorder="1"/>
    <xf numFmtId="165" fontId="3" fillId="0" borderId="8" xfId="0" applyNumberFormat="1" applyFont="1" applyBorder="1"/>
    <xf numFmtId="165" fontId="0" fillId="8" borderId="0" xfId="0" applyNumberFormat="1" applyFill="1" applyAlignment="1">
      <alignment horizontal="center"/>
    </xf>
    <xf numFmtId="164" fontId="0" fillId="0" borderId="0" xfId="1" applyNumberFormat="1" applyFont="1"/>
    <xf numFmtId="164" fontId="3" fillId="0" borderId="0" xfId="0" applyNumberFormat="1" applyFont="1"/>
    <xf numFmtId="164" fontId="0" fillId="0" borderId="16" xfId="1" applyNumberFormat="1" applyFont="1" applyBorder="1" applyAlignment="1">
      <alignment horizontal="left"/>
    </xf>
    <xf numFmtId="0" fontId="3" fillId="0" borderId="16" xfId="0" applyFont="1" applyBorder="1"/>
    <xf numFmtId="3" fontId="0" fillId="0" borderId="0" xfId="0" applyNumberFormat="1" applyAlignment="1">
      <alignment horizontal="center" vertical="center"/>
    </xf>
    <xf numFmtId="3" fontId="0" fillId="10" borderId="0" xfId="0" applyNumberFormat="1" applyFill="1" applyAlignment="1">
      <alignment horizontal="center" vertical="center"/>
    </xf>
    <xf numFmtId="10" fontId="0" fillId="10" borderId="0" xfId="0" applyNumberFormat="1" applyFill="1" applyAlignment="1">
      <alignment horizontal="center" vertical="center"/>
    </xf>
    <xf numFmtId="10" fontId="0" fillId="10" borderId="0" xfId="1" applyNumberFormat="1" applyFont="1" applyFill="1" applyAlignment="1">
      <alignment horizontal="center" vertical="center"/>
    </xf>
    <xf numFmtId="164" fontId="0" fillId="10" borderId="0" xfId="1" applyNumberFormat="1" applyFont="1" applyFill="1" applyAlignment="1">
      <alignment horizontal="center" vertical="center"/>
    </xf>
    <xf numFmtId="3" fontId="0" fillId="5" borderId="0" xfId="0" applyNumberFormat="1" applyFill="1" applyAlignment="1">
      <alignment horizontal="center" vertical="center"/>
    </xf>
    <xf numFmtId="0" fontId="0" fillId="0" borderId="0" xfId="0" applyAlignment="1">
      <alignment horizontal="left"/>
    </xf>
    <xf numFmtId="3" fontId="7" fillId="2" borderId="0" xfId="0" applyNumberFormat="1" applyFont="1" applyFill="1" applyAlignment="1">
      <alignment horizontal="center" vertical="center"/>
    </xf>
    <xf numFmtId="164" fontId="1" fillId="0" borderId="0" xfId="1" applyNumberFormat="1" applyFont="1" applyAlignment="1">
      <alignment horizontal="center"/>
    </xf>
    <xf numFmtId="0" fontId="0" fillId="0" borderId="8" xfId="0" applyBorder="1" applyAlignment="1">
      <alignment vertical="center"/>
    </xf>
    <xf numFmtId="0" fontId="3" fillId="0" borderId="11" xfId="0" applyFont="1" applyBorder="1" applyAlignment="1">
      <alignment horizontal="left" indent="1"/>
    </xf>
    <xf numFmtId="8" fontId="0" fillId="0" borderId="0" xfId="0" applyNumberFormat="1"/>
    <xf numFmtId="0" fontId="8" fillId="11" borderId="0" xfId="0" applyFont="1" applyFill="1" applyAlignment="1">
      <alignment horizontal="center" vertical="center"/>
    </xf>
    <xf numFmtId="0" fontId="9" fillId="9" borderId="0" xfId="0" applyFont="1" applyFill="1" applyAlignment="1">
      <alignment horizontal="center" vertical="center"/>
    </xf>
    <xf numFmtId="0" fontId="5" fillId="7" borderId="0" xfId="0" applyFont="1" applyFill="1" applyAlignment="1">
      <alignment horizontal="center" vertical="center"/>
    </xf>
    <xf numFmtId="0" fontId="9" fillId="9" borderId="0" xfId="0" applyFont="1" applyFill="1" applyAlignment="1">
      <alignment horizontal="center" vertical="center" textRotation="90"/>
    </xf>
    <xf numFmtId="0" fontId="0" fillId="12" borderId="0" xfId="0" applyFill="1" applyAlignment="1">
      <alignment horizontal="center" vertical="center" wrapText="1"/>
    </xf>
    <xf numFmtId="0" fontId="10" fillId="12" borderId="0" xfId="0" applyFont="1" applyFill="1" applyAlignment="1">
      <alignment horizontal="center" vertical="center" wrapText="1"/>
    </xf>
    <xf numFmtId="0" fontId="0" fillId="0" borderId="0" xfId="0" applyAlignment="1">
      <alignment vertical="top"/>
    </xf>
    <xf numFmtId="0" fontId="0" fillId="0" borderId="0" xfId="0" applyAlignme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50053</xdr:colOff>
      <xdr:row>0</xdr:row>
      <xdr:rowOff>27640</xdr:rowOff>
    </xdr:from>
    <xdr:to>
      <xdr:col>1</xdr:col>
      <xdr:colOff>903943</xdr:colOff>
      <xdr:row>4</xdr:row>
      <xdr:rowOff>78016</xdr:rowOff>
    </xdr:to>
    <xdr:pic>
      <xdr:nvPicPr>
        <xdr:cNvPr id="2" name="Picture 1" descr="Ratos AB ser. B (RATO B) aktie | Nordnet">
          <a:extLst>
            <a:ext uri="{FF2B5EF4-FFF2-40B4-BE49-F238E27FC236}">
              <a16:creationId xmlns:a16="http://schemas.microsoft.com/office/drawing/2014/main" id="{85DA7007-FD3A-632F-C217-0FA5BF54B2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2641" y="27640"/>
          <a:ext cx="857065" cy="882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53948</xdr:colOff>
      <xdr:row>140</xdr:row>
      <xdr:rowOff>62257</xdr:rowOff>
    </xdr:from>
    <xdr:to>
      <xdr:col>16</xdr:col>
      <xdr:colOff>297513</xdr:colOff>
      <xdr:row>164</xdr:row>
      <xdr:rowOff>141267</xdr:rowOff>
    </xdr:to>
    <xdr:pic>
      <xdr:nvPicPr>
        <xdr:cNvPr id="2" name="Picture 1">
          <a:extLst>
            <a:ext uri="{FF2B5EF4-FFF2-40B4-BE49-F238E27FC236}">
              <a16:creationId xmlns:a16="http://schemas.microsoft.com/office/drawing/2014/main" id="{27030572-7BF8-C1BB-3182-352A1C09CB58}"/>
            </a:ext>
          </a:extLst>
        </xdr:cNvPr>
        <xdr:cNvPicPr>
          <a:picLocks noChangeAspect="1"/>
        </xdr:cNvPicPr>
      </xdr:nvPicPr>
      <xdr:blipFill>
        <a:blip xmlns:r="http://schemas.openxmlformats.org/officeDocument/2006/relationships" r:embed="rId1"/>
        <a:stretch>
          <a:fillRect/>
        </a:stretch>
      </xdr:blipFill>
      <xdr:spPr>
        <a:xfrm>
          <a:off x="3154865" y="24573257"/>
          <a:ext cx="6660240" cy="43938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50C8E-0D07-440B-B6C8-9101C7BC7BB8}">
  <sheetPr>
    <tabColor theme="7"/>
    <pageSetUpPr autoPageBreaks="0"/>
  </sheetPr>
  <dimension ref="A2:Z45"/>
  <sheetViews>
    <sheetView showGridLines="0" zoomScale="85" zoomScaleNormal="85" zoomScalePageLayoutView="55" workbookViewId="0">
      <selection activeCell="D30" sqref="D30"/>
    </sheetView>
  </sheetViews>
  <sheetFormatPr defaultRowHeight="14.5" x14ac:dyDescent="0.35"/>
  <cols>
    <col min="1" max="1" width="5.26953125" customWidth="1"/>
    <col min="2" max="2" width="22.81640625" customWidth="1"/>
    <col min="3" max="10" width="13.7265625" customWidth="1"/>
    <col min="11" max="11" width="4.453125" customWidth="1"/>
    <col min="12" max="12" width="5" customWidth="1"/>
    <col min="13" max="14" width="15.1796875" customWidth="1"/>
    <col min="15" max="15" width="7.26953125" customWidth="1"/>
    <col min="16" max="16" width="4.26953125" customWidth="1"/>
    <col min="17" max="18" width="5.1796875" customWidth="1"/>
    <col min="19" max="19" width="9.1796875" customWidth="1"/>
    <col min="20" max="24" width="9.81640625" customWidth="1"/>
    <col min="25" max="26" width="9.1796875" customWidth="1"/>
  </cols>
  <sheetData>
    <row r="2" spans="2:24" ht="15" thickBot="1" x14ac:dyDescent="0.4"/>
    <row r="3" spans="2:24" ht="21" x14ac:dyDescent="0.5">
      <c r="B3" s="5"/>
      <c r="D3" s="31" t="str">
        <f>"Ticker:  "</f>
        <v xml:space="preserve">Ticker:  </v>
      </c>
      <c r="E3" s="33" t="s">
        <v>51</v>
      </c>
      <c r="F3" s="31" t="str">
        <f>"Implied PPS:  "</f>
        <v xml:space="preserve">Implied PPS:  </v>
      </c>
      <c r="G3" s="46">
        <f>D31</f>
        <v>99.028329027653498</v>
      </c>
      <c r="H3" t="s">
        <v>52</v>
      </c>
    </row>
    <row r="4" spans="2:24" ht="15" thickBot="1" x14ac:dyDescent="0.4">
      <c r="D4" s="31" t="str">
        <f>"Date:  "</f>
        <v xml:space="preserve">Date:  </v>
      </c>
      <c r="E4" s="34">
        <v>45390</v>
      </c>
      <c r="F4" s="31" t="str">
        <f>"Today's PPS:  "</f>
        <v xml:space="preserve">Today's PPS:  </v>
      </c>
      <c r="G4" s="47">
        <v>32.119999999999997</v>
      </c>
      <c r="I4" t="s">
        <v>68</v>
      </c>
      <c r="J4" s="50">
        <f>G3/G4 - 1</f>
        <v>2.0830737555309309</v>
      </c>
      <c r="P4" s="24"/>
    </row>
    <row r="5" spans="2:24" ht="21" x14ac:dyDescent="0.5">
      <c r="B5" s="5" t="s">
        <v>1</v>
      </c>
      <c r="P5" s="24"/>
      <c r="R5" s="72" t="s">
        <v>133</v>
      </c>
      <c r="S5" s="72"/>
      <c r="T5" s="72"/>
      <c r="U5" s="72"/>
      <c r="V5" s="72"/>
      <c r="W5" s="72"/>
      <c r="X5" s="72"/>
    </row>
    <row r="6" spans="2:24" ht="12" customHeight="1" thickBot="1" x14ac:dyDescent="0.55000000000000004">
      <c r="B6" s="5"/>
      <c r="P6" s="24"/>
    </row>
    <row r="7" spans="2:24" ht="14.25" customHeight="1" thickBot="1" x14ac:dyDescent="0.4">
      <c r="B7" t="s">
        <v>2</v>
      </c>
      <c r="C7" s="8" t="s">
        <v>15</v>
      </c>
      <c r="D7" s="8" t="s">
        <v>8</v>
      </c>
      <c r="E7" s="29" t="s">
        <v>9</v>
      </c>
      <c r="F7" s="7" t="s">
        <v>10</v>
      </c>
      <c r="G7" s="7" t="s">
        <v>11</v>
      </c>
      <c r="H7" s="7" t="s">
        <v>12</v>
      </c>
      <c r="I7" s="7" t="s">
        <v>13</v>
      </c>
      <c r="J7" s="7" t="s">
        <v>14</v>
      </c>
      <c r="M7" s="21" t="s">
        <v>16</v>
      </c>
      <c r="N7" s="21"/>
      <c r="P7" s="24"/>
    </row>
    <row r="8" spans="2:24" ht="17.25" customHeight="1" x14ac:dyDescent="0.35">
      <c r="B8" s="2" t="s">
        <v>3</v>
      </c>
      <c r="C8" s="55">
        <f>1656+1014</f>
        <v>2670</v>
      </c>
      <c r="D8" s="55">
        <f>1618+1340</f>
        <v>2958</v>
      </c>
      <c r="E8" s="55">
        <f>3010+2298</f>
        <v>5308</v>
      </c>
      <c r="F8" s="55">
        <f>E8*1.04</f>
        <v>5520.3200000000006</v>
      </c>
      <c r="G8" s="55">
        <f>F8*1.04</f>
        <v>5741.1328000000012</v>
      </c>
      <c r="H8" s="55">
        <f>G8*1.04</f>
        <v>5970.7781120000018</v>
      </c>
      <c r="I8" s="55">
        <f>H8*1.04</f>
        <v>6209.6092364800024</v>
      </c>
      <c r="J8" s="55">
        <f>I8*1.04</f>
        <v>6457.993605939203</v>
      </c>
      <c r="M8" s="15" t="str">
        <f>"4% EST. CAGR 2024E-2028E"</f>
        <v>4% EST. CAGR 2024E-2028E</v>
      </c>
      <c r="N8" s="15"/>
      <c r="P8" s="24"/>
      <c r="R8" s="66">
        <v>1</v>
      </c>
      <c r="S8" s="79" t="s">
        <v>134</v>
      </c>
    </row>
    <row r="9" spans="2:24" ht="17.25" customHeight="1" thickBot="1" x14ac:dyDescent="0.4">
      <c r="B9" s="12" t="str">
        <f>"% margin"</f>
        <v>% margin</v>
      </c>
      <c r="C9" s="16">
        <f>C8/22551</f>
        <v>0.11839829719302913</v>
      </c>
      <c r="D9" s="16">
        <f>D8/29875</f>
        <v>9.9012552301255233E-2</v>
      </c>
      <c r="E9" s="16">
        <f>E8/33748</f>
        <v>0.15728339457153018</v>
      </c>
      <c r="F9" s="16">
        <f>AVERAGE(C9:E9)</f>
        <v>0.12489808135527151</v>
      </c>
      <c r="G9" s="16">
        <f t="shared" ref="G9:J9" si="0">AVERAGE(D9:F9)</f>
        <v>0.12706467607601898</v>
      </c>
      <c r="H9" s="16">
        <f t="shared" si="0"/>
        <v>0.13641538400094022</v>
      </c>
      <c r="I9" s="16">
        <f t="shared" si="0"/>
        <v>0.12945938047741024</v>
      </c>
      <c r="J9" s="16">
        <f t="shared" si="0"/>
        <v>0.13097981351812316</v>
      </c>
      <c r="M9" t="s">
        <v>22</v>
      </c>
      <c r="P9" s="24"/>
      <c r="R9" s="66"/>
      <c r="S9" s="78" t="s">
        <v>135</v>
      </c>
    </row>
    <row r="10" spans="2:24" x14ac:dyDescent="0.35">
      <c r="B10" s="2" t="s">
        <v>4</v>
      </c>
      <c r="C10" s="9">
        <v>1656</v>
      </c>
      <c r="D10" s="9">
        <v>1618</v>
      </c>
      <c r="E10" s="9">
        <v>3010</v>
      </c>
      <c r="F10" s="17">
        <f>F8*F11/F9</f>
        <v>3193.8350888833043</v>
      </c>
      <c r="G10" s="17">
        <f t="shared" ref="G10:J10" si="1">G8*G11/G9</f>
        <v>3330.2507307327401</v>
      </c>
      <c r="H10" s="17">
        <f t="shared" si="1"/>
        <v>3290.5760097762736</v>
      </c>
      <c r="I10" s="17">
        <f t="shared" si="1"/>
        <v>3678.1993529657179</v>
      </c>
      <c r="J10" s="17">
        <f t="shared" si="1"/>
        <v>3856.5408091339773</v>
      </c>
      <c r="M10" t="s">
        <v>20</v>
      </c>
      <c r="P10" s="24"/>
      <c r="R10" s="66"/>
      <c r="S10" s="78" t="s">
        <v>136</v>
      </c>
    </row>
    <row r="11" spans="2:24" hidden="1" x14ac:dyDescent="0.35">
      <c r="B11" t="s">
        <v>144</v>
      </c>
      <c r="C11" s="68">
        <f>C9*C10/C8</f>
        <v>7.343355061859784E-2</v>
      </c>
      <c r="D11" s="68">
        <f t="shared" ref="D11:E11" si="2">D9*D10/D8</f>
        <v>5.4158995815899585E-2</v>
      </c>
      <c r="E11" s="68">
        <f t="shared" si="2"/>
        <v>8.9190470546402764E-2</v>
      </c>
      <c r="F11" s="68">
        <f>EBIT_margin</f>
        <v>7.2261005660300068E-2</v>
      </c>
      <c r="G11" s="68">
        <f>F11*1.02</f>
        <v>7.3706225773506065E-2</v>
      </c>
      <c r="H11" s="68">
        <f t="shared" ref="H11:J11" si="3">G11*1.02</f>
        <v>7.5180350288976183E-2</v>
      </c>
      <c r="I11" s="68">
        <f t="shared" si="3"/>
        <v>7.6683957294755703E-2</v>
      </c>
      <c r="J11" s="68">
        <f t="shared" si="3"/>
        <v>7.8217636440650815E-2</v>
      </c>
      <c r="P11" s="24"/>
      <c r="R11" s="66"/>
    </row>
    <row r="12" spans="2:24" ht="17.25" customHeight="1" thickBot="1" x14ac:dyDescent="0.4">
      <c r="B12" s="12" t="s">
        <v>5</v>
      </c>
      <c r="C12" s="18">
        <v>-166</v>
      </c>
      <c r="D12" s="18">
        <v>-299</v>
      </c>
      <c r="E12" s="18">
        <v>-267</v>
      </c>
      <c r="F12" s="18">
        <f>F10*AVERAGE($C$12/$C$10,$D$12/$D$10,$E$12/$E$10)</f>
        <v>-397.89000806810958</v>
      </c>
      <c r="G12" s="18">
        <f t="shared" ref="G12:J12" si="4">G10*AVERAGE($C$12/$C$10,$D$12/$D$10,$E$12/$E$10)</f>
        <v>-414.88475555053714</v>
      </c>
      <c r="H12" s="18">
        <f t="shared" si="4"/>
        <v>-409.94205356306918</v>
      </c>
      <c r="I12" s="18">
        <f t="shared" si="4"/>
        <v>-458.23241635790004</v>
      </c>
      <c r="J12" s="18">
        <f t="shared" si="4"/>
        <v>-480.45030847157136</v>
      </c>
      <c r="M12" t="s">
        <v>20</v>
      </c>
      <c r="P12" s="24"/>
      <c r="R12" s="66"/>
    </row>
    <row r="13" spans="2:24" ht="29.25" customHeight="1" x14ac:dyDescent="0.35">
      <c r="B13" s="3" t="s">
        <v>6</v>
      </c>
      <c r="C13" s="52">
        <f t="shared" ref="C13:J13" si="5">C10+C12</f>
        <v>1490</v>
      </c>
      <c r="D13" s="52">
        <f t="shared" si="5"/>
        <v>1319</v>
      </c>
      <c r="E13" s="52">
        <f t="shared" si="5"/>
        <v>2743</v>
      </c>
      <c r="F13" s="52">
        <f t="shared" si="5"/>
        <v>2795.9450808151946</v>
      </c>
      <c r="G13" s="52">
        <f t="shared" si="5"/>
        <v>2915.3659751822029</v>
      </c>
      <c r="H13" s="52">
        <f t="shared" si="5"/>
        <v>2880.6339562132043</v>
      </c>
      <c r="I13" s="52">
        <f t="shared" si="5"/>
        <v>3219.9669366078178</v>
      </c>
      <c r="J13" s="52">
        <f t="shared" si="5"/>
        <v>3376.0905006624062</v>
      </c>
      <c r="M13" s="4" t="s">
        <v>19</v>
      </c>
      <c r="N13" s="4"/>
      <c r="P13" s="24"/>
      <c r="R13" s="66">
        <v>2</v>
      </c>
      <c r="S13" t="s">
        <v>137</v>
      </c>
    </row>
    <row r="14" spans="2:24" ht="17.25" customHeight="1" x14ac:dyDescent="0.35">
      <c r="B14" s="10" t="str">
        <f>"(+) D&amp;A"</f>
        <v>(+) D&amp;A</v>
      </c>
      <c r="C14" s="19">
        <f t="shared" ref="C14:J14" si="6">C8-C10</f>
        <v>1014</v>
      </c>
      <c r="D14" s="19">
        <f t="shared" si="6"/>
        <v>1340</v>
      </c>
      <c r="E14" s="19">
        <f t="shared" si="6"/>
        <v>2298</v>
      </c>
      <c r="F14" s="19">
        <f t="shared" si="6"/>
        <v>2326.4849111166964</v>
      </c>
      <c r="G14" s="19">
        <f t="shared" si="6"/>
        <v>2410.8820692672612</v>
      </c>
      <c r="H14" s="19">
        <f t="shared" si="6"/>
        <v>2680.2021022237282</v>
      </c>
      <c r="I14" s="19">
        <f t="shared" si="6"/>
        <v>2531.4098835142845</v>
      </c>
      <c r="J14" s="19">
        <f t="shared" si="6"/>
        <v>2601.4527968052257</v>
      </c>
      <c r="M14" t="s">
        <v>21</v>
      </c>
      <c r="P14" s="24"/>
      <c r="R14" s="66"/>
      <c r="S14" s="78" t="s">
        <v>138</v>
      </c>
    </row>
    <row r="15" spans="2:24" ht="17.25" customHeight="1" x14ac:dyDescent="0.35">
      <c r="B15" t="str">
        <f>"(-) Amortization of leasing"</f>
        <v>(-) Amortization of leasing</v>
      </c>
      <c r="C15" s="1"/>
      <c r="D15" s="1"/>
      <c r="E15" s="1"/>
      <c r="F15" s="1"/>
      <c r="G15" s="1"/>
      <c r="H15" s="1"/>
      <c r="I15" s="1"/>
      <c r="J15" s="1"/>
      <c r="M15" t="s">
        <v>17</v>
      </c>
      <c r="P15" s="24"/>
      <c r="R15" s="66"/>
    </row>
    <row r="16" spans="2:24" ht="17.25" customHeight="1" x14ac:dyDescent="0.35">
      <c r="B16" s="10" t="str">
        <f>"(-) CapEx"</f>
        <v>(-) CapEx</v>
      </c>
      <c r="C16" s="19">
        <v>-419</v>
      </c>
      <c r="D16" s="19">
        <v>-405</v>
      </c>
      <c r="E16" s="19">
        <v>-231</v>
      </c>
      <c r="F16" s="19">
        <f>AVERAGE($C$16/$C$8,$D$16/$D$8,$E$16/$E$8)*F8</f>
        <v>-620.7873848966683</v>
      </c>
      <c r="G16" s="19">
        <f t="shared" ref="G16:J16" si="7">AVERAGE($C$16/$C$8,$D$16/$D$8,$E$16/$E$8)*G8</f>
        <v>-645.6188802925351</v>
      </c>
      <c r="H16" s="19">
        <f t="shared" si="7"/>
        <v>-671.44363550423657</v>
      </c>
      <c r="I16" s="19">
        <f t="shared" si="7"/>
        <v>-698.30138092440609</v>
      </c>
      <c r="J16" s="19">
        <f t="shared" si="7"/>
        <v>-726.23343616138231</v>
      </c>
      <c r="M16" t="s">
        <v>20</v>
      </c>
      <c r="P16" s="24"/>
      <c r="R16" s="66">
        <v>3</v>
      </c>
      <c r="S16" t="s">
        <v>139</v>
      </c>
    </row>
    <row r="17" spans="1:24" ht="22.5" customHeight="1" thickBot="1" x14ac:dyDescent="0.4">
      <c r="B17" s="6" t="str">
        <f>"(+/-) Δ NWC"</f>
        <v>(+/-) Δ NWC</v>
      </c>
      <c r="C17" s="51">
        <f>(-459-38-206)-(-109+264+7)</f>
        <v>-865</v>
      </c>
      <c r="D17" s="51">
        <f>(-487-1062+913)-(-459-38-206)</f>
        <v>67</v>
      </c>
      <c r="E17" s="51">
        <f>(571+25+850)-(-487-1062+913)</f>
        <v>2082</v>
      </c>
      <c r="F17" s="51">
        <f>AVERAGE($C$17/$C$13,$D$17/$D$13,$E$17/$E$13)*F13</f>
        <v>213.68673144794016</v>
      </c>
      <c r="G17" s="51">
        <f t="shared" ref="G17:J17" si="8">AVERAGE($C$17/$C$13,$D$17/$D$13,$E$17/$E$13)*G13</f>
        <v>222.81375642385115</v>
      </c>
      <c r="H17" s="51">
        <f t="shared" si="8"/>
        <v>220.15927953122591</v>
      </c>
      <c r="I17" s="51">
        <f t="shared" si="8"/>
        <v>246.0936070509465</v>
      </c>
      <c r="J17" s="51">
        <f t="shared" si="8"/>
        <v>258.02572057268316</v>
      </c>
      <c r="M17" t="s">
        <v>20</v>
      </c>
      <c r="P17" s="24"/>
      <c r="R17" s="66"/>
      <c r="S17" s="78" t="s">
        <v>140</v>
      </c>
    </row>
    <row r="18" spans="1:24" ht="17.25" customHeight="1" x14ac:dyDescent="0.35">
      <c r="B18" s="11" t="s">
        <v>7</v>
      </c>
      <c r="C18" s="20">
        <f>C13+C14+C16-C17</f>
        <v>2950</v>
      </c>
      <c r="D18" s="20">
        <f t="shared" ref="D18:J18" si="9">D13+D14+D16-D17</f>
        <v>2187</v>
      </c>
      <c r="E18" s="20">
        <f t="shared" si="9"/>
        <v>2728</v>
      </c>
      <c r="F18" s="20">
        <f t="shared" si="9"/>
        <v>4287.9558755872822</v>
      </c>
      <c r="G18" s="20">
        <f t="shared" si="9"/>
        <v>4457.8154077330773</v>
      </c>
      <c r="H18" s="20">
        <f t="shared" si="9"/>
        <v>4669.2331434014704</v>
      </c>
      <c r="I18" s="20">
        <f t="shared" si="9"/>
        <v>4806.9818321467501</v>
      </c>
      <c r="J18" s="20">
        <f t="shared" si="9"/>
        <v>4993.2841407335663</v>
      </c>
      <c r="M18" t="s">
        <v>18</v>
      </c>
      <c r="P18" s="24"/>
      <c r="R18" s="66"/>
    </row>
    <row r="19" spans="1:24" x14ac:dyDescent="0.35">
      <c r="B19" t="s">
        <v>38</v>
      </c>
      <c r="F19" s="28">
        <f>(1+WACC)^1</f>
        <v>1.1064638312674222</v>
      </c>
      <c r="G19" s="28">
        <f>(1+WACC)^2</f>
        <v>1.2242622099029825</v>
      </c>
      <c r="H19" s="28">
        <f>(1+WACC)^3</f>
        <v>1.3546018552451751</v>
      </c>
      <c r="I19" s="28">
        <f>(1+WACC)^4</f>
        <v>1.4988179585965344</v>
      </c>
      <c r="J19" s="28">
        <f>(1+WACC)^5</f>
        <v>1.658387860841138</v>
      </c>
      <c r="P19" s="24"/>
      <c r="R19" s="66">
        <v>4</v>
      </c>
      <c r="S19" t="s">
        <v>141</v>
      </c>
    </row>
    <row r="20" spans="1:24" x14ac:dyDescent="0.35">
      <c r="B20" s="11" t="s">
        <v>41</v>
      </c>
      <c r="C20" s="20"/>
      <c r="D20" s="20"/>
      <c r="E20" s="20"/>
      <c r="F20" s="20">
        <f>F18/F19</f>
        <v>3875.3692207684308</v>
      </c>
      <c r="G20" s="20">
        <f>G18/G19</f>
        <v>3641.2260148798841</v>
      </c>
      <c r="H20" s="20">
        <f>H18/H19</f>
        <v>3446.941346877431</v>
      </c>
      <c r="I20" s="20">
        <f>I18/I19</f>
        <v>3207.1819026294024</v>
      </c>
      <c r="J20" s="20">
        <f>J18/J19</f>
        <v>3010.9266104980784</v>
      </c>
      <c r="P20" s="24"/>
      <c r="S20" t="s">
        <v>142</v>
      </c>
    </row>
    <row r="21" spans="1:24" x14ac:dyDescent="0.35">
      <c r="P21" s="24"/>
    </row>
    <row r="22" spans="1:24" x14ac:dyDescent="0.35">
      <c r="D22" s="71">
        <f>NPV(WACC,0,0,0,0,D26)</f>
        <v>33413.104035847187</v>
      </c>
      <c r="G22" s="14"/>
      <c r="P22" s="24"/>
    </row>
    <row r="23" spans="1:24" ht="23.15" customHeight="1" x14ac:dyDescent="0.35">
      <c r="E23" s="13"/>
      <c r="P23" s="24"/>
      <c r="R23" s="73" t="s">
        <v>0</v>
      </c>
      <c r="S23" s="73"/>
      <c r="T23" s="73"/>
      <c r="U23" s="73"/>
      <c r="V23" s="73"/>
      <c r="W23" s="73"/>
      <c r="X23" s="73"/>
    </row>
    <row r="24" spans="1:24" ht="22.5" customHeight="1" x14ac:dyDescent="0.35">
      <c r="B24" s="74" t="s">
        <v>23</v>
      </c>
      <c r="C24" s="74"/>
      <c r="D24" s="74"/>
      <c r="F24" s="74" t="s">
        <v>42</v>
      </c>
      <c r="G24" s="74"/>
      <c r="H24" s="74"/>
      <c r="I24" s="74"/>
      <c r="J24" s="74"/>
      <c r="P24" s="24"/>
      <c r="R24" s="75" t="s">
        <v>132</v>
      </c>
      <c r="S24" s="61">
        <f>EV</f>
        <v>50594.749131500415</v>
      </c>
      <c r="T24" s="64">
        <f t="shared" ref="T24" si="10">U24-0.0025</f>
        <v>9.9999999999999985E-3</v>
      </c>
      <c r="U24" s="64">
        <f>V24-0.0025</f>
        <v>1.2499999999999999E-2</v>
      </c>
      <c r="V24" s="64">
        <v>1.4999999999999999E-2</v>
      </c>
      <c r="W24" s="64">
        <f>V24+0.0025</f>
        <v>1.7499999999999998E-2</v>
      </c>
      <c r="X24" s="64">
        <f t="shared" ref="X24" si="11">W24+0.0025</f>
        <v>1.9999999999999997E-2</v>
      </c>
    </row>
    <row r="25" spans="1:24" ht="24" customHeight="1" x14ac:dyDescent="0.35">
      <c r="B25" s="22" t="s">
        <v>24</v>
      </c>
      <c r="D25" s="53">
        <f>SUM(F20:J20)</f>
        <v>17181.645095653228</v>
      </c>
      <c r="F25" s="38" t="s">
        <v>30</v>
      </c>
      <c r="H25" s="25">
        <v>21678</v>
      </c>
      <c r="I25" t="s">
        <v>35</v>
      </c>
      <c r="J25" s="42">
        <v>2.5399999999999999E-2</v>
      </c>
      <c r="K25" s="38"/>
      <c r="L25" s="38"/>
      <c r="M25" t="s">
        <v>54</v>
      </c>
      <c r="O25" s="27">
        <v>0.05</v>
      </c>
      <c r="P25" s="24"/>
      <c r="R25" s="75"/>
      <c r="S25" s="62">
        <f t="shared" ref="S25" si="12">ROUND(S26+0.005,3)</f>
        <v>0.11600000000000001</v>
      </c>
      <c r="T25" s="60">
        <f t="dataTable" ref="T25:X29" dt2D="1" dtr="1" r1="J31" r2="J30" ca="1"/>
        <v>44248.329141201779</v>
      </c>
      <c r="U25" s="60">
        <v>44981.868287174344</v>
      </c>
      <c r="V25" s="60">
        <v>45751.721252254465</v>
      </c>
      <c r="W25" s="60">
        <v>46560.653048049324</v>
      </c>
      <c r="X25" s="60">
        <v>47411.716708208492</v>
      </c>
    </row>
    <row r="26" spans="1:24" ht="24" customHeight="1" x14ac:dyDescent="0.35">
      <c r="B26" s="22" t="s">
        <v>43</v>
      </c>
      <c r="D26" s="53">
        <f>$J$18*(1+TGR) / (WACC - TGR)</f>
        <v>55411.886126071011</v>
      </c>
      <c r="F26" s="38" t="s">
        <v>39</v>
      </c>
      <c r="H26" s="25">
        <v>745</v>
      </c>
      <c r="I26" t="s">
        <v>37</v>
      </c>
      <c r="J26" s="42">
        <v>9.7000000000000003E-2</v>
      </c>
      <c r="K26" s="38"/>
      <c r="L26" s="38"/>
      <c r="M26" t="s">
        <v>145</v>
      </c>
      <c r="O26" s="56">
        <f>AVERAGE(C11:E11)</f>
        <v>7.2261005660300068E-2</v>
      </c>
      <c r="P26" s="24"/>
      <c r="R26" s="75"/>
      <c r="S26" s="62">
        <f>ROUND(S27+0.005,3)</f>
        <v>0.111</v>
      </c>
      <c r="T26" s="60">
        <v>46480.663369230548</v>
      </c>
      <c r="U26" s="65">
        <v>47304.255993721701</v>
      </c>
      <c r="V26" s="65">
        <v>48170.744067405103</v>
      </c>
      <c r="W26" s="65">
        <v>49083.568401713288</v>
      </c>
      <c r="X26" s="60">
        <v>50046.547919225217</v>
      </c>
    </row>
    <row r="27" spans="1:24" ht="24" customHeight="1" x14ac:dyDescent="0.35">
      <c r="B27" s="22" t="s">
        <v>25</v>
      </c>
      <c r="D27" s="53">
        <f>D26/J19</f>
        <v>33413.104035847187</v>
      </c>
      <c r="F27" s="38" t="s">
        <v>31</v>
      </c>
      <c r="H27" s="25">
        <v>11310</v>
      </c>
      <c r="I27" t="s">
        <v>36</v>
      </c>
      <c r="J27" s="41">
        <v>1.1399999999999999</v>
      </c>
      <c r="K27" s="38"/>
      <c r="L27" s="38"/>
      <c r="M27" t="s">
        <v>116</v>
      </c>
      <c r="O27">
        <v>3246</v>
      </c>
      <c r="P27" s="24"/>
      <c r="R27" s="75"/>
      <c r="S27" s="63">
        <v>0.10646383126742215</v>
      </c>
      <c r="T27" s="60">
        <v>48706.786038609745</v>
      </c>
      <c r="U27" s="65">
        <v>49625.652029055695</v>
      </c>
      <c r="V27" s="67">
        <v>50594.749131500415</v>
      </c>
      <c r="W27" s="65">
        <v>51618.312025752806</v>
      </c>
      <c r="X27" s="60">
        <v>52701.065154768585</v>
      </c>
    </row>
    <row r="28" spans="1:24" ht="24" customHeight="1" x14ac:dyDescent="0.35">
      <c r="B28" s="23" t="s">
        <v>28</v>
      </c>
      <c r="D28" s="54">
        <f>TGV+PV_FCFF</f>
        <v>50594.749131500415</v>
      </c>
      <c r="F28" s="38" t="s">
        <v>32</v>
      </c>
      <c r="H28" s="25">
        <f>D+E</f>
        <v>32988</v>
      </c>
      <c r="I28" t="s">
        <v>53</v>
      </c>
      <c r="J28" s="40">
        <v>327085688</v>
      </c>
      <c r="K28" s="38"/>
      <c r="L28" s="38"/>
      <c r="M28" t="s">
        <v>120</v>
      </c>
      <c r="O28">
        <v>5</v>
      </c>
      <c r="P28" s="24"/>
      <c r="R28" s="75"/>
      <c r="S28" s="62">
        <f>S27-0.005</f>
        <v>0.10146383126742214</v>
      </c>
      <c r="T28" s="60">
        <v>51417.153448420642</v>
      </c>
      <c r="U28" s="65">
        <v>52459.4287786856</v>
      </c>
      <c r="V28" s="65">
        <v>53561.976439877079</v>
      </c>
      <c r="W28" s="65">
        <v>54730.180208260725</v>
      </c>
      <c r="X28" s="60">
        <v>55970.084739437392</v>
      </c>
    </row>
    <row r="29" spans="1:24" ht="24" customHeight="1" x14ac:dyDescent="0.35">
      <c r="B29" s="22" t="s">
        <v>27</v>
      </c>
      <c r="D29" s="53">
        <f xml:space="preserve"> (D+DE-Cash-CE) + NCI - NCA</f>
        <v>18204</v>
      </c>
      <c r="F29" s="38" t="s">
        <v>29</v>
      </c>
      <c r="H29" s="26">
        <f>Interest_Expense/D</f>
        <v>3.4366638988836608E-2</v>
      </c>
      <c r="I29" t="s">
        <v>117</v>
      </c>
      <c r="J29" s="40">
        <v>2360</v>
      </c>
      <c r="K29" s="38"/>
      <c r="L29" s="38"/>
      <c r="M29" t="s">
        <v>118</v>
      </c>
      <c r="O29">
        <v>0</v>
      </c>
      <c r="P29" s="24"/>
      <c r="R29" s="75"/>
      <c r="S29" s="62">
        <f t="shared" ref="S29" si="13">S28-0.005</f>
        <v>9.646383126742214E-2</v>
      </c>
      <c r="T29" s="60">
        <v>54441.88334952209</v>
      </c>
      <c r="U29" s="60">
        <v>55631.541884918406</v>
      </c>
      <c r="V29" s="60">
        <v>56894.218010875316</v>
      </c>
      <c r="W29" s="60">
        <v>58236.846952297885</v>
      </c>
      <c r="X29" s="60">
        <v>59667.270928259502</v>
      </c>
    </row>
    <row r="30" spans="1:24" ht="19.5" customHeight="1" x14ac:dyDescent="0.35">
      <c r="A30" s="24"/>
      <c r="B30" s="45" t="s">
        <v>26</v>
      </c>
      <c r="D30" s="54">
        <f>EV-Equity_bridge</f>
        <v>32390.749131500415</v>
      </c>
      <c r="F30" s="38" t="s">
        <v>71</v>
      </c>
      <c r="H30" s="26">
        <f>-AVERAGE(C12/C10,D12/D10,E12/E10)</f>
        <v>0.12458063644332627</v>
      </c>
      <c r="I30" s="2" t="s">
        <v>40</v>
      </c>
      <c r="J30" s="39">
        <f>E/D_E *C_e + D/D_E *C_d*(1-Tax_rate) + WACC_premium</f>
        <v>0.10646383126742215</v>
      </c>
      <c r="K30" s="38"/>
      <c r="L30" s="38"/>
      <c r="M30" t="s">
        <v>119</v>
      </c>
      <c r="O30">
        <v>2137</v>
      </c>
      <c r="P30" s="24"/>
    </row>
    <row r="31" spans="1:24" ht="19.5" customHeight="1" x14ac:dyDescent="0.35">
      <c r="B31" s="43" t="s">
        <v>44</v>
      </c>
      <c r="C31" s="44"/>
      <c r="D31" s="32">
        <f>D30*1000000/Shares</f>
        <v>99.028329027653498</v>
      </c>
      <c r="F31" s="43" t="s">
        <v>33</v>
      </c>
      <c r="G31" s="35"/>
      <c r="H31" s="58">
        <f>r_f + Beta*(MRP - r_f)</f>
        <v>0.10702399999999998</v>
      </c>
      <c r="I31" s="59" t="s">
        <v>0</v>
      </c>
      <c r="J31" s="37">
        <v>1.4999999999999999E-2</v>
      </c>
      <c r="K31" s="38"/>
      <c r="L31" s="38"/>
      <c r="P31" s="24"/>
      <c r="R31" s="73" t="s">
        <v>143</v>
      </c>
      <c r="S31" s="73"/>
      <c r="T31" s="73"/>
      <c r="U31" s="73"/>
      <c r="V31" s="73"/>
      <c r="W31" s="73"/>
      <c r="X31" s="73"/>
    </row>
    <row r="32" spans="1:24" ht="26.5" customHeight="1" x14ac:dyDescent="0.35">
      <c r="D32" s="41"/>
      <c r="H32" s="36"/>
      <c r="I32" s="2"/>
      <c r="J32" s="57"/>
      <c r="P32" s="24"/>
      <c r="R32" s="75" t="s">
        <v>132</v>
      </c>
      <c r="S32" s="61">
        <f>EV</f>
        <v>50594.749131500415</v>
      </c>
      <c r="T32" s="64">
        <f t="shared" ref="T32" si="14">U32-0.0025</f>
        <v>6.7261005660300063E-2</v>
      </c>
      <c r="U32" s="64">
        <f>V32-0.0025</f>
        <v>6.9761005660300066E-2</v>
      </c>
      <c r="V32" s="64">
        <v>7.2261005660300068E-2</v>
      </c>
      <c r="W32" s="64">
        <f>V32+0.0025</f>
        <v>7.476100566030007E-2</v>
      </c>
      <c r="X32" s="64">
        <f t="shared" ref="X32" si="15">W32+0.0025</f>
        <v>7.7261005660300072E-2</v>
      </c>
    </row>
    <row r="33" spans="1:26" ht="25" customHeight="1" x14ac:dyDescent="0.35">
      <c r="P33" s="24"/>
      <c r="R33" s="75"/>
      <c r="S33" s="62">
        <f t="shared" ref="S33" si="16">ROUND(S34+0.005,3)</f>
        <v>0.11600000000000001</v>
      </c>
      <c r="T33" s="60">
        <f t="dataTable" ref="T33:X37" dt2D="1" dtr="1" r1="O26" r2="J30"/>
        <v>46214.009676445552</v>
      </c>
      <c r="U33" s="60">
        <v>45982.865464350005</v>
      </c>
      <c r="V33" s="60">
        <v>45751.721252254465</v>
      </c>
      <c r="W33" s="60">
        <v>45520.577040158911</v>
      </c>
      <c r="X33" s="60">
        <v>45289.432828063378</v>
      </c>
    </row>
    <row r="34" spans="1:26" ht="25" customHeight="1" x14ac:dyDescent="0.35">
      <c r="P34" s="24"/>
      <c r="R34" s="75"/>
      <c r="S34" s="62">
        <f>ROUND(S35+0.005,3)</f>
        <v>0.111</v>
      </c>
      <c r="T34" s="60">
        <v>48657.72383517342</v>
      </c>
      <c r="U34" s="65">
        <v>48414.233951289265</v>
      </c>
      <c r="V34" s="65">
        <v>48170.744067405103</v>
      </c>
      <c r="W34" s="65">
        <v>47927.254183520927</v>
      </c>
      <c r="X34" s="60">
        <v>47683.764299636772</v>
      </c>
      <c r="Y34" s="4"/>
      <c r="Z34" s="4"/>
    </row>
    <row r="35" spans="1:26" ht="25" customHeight="1" x14ac:dyDescent="0.35">
      <c r="P35" s="24"/>
      <c r="R35" s="75"/>
      <c r="S35" s="63">
        <v>0.10646383126742215</v>
      </c>
      <c r="T35" s="60">
        <v>51106.476174446885</v>
      </c>
      <c r="U35" s="65">
        <v>50850.61265297365</v>
      </c>
      <c r="V35" s="67">
        <v>50594.749131500415</v>
      </c>
      <c r="W35" s="65">
        <v>50338.885610027173</v>
      </c>
      <c r="X35" s="60">
        <v>50083.022088553946</v>
      </c>
    </row>
    <row r="36" spans="1:26" s="4" customFormat="1" ht="25" customHeight="1" x14ac:dyDescent="0.35">
      <c r="A36"/>
      <c r="B36"/>
      <c r="C36"/>
      <c r="D36"/>
      <c r="E36"/>
      <c r="F36"/>
      <c r="G36"/>
      <c r="H36"/>
      <c r="I36"/>
      <c r="P36" s="69"/>
      <c r="R36" s="75"/>
      <c r="S36" s="62">
        <f>S35-0.005</f>
        <v>0.10146383126742214</v>
      </c>
      <c r="T36" s="60">
        <v>54104.002717792369</v>
      </c>
      <c r="U36" s="65">
        <v>53832.98957883472</v>
      </c>
      <c r="V36" s="65">
        <v>53561.976439877079</v>
      </c>
      <c r="W36" s="65">
        <v>53290.963300919429</v>
      </c>
      <c r="X36" s="60">
        <v>53019.950161961795</v>
      </c>
      <c r="Y36"/>
      <c r="Z36"/>
    </row>
    <row r="37" spans="1:26" ht="25" customHeight="1" x14ac:dyDescent="0.35">
      <c r="P37" s="24"/>
      <c r="R37" s="75"/>
      <c r="S37" s="62">
        <f t="shared" ref="S37" si="17">S36-0.005</f>
        <v>9.646383126742214E-2</v>
      </c>
      <c r="T37" s="60">
        <v>57470.277715298507</v>
      </c>
      <c r="U37" s="60">
        <v>57182.247863086915</v>
      </c>
      <c r="V37" s="60">
        <v>56894.218010875316</v>
      </c>
      <c r="W37" s="60">
        <v>56606.188158663703</v>
      </c>
      <c r="X37" s="60">
        <v>56318.158306452126</v>
      </c>
    </row>
    <row r="38" spans="1:26" ht="12" customHeight="1" x14ac:dyDescent="0.35">
      <c r="P38" s="24"/>
    </row>
    <row r="39" spans="1:26" ht="20.149999999999999" customHeight="1" x14ac:dyDescent="0.35">
      <c r="P39" s="24"/>
      <c r="R39" t="s">
        <v>146</v>
      </c>
    </row>
    <row r="40" spans="1:26" ht="20.149999999999999" customHeight="1" x14ac:dyDescent="0.35">
      <c r="P40" s="24"/>
      <c r="R40" t="s">
        <v>151</v>
      </c>
    </row>
    <row r="41" spans="1:26" ht="20.149999999999999" customHeight="1" x14ac:dyDescent="0.35">
      <c r="P41" s="24"/>
    </row>
    <row r="42" spans="1:26" ht="20.149999999999999" customHeight="1" x14ac:dyDescent="0.35">
      <c r="P42" s="24"/>
      <c r="R42" s="66">
        <v>6</v>
      </c>
      <c r="S42" t="s">
        <v>147</v>
      </c>
    </row>
    <row r="43" spans="1:26" ht="20.149999999999999" customHeight="1" x14ac:dyDescent="0.35">
      <c r="P43" s="24"/>
      <c r="S43" s="2" t="s">
        <v>148</v>
      </c>
    </row>
    <row r="44" spans="1:26" x14ac:dyDescent="0.35">
      <c r="P44" s="24"/>
      <c r="S44" t="s">
        <v>149</v>
      </c>
    </row>
    <row r="45" spans="1:26" x14ac:dyDescent="0.35">
      <c r="P45" s="24"/>
      <c r="S45" t="s">
        <v>150</v>
      </c>
    </row>
  </sheetData>
  <mergeCells count="7">
    <mergeCell ref="R5:X5"/>
    <mergeCell ref="R31:X31"/>
    <mergeCell ref="B24:D24"/>
    <mergeCell ref="F24:J24"/>
    <mergeCell ref="R32:R37"/>
    <mergeCell ref="R24:R29"/>
    <mergeCell ref="R23:X23"/>
  </mergeCells>
  <pageMargins left="0.7" right="0.7" top="0.75" bottom="0.75" header="0.3" footer="0.3"/>
  <pageSetup paperSize="9" scale="46" orientation="portrait" r:id="rId1"/>
  <colBreaks count="2" manualBreakCount="2">
    <brk id="16" max="45" man="1"/>
    <brk id="25" max="45" man="1"/>
  </colBreaks>
  <ignoredErrors>
    <ignoredError sqref="F9:J9"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63FE-6455-4716-82B3-C50935D60D19}">
  <sheetPr>
    <tabColor theme="5" tint="0.59999389629810485"/>
  </sheetPr>
  <dimension ref="B2:R134"/>
  <sheetViews>
    <sheetView tabSelected="1" topLeftCell="A104" zoomScaleNormal="100" zoomScaleSheetLayoutView="75" workbookViewId="0">
      <selection activeCell="W114" sqref="W114"/>
    </sheetView>
  </sheetViews>
  <sheetFormatPr defaultRowHeight="14.5" x14ac:dyDescent="0.35"/>
  <cols>
    <col min="2" max="2" width="10.08984375" customWidth="1"/>
    <col min="4" max="4" width="9.1796875" customWidth="1"/>
    <col min="9" max="9" width="4" customWidth="1"/>
  </cols>
  <sheetData>
    <row r="2" spans="2:18" ht="27" customHeight="1" x14ac:dyDescent="0.35">
      <c r="B2" s="76" t="s">
        <v>152</v>
      </c>
      <c r="C2" s="76"/>
      <c r="D2" s="76"/>
      <c r="E2" s="76"/>
      <c r="F2" s="76"/>
      <c r="G2" s="76"/>
      <c r="H2" s="76"/>
      <c r="J2" s="77" t="s">
        <v>153</v>
      </c>
      <c r="K2" s="77"/>
      <c r="L2" s="77"/>
      <c r="M2" s="77"/>
      <c r="N2" s="77"/>
      <c r="O2" s="77"/>
      <c r="P2" s="77"/>
      <c r="Q2" s="77"/>
      <c r="R2" s="77"/>
    </row>
    <row r="3" spans="2:18" ht="19.5" customHeight="1" x14ac:dyDescent="0.35">
      <c r="B3" s="76"/>
      <c r="C3" s="76"/>
      <c r="D3" s="76"/>
      <c r="E3" s="76"/>
      <c r="F3" s="76"/>
      <c r="G3" s="76"/>
      <c r="H3" s="76"/>
      <c r="J3" s="77"/>
      <c r="K3" s="77"/>
      <c r="L3" s="77"/>
      <c r="M3" s="77"/>
      <c r="N3" s="77"/>
      <c r="O3" s="77"/>
      <c r="P3" s="77"/>
      <c r="Q3" s="77"/>
      <c r="R3" s="77"/>
    </row>
    <row r="4" spans="2:18" ht="14.15" customHeight="1" x14ac:dyDescent="0.35"/>
    <row r="6" spans="2:18" x14ac:dyDescent="0.35">
      <c r="B6" t="s">
        <v>45</v>
      </c>
      <c r="C6" s="24"/>
      <c r="D6" s="30" t="s">
        <v>46</v>
      </c>
    </row>
    <row r="7" spans="2:18" x14ac:dyDescent="0.35">
      <c r="C7" s="24"/>
      <c r="D7" s="30" t="s">
        <v>47</v>
      </c>
    </row>
    <row r="8" spans="2:18" x14ac:dyDescent="0.35">
      <c r="C8" s="24"/>
      <c r="D8" s="30" t="s">
        <v>48</v>
      </c>
    </row>
    <row r="9" spans="2:18" x14ac:dyDescent="0.35">
      <c r="C9" s="24"/>
      <c r="D9" s="30"/>
    </row>
    <row r="10" spans="2:18" x14ac:dyDescent="0.35">
      <c r="C10" s="24"/>
      <c r="D10" s="30" t="s">
        <v>49</v>
      </c>
    </row>
    <row r="11" spans="2:18" x14ac:dyDescent="0.35">
      <c r="C11" s="24"/>
      <c r="D11" s="30" t="s">
        <v>50</v>
      </c>
    </row>
    <row r="12" spans="2:18" x14ac:dyDescent="0.35">
      <c r="C12" s="24"/>
      <c r="D12" s="30" t="s">
        <v>129</v>
      </c>
    </row>
    <row r="15" spans="2:18" x14ac:dyDescent="0.35">
      <c r="B15" t="s">
        <v>77</v>
      </c>
      <c r="D15" s="49" t="s">
        <v>55</v>
      </c>
    </row>
    <row r="16" spans="2:18" x14ac:dyDescent="0.35">
      <c r="D16" s="49" t="s">
        <v>59</v>
      </c>
    </row>
    <row r="17" spans="2:4" x14ac:dyDescent="0.35">
      <c r="D17" s="38"/>
    </row>
    <row r="18" spans="2:4" x14ac:dyDescent="0.35">
      <c r="C18" s="48"/>
      <c r="D18" s="30" t="s">
        <v>56</v>
      </c>
    </row>
    <row r="19" spans="2:4" x14ac:dyDescent="0.35">
      <c r="C19" s="48"/>
      <c r="D19" s="30" t="s">
        <v>57</v>
      </c>
    </row>
    <row r="20" spans="2:4" x14ac:dyDescent="0.35">
      <c r="C20" s="48"/>
      <c r="D20" s="30" t="s">
        <v>58</v>
      </c>
    </row>
    <row r="23" spans="2:4" x14ac:dyDescent="0.35">
      <c r="B23" t="s">
        <v>60</v>
      </c>
      <c r="D23" s="49" t="s">
        <v>61</v>
      </c>
    </row>
    <row r="24" spans="2:4" x14ac:dyDescent="0.35">
      <c r="D24" s="49" t="s">
        <v>62</v>
      </c>
    </row>
    <row r="25" spans="2:4" x14ac:dyDescent="0.35">
      <c r="D25" s="49" t="s">
        <v>63</v>
      </c>
    </row>
    <row r="26" spans="2:4" x14ac:dyDescent="0.35">
      <c r="D26" s="49" t="s">
        <v>64</v>
      </c>
    </row>
    <row r="27" spans="2:4" x14ac:dyDescent="0.35">
      <c r="D27" s="49" t="s">
        <v>65</v>
      </c>
    </row>
    <row r="28" spans="2:4" x14ac:dyDescent="0.35">
      <c r="D28" s="38"/>
    </row>
    <row r="29" spans="2:4" x14ac:dyDescent="0.35">
      <c r="D29" s="49" t="s">
        <v>66</v>
      </c>
    </row>
    <row r="30" spans="2:4" x14ac:dyDescent="0.35">
      <c r="D30" s="49" t="s">
        <v>67</v>
      </c>
    </row>
    <row r="33" spans="2:4" x14ac:dyDescent="0.35">
      <c r="B33" t="s">
        <v>34</v>
      </c>
      <c r="D33" s="49" t="s">
        <v>74</v>
      </c>
    </row>
    <row r="34" spans="2:4" x14ac:dyDescent="0.35">
      <c r="D34" s="49" t="s">
        <v>72</v>
      </c>
    </row>
    <row r="35" spans="2:4" x14ac:dyDescent="0.35">
      <c r="D35" s="49" t="s">
        <v>69</v>
      </c>
    </row>
    <row r="36" spans="2:4" x14ac:dyDescent="0.35">
      <c r="D36" s="49" t="s">
        <v>70</v>
      </c>
    </row>
    <row r="37" spans="2:4" x14ac:dyDescent="0.35">
      <c r="D37" s="49" t="s">
        <v>73</v>
      </c>
    </row>
    <row r="38" spans="2:4" x14ac:dyDescent="0.35">
      <c r="D38" s="49" t="s">
        <v>75</v>
      </c>
    </row>
    <row r="39" spans="2:4" x14ac:dyDescent="0.35">
      <c r="D39" s="49" t="s">
        <v>78</v>
      </c>
    </row>
    <row r="40" spans="2:4" x14ac:dyDescent="0.35">
      <c r="D40" s="49" t="s">
        <v>130</v>
      </c>
    </row>
    <row r="41" spans="2:4" x14ac:dyDescent="0.35">
      <c r="D41" s="49" t="s">
        <v>79</v>
      </c>
    </row>
    <row r="42" spans="2:4" x14ac:dyDescent="0.35">
      <c r="D42" s="30"/>
    </row>
    <row r="44" spans="2:4" x14ac:dyDescent="0.35">
      <c r="B44" t="s">
        <v>6</v>
      </c>
      <c r="D44" s="70" t="s">
        <v>179</v>
      </c>
    </row>
    <row r="45" spans="2:4" x14ac:dyDescent="0.35">
      <c r="D45" s="49" t="s">
        <v>181</v>
      </c>
    </row>
    <row r="46" spans="2:4" x14ac:dyDescent="0.35">
      <c r="D46" s="49" t="s">
        <v>76</v>
      </c>
    </row>
    <row r="47" spans="2:4" x14ac:dyDescent="0.35">
      <c r="D47" s="49" t="s">
        <v>80</v>
      </c>
    </row>
    <row r="48" spans="2:4" x14ac:dyDescent="0.35">
      <c r="D48" s="49" t="s">
        <v>81</v>
      </c>
    </row>
    <row r="51" spans="2:4" x14ac:dyDescent="0.35">
      <c r="B51" t="s">
        <v>82</v>
      </c>
      <c r="D51" s="70" t="s">
        <v>180</v>
      </c>
    </row>
    <row r="52" spans="2:4" x14ac:dyDescent="0.35">
      <c r="D52" s="49" t="s">
        <v>86</v>
      </c>
    </row>
    <row r="53" spans="2:4" x14ac:dyDescent="0.35">
      <c r="D53" s="49" t="s">
        <v>84</v>
      </c>
    </row>
    <row r="54" spans="2:4" x14ac:dyDescent="0.35">
      <c r="D54" s="49" t="s">
        <v>83</v>
      </c>
    </row>
    <row r="55" spans="2:4" x14ac:dyDescent="0.35">
      <c r="D55" s="49" t="s">
        <v>85</v>
      </c>
    </row>
    <row r="56" spans="2:4" x14ac:dyDescent="0.35">
      <c r="D56" s="49" t="s">
        <v>87</v>
      </c>
    </row>
    <row r="59" spans="2:4" x14ac:dyDescent="0.35">
      <c r="B59" t="s">
        <v>88</v>
      </c>
      <c r="D59" s="49" t="s">
        <v>176</v>
      </c>
    </row>
    <row r="60" spans="2:4" x14ac:dyDescent="0.35">
      <c r="D60" s="49" t="s">
        <v>177</v>
      </c>
    </row>
    <row r="61" spans="2:4" x14ac:dyDescent="0.35">
      <c r="D61" s="49" t="s">
        <v>178</v>
      </c>
    </row>
    <row r="62" spans="2:4" x14ac:dyDescent="0.35">
      <c r="D62" s="49" t="s">
        <v>89</v>
      </c>
    </row>
    <row r="63" spans="2:4" x14ac:dyDescent="0.35">
      <c r="D63" s="49" t="s">
        <v>90</v>
      </c>
    </row>
    <row r="64" spans="2:4" x14ac:dyDescent="0.35">
      <c r="D64" s="49" t="s">
        <v>91</v>
      </c>
    </row>
    <row r="65" spans="2:4" x14ac:dyDescent="0.35">
      <c r="D65" s="49" t="s">
        <v>92</v>
      </c>
    </row>
    <row r="66" spans="2:4" x14ac:dyDescent="0.35">
      <c r="D66" s="49" t="s">
        <v>94</v>
      </c>
    </row>
    <row r="67" spans="2:4" x14ac:dyDescent="0.35">
      <c r="D67" s="49" t="s">
        <v>93</v>
      </c>
    </row>
    <row r="68" spans="2:4" x14ac:dyDescent="0.35">
      <c r="D68" s="49" t="s">
        <v>95</v>
      </c>
    </row>
    <row r="69" spans="2:4" x14ac:dyDescent="0.35">
      <c r="D69" s="49" t="s">
        <v>96</v>
      </c>
    </row>
    <row r="71" spans="2:4" x14ac:dyDescent="0.35">
      <c r="D71" s="49" t="s">
        <v>97</v>
      </c>
    </row>
    <row r="72" spans="2:4" x14ac:dyDescent="0.35">
      <c r="D72" s="49" t="s">
        <v>98</v>
      </c>
    </row>
    <row r="75" spans="2:4" x14ac:dyDescent="0.35">
      <c r="B75" t="s">
        <v>36</v>
      </c>
      <c r="D75" s="49" t="s">
        <v>99</v>
      </c>
    </row>
    <row r="76" spans="2:4" x14ac:dyDescent="0.35">
      <c r="D76" s="49" t="s">
        <v>100</v>
      </c>
    </row>
    <row r="78" spans="2:4" x14ac:dyDescent="0.35">
      <c r="D78" s="49" t="s">
        <v>101</v>
      </c>
    </row>
    <row r="79" spans="2:4" x14ac:dyDescent="0.35">
      <c r="D79" s="49" t="s">
        <v>102</v>
      </c>
    </row>
    <row r="80" spans="2:4" x14ac:dyDescent="0.35">
      <c r="D80" s="49" t="s">
        <v>103</v>
      </c>
    </row>
    <row r="83" spans="2:4" x14ac:dyDescent="0.35">
      <c r="B83" t="s">
        <v>109</v>
      </c>
      <c r="D83" s="49" t="s">
        <v>104</v>
      </c>
    </row>
    <row r="84" spans="2:4" x14ac:dyDescent="0.35">
      <c r="D84" s="49" t="s">
        <v>110</v>
      </c>
    </row>
    <row r="86" spans="2:4" x14ac:dyDescent="0.35">
      <c r="D86" s="49" t="s">
        <v>105</v>
      </c>
    </row>
    <row r="87" spans="2:4" x14ac:dyDescent="0.35">
      <c r="D87" s="49" t="s">
        <v>106</v>
      </c>
    </row>
    <row r="88" spans="2:4" x14ac:dyDescent="0.35">
      <c r="D88" s="49" t="s">
        <v>107</v>
      </c>
    </row>
    <row r="89" spans="2:4" x14ac:dyDescent="0.35">
      <c r="D89" s="49" t="s">
        <v>111</v>
      </c>
    </row>
    <row r="90" spans="2:4" x14ac:dyDescent="0.35">
      <c r="D90" s="49" t="s">
        <v>108</v>
      </c>
    </row>
    <row r="93" spans="2:4" x14ac:dyDescent="0.35">
      <c r="B93" t="s">
        <v>112</v>
      </c>
      <c r="D93" s="49" t="s">
        <v>113</v>
      </c>
    </row>
    <row r="94" spans="2:4" x14ac:dyDescent="0.35">
      <c r="D94" s="49" t="s">
        <v>114</v>
      </c>
    </row>
    <row r="95" spans="2:4" x14ac:dyDescent="0.35">
      <c r="D95" s="49" t="s">
        <v>115</v>
      </c>
    </row>
    <row r="98" spans="2:4" x14ac:dyDescent="0.35">
      <c r="B98" t="s">
        <v>122</v>
      </c>
      <c r="D98" s="49" t="s">
        <v>123</v>
      </c>
    </row>
    <row r="99" spans="2:4" x14ac:dyDescent="0.35">
      <c r="D99" s="49" t="s">
        <v>124</v>
      </c>
    </row>
    <row r="100" spans="2:4" x14ac:dyDescent="0.35">
      <c r="D100" s="49" t="s">
        <v>125</v>
      </c>
    </row>
    <row r="101" spans="2:4" x14ac:dyDescent="0.35">
      <c r="D101" s="49" t="s">
        <v>126</v>
      </c>
    </row>
    <row r="102" spans="2:4" x14ac:dyDescent="0.35">
      <c r="D102" s="49" t="s">
        <v>127</v>
      </c>
    </row>
    <row r="103" spans="2:4" x14ac:dyDescent="0.35">
      <c r="D103" s="49" t="s">
        <v>128</v>
      </c>
    </row>
    <row r="106" spans="2:4" x14ac:dyDescent="0.35">
      <c r="B106" t="s">
        <v>27</v>
      </c>
      <c r="D106" s="49" t="s">
        <v>121</v>
      </c>
    </row>
    <row r="107" spans="2:4" x14ac:dyDescent="0.35">
      <c r="D107" s="49" t="s">
        <v>184</v>
      </c>
    </row>
    <row r="108" spans="2:4" x14ac:dyDescent="0.35">
      <c r="D108" s="49" t="s">
        <v>131</v>
      </c>
    </row>
    <row r="110" spans="2:4" x14ac:dyDescent="0.35">
      <c r="B110" t="s">
        <v>183</v>
      </c>
      <c r="D110" s="49" t="s">
        <v>156</v>
      </c>
    </row>
    <row r="111" spans="2:4" x14ac:dyDescent="0.35">
      <c r="D111" s="49" t="s">
        <v>154</v>
      </c>
    </row>
    <row r="112" spans="2:4" x14ac:dyDescent="0.35">
      <c r="D112" s="49" t="s">
        <v>155</v>
      </c>
    </row>
    <row r="113" spans="2:4" x14ac:dyDescent="0.35">
      <c r="D113" s="49" t="s">
        <v>161</v>
      </c>
    </row>
    <row r="114" spans="2:4" x14ac:dyDescent="0.35">
      <c r="D114" s="49" t="s">
        <v>162</v>
      </c>
    </row>
    <row r="115" spans="2:4" x14ac:dyDescent="0.35">
      <c r="D115" s="49" t="s">
        <v>163</v>
      </c>
    </row>
    <row r="116" spans="2:4" x14ac:dyDescent="0.35">
      <c r="D116" s="49" t="s">
        <v>164</v>
      </c>
    </row>
    <row r="117" spans="2:4" x14ac:dyDescent="0.35">
      <c r="D117" s="49" t="s">
        <v>157</v>
      </c>
    </row>
    <row r="118" spans="2:4" x14ac:dyDescent="0.35">
      <c r="D118" s="49" t="s">
        <v>158</v>
      </c>
    </row>
    <row r="119" spans="2:4" x14ac:dyDescent="0.35">
      <c r="D119" s="49" t="s">
        <v>159</v>
      </c>
    </row>
    <row r="121" spans="2:4" x14ac:dyDescent="0.35">
      <c r="B121" t="s">
        <v>182</v>
      </c>
      <c r="D121" s="49" t="s">
        <v>160</v>
      </c>
    </row>
    <row r="122" spans="2:4" x14ac:dyDescent="0.35">
      <c r="D122" s="49" t="s">
        <v>168</v>
      </c>
    </row>
    <row r="123" spans="2:4" x14ac:dyDescent="0.35">
      <c r="D123" s="49" t="s">
        <v>169</v>
      </c>
    </row>
    <row r="124" spans="2:4" x14ac:dyDescent="0.35">
      <c r="D124" s="49" t="s">
        <v>165</v>
      </c>
    </row>
    <row r="125" spans="2:4" x14ac:dyDescent="0.35">
      <c r="D125" s="49" t="s">
        <v>166</v>
      </c>
    </row>
    <row r="126" spans="2:4" x14ac:dyDescent="0.35">
      <c r="D126" s="49" t="s">
        <v>170</v>
      </c>
    </row>
    <row r="127" spans="2:4" x14ac:dyDescent="0.35">
      <c r="D127" s="49" t="s">
        <v>167</v>
      </c>
    </row>
    <row r="128" spans="2:4" x14ac:dyDescent="0.35">
      <c r="D128" s="49" t="s">
        <v>171</v>
      </c>
    </row>
    <row r="129" spans="4:4" x14ac:dyDescent="0.35">
      <c r="D129" s="49" t="s">
        <v>172</v>
      </c>
    </row>
    <row r="130" spans="4:4" x14ac:dyDescent="0.35">
      <c r="D130" s="49" t="s">
        <v>173</v>
      </c>
    </row>
    <row r="131" spans="4:4" x14ac:dyDescent="0.35">
      <c r="D131" s="49" t="s">
        <v>174</v>
      </c>
    </row>
    <row r="132" spans="4:4" x14ac:dyDescent="0.35">
      <c r="D132" s="49" t="s">
        <v>175</v>
      </c>
    </row>
    <row r="134" spans="4:4" x14ac:dyDescent="0.35">
      <c r="D134" t="str">
        <f>"--&gt; Sammantaget är bryggan: Net Debt + NCI - NCA. Vill vi komma från EV till Equity value (vilket är precis vad vi vill I DCF:en) så subtraherar vi helt enkelt bryggan från EV."</f>
        <v>--&gt; Sammantaget är bryggan: Net Debt + NCI - NCA. Vill vi komma från EV till Equity value (vilket är precis vad vi vill I DCF:en) så subtraherar vi helt enkelt bryggan från EV.</v>
      </c>
    </row>
  </sheetData>
  <mergeCells count="2">
    <mergeCell ref="B2:H3"/>
    <mergeCell ref="J2:R3"/>
  </mergeCells>
  <pageMargins left="0.7" right="0.7" top="0.75" bottom="0.75" header="0.3" footer="0.3"/>
  <pageSetup paperSize="9" scale="44" orientation="portrait" r:id="rId1"/>
  <rowBreaks count="1" manualBreakCount="1">
    <brk id="81" max="22" man="1"/>
  </rowBreaks>
  <colBreaks count="1" manualBreakCount="1">
    <brk id="23"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26</vt:i4>
      </vt:variant>
    </vt:vector>
  </HeadingPairs>
  <TitlesOfParts>
    <vt:vector size="28" baseType="lpstr">
      <vt:lpstr>DCF</vt:lpstr>
      <vt:lpstr>Comments</vt:lpstr>
      <vt:lpstr>Beta</vt:lpstr>
      <vt:lpstr>C_d</vt:lpstr>
      <vt:lpstr>C_e</vt:lpstr>
      <vt:lpstr>Cash</vt:lpstr>
      <vt:lpstr>CE</vt:lpstr>
      <vt:lpstr>D</vt:lpstr>
      <vt:lpstr>D_E</vt:lpstr>
      <vt:lpstr>DE</vt:lpstr>
      <vt:lpstr>E</vt:lpstr>
      <vt:lpstr>EBIT_margin</vt:lpstr>
      <vt:lpstr>Equity_bridge</vt:lpstr>
      <vt:lpstr>EV</vt:lpstr>
      <vt:lpstr>Interest_Expense</vt:lpstr>
      <vt:lpstr>MRP</vt:lpstr>
      <vt:lpstr>NCA</vt:lpstr>
      <vt:lpstr>NCI</vt:lpstr>
      <vt:lpstr>Comments!Print_Area</vt:lpstr>
      <vt:lpstr>DCF!Print_Area</vt:lpstr>
      <vt:lpstr>PV_FCFF</vt:lpstr>
      <vt:lpstr>r_f</vt:lpstr>
      <vt:lpstr>Shares</vt:lpstr>
      <vt:lpstr>Tax_rate</vt:lpstr>
      <vt:lpstr>TGR</vt:lpstr>
      <vt:lpstr>TGV</vt:lpstr>
      <vt:lpstr>WACC</vt:lpstr>
      <vt:lpstr>WACC_premium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Stoytchev Sulevani</dc:creator>
  <cp:lastModifiedBy>Robin Stoytchev Sulevani</cp:lastModifiedBy>
  <cp:lastPrinted>2024-04-19T10:01:42Z</cp:lastPrinted>
  <dcterms:created xsi:type="dcterms:W3CDTF">2024-04-05T10:30:30Z</dcterms:created>
  <dcterms:modified xsi:type="dcterms:W3CDTF">2025-02-08T16:44:53Z</dcterms:modified>
</cp:coreProperties>
</file>