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ons" sheetId="1" r:id="rId4"/>
    <sheet state="visible" name="Graph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<sst xmlns="http://schemas.openxmlformats.org/spreadsheetml/2006/main" count="141" uniqueCount="75">
  <si>
    <t>Team Just 'Cuz Robotics Drivetrain Calculations</t>
  </si>
  <si>
    <t>Input</t>
  </si>
  <si>
    <t>Calc</t>
  </si>
  <si>
    <t>TO USE THIS SHEET: FILE &gt; MAKE A COPY,   DO NOT REQUEST EDIT ACCESS</t>
  </si>
  <si>
    <t>Per Motor</t>
  </si>
  <si>
    <t>Assumed 2WD is 25% weight</t>
  </si>
  <si>
    <t>20% Added</t>
  </si>
  <si>
    <t>Imperial</t>
  </si>
  <si>
    <t>Metric</t>
  </si>
  <si>
    <t>Team Tentacle Calculator</t>
  </si>
  <si>
    <t>Wheel/Bot Info</t>
  </si>
  <si>
    <t>Wheel Diam (in)</t>
  </si>
  <si>
    <t>Co. Fr</t>
  </si>
  <si>
    <t>Robot Eff. Weight (lb)</t>
  </si>
  <si>
    <t>Num Wheels</t>
  </si>
  <si>
    <t>Num Drive Motors Total</t>
  </si>
  <si>
    <t>Weight Per Wheel (lb)</t>
  </si>
  <si>
    <t>Max Tire Force (lbf)</t>
  </si>
  <si>
    <t>Min Torque To Spin (ozf-in)</t>
  </si>
  <si>
    <t>Min Torque To Spin (Nm)</t>
  </si>
  <si>
    <t>Theoretical Speed @ Chosen Ratio</t>
  </si>
  <si>
    <t>Team Tentacle Values</t>
  </si>
  <si>
    <t>Brushless Motor Info</t>
  </si>
  <si>
    <t>Rated Voltage</t>
  </si>
  <si>
    <t>Stall Current</t>
  </si>
  <si>
    <t>kV (RPM/Volt)</t>
  </si>
  <si>
    <t>Est. Stall Torque (Nm)</t>
  </si>
  <si>
    <t>Est. Stall Torque (ozf-in)</t>
  </si>
  <si>
    <t>Bot Voltage</t>
  </si>
  <si>
    <t>Max RPM</t>
  </si>
  <si>
    <t>1.5X Ratio</t>
  </si>
  <si>
    <t>Chosen Ratio</t>
  </si>
  <si>
    <t>(ft/s)</t>
  </si>
  <si>
    <t>(m/s)</t>
  </si>
  <si>
    <t>(mph)</t>
  </si>
  <si>
    <t>RPM/Volt</t>
  </si>
  <si>
    <t>oz-in/amp</t>
  </si>
  <si>
    <t>Viper</t>
  </si>
  <si>
    <t>Brushed Motor Info</t>
  </si>
  <si>
    <t>Free RPM @ Rated V</t>
  </si>
  <si>
    <t>Stall Torque (Nm)</t>
  </si>
  <si>
    <t>Stall Torque (ozf-in)</t>
  </si>
  <si>
    <t>Dragon</t>
  </si>
  <si>
    <t>Gecko</t>
  </si>
  <si>
    <t>Unit Conversion Calculator</t>
  </si>
  <si>
    <t>Lipo Voltages</t>
  </si>
  <si>
    <t>From</t>
  </si>
  <si>
    <t>To</t>
  </si>
  <si>
    <t>Cell Count</t>
  </si>
  <si>
    <t>Nominal</t>
  </si>
  <si>
    <t>Full Charge</t>
  </si>
  <si>
    <t>ozf-in</t>
  </si>
  <si>
    <t>Nm</t>
  </si>
  <si>
    <t>ft-lbf</t>
  </si>
  <si>
    <t>in</t>
  </si>
  <si>
    <t>mm</t>
  </si>
  <si>
    <t>lb</t>
  </si>
  <si>
    <t>kg</t>
  </si>
  <si>
    <t>kg-cm</t>
  </si>
  <si>
    <t>RPM</t>
  </si>
  <si>
    <t>Current</t>
  </si>
  <si>
    <t>Torque</t>
  </si>
  <si>
    <t>Spd %</t>
  </si>
  <si>
    <t>Max Traction</t>
  </si>
  <si>
    <t>Motor Config</t>
  </si>
  <si>
    <t>Ratio</t>
  </si>
  <si>
    <t>Ungeared Motor RPM</t>
  </si>
  <si>
    <t>Geared Motor RPM</t>
  </si>
  <si>
    <t>Ungeared  Stall Torque (ozf-in)</t>
  </si>
  <si>
    <t>Geared Stall Torque (ozf-in)</t>
  </si>
  <si>
    <t>UnGeared oz-in/A</t>
  </si>
  <si>
    <t>Geared oz-in/A</t>
  </si>
  <si>
    <t>DartBox Drive, Viper</t>
  </si>
  <si>
    <t>DartBox Drive, Dragon</t>
  </si>
  <si>
    <t>DartBox HR, Viper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</si>
</sst>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"/>
    <numFmt numFmtId="166" formatCode="0.00000"/>
    <numFmt numFmtId="167" formatCode="0.0000"/>
  </numFmts>
  <fonts count="16">
    <font>
      <sz val="11.0"/>
      <color theme="1"/>
      <name val="Calibri"/>
      <scheme val="minor"/>
    </font>
    <font>
      <b/>
      <sz val="11.0"/>
      <color theme="1"/>
      <name val="Ubuntu"/>
    </font>
    <font>
      <sz val="11.0"/>
      <color rgb="FF006100"/>
      <name val="Ubuntu"/>
    </font>
    <font>
      <b/>
      <sz val="11.0"/>
      <color rgb="FFFA7D00"/>
      <name val="Ubuntu"/>
    </font>
    <font>
      <b/>
      <sz val="10.0"/>
      <color theme="0"/>
      <name val="Ubuntu"/>
    </font>
    <font>
      <sz val="11.0"/>
      <color rgb="FF000000"/>
      <name val="Ubuntu"/>
    </font>
    <font>
      <sz val="11.0"/>
      <color theme="1"/>
      <name val="Ubuntu"/>
    </font>
    <font>
      <color theme="1"/>
      <name val="Ubuntu"/>
    </font>
    <font/>
    <font>
      <u/>
      <sz val="11.0"/>
      <color rgb="FF1155CC"/>
      <name val="Ubuntu"/>
    </font>
    <font>
      <b/>
      <sz val="11.0"/>
      <color rgb="FF000000"/>
      <name val="Ubuntu"/>
    </font>
    <font>
      <i/>
      <sz val="11.0"/>
      <color rgb="FF000000"/>
      <name val="Ubuntu"/>
    </font>
    <font>
      <sz val="11.0"/>
      <color theme="1"/>
      <name val="Calibri"/>
    </font>
    <font>
      <b/>
      <sz val="11.0"/>
      <color rgb="FF006100"/>
      <name val="Ubuntu"/>
    </font>
    <font>
      <b/>
      <color theme="1"/>
      <name val="Calibri"/>
      <scheme val="minor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7F7F7F"/>
      </right>
      <bottom style="thin">
        <color rgb="FF7F7F7F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2" fontId="2" numFmtId="0" xfId="0" applyAlignment="1" applyBorder="1" applyFill="1" applyFont="1">
      <alignment horizontal="center"/>
    </xf>
    <xf borderId="3" fillId="3" fontId="3" numFmtId="0" xfId="0" applyAlignment="1" applyBorder="1" applyFill="1" applyFont="1">
      <alignment horizontal="center"/>
    </xf>
    <xf borderId="0" fillId="4" fontId="4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Font="1"/>
    <xf borderId="0" fillId="0" fontId="7" numFmtId="0" xfId="0" applyFont="1"/>
    <xf borderId="4" fillId="0" fontId="8" numFmtId="0" xfId="0" applyBorder="1" applyFont="1"/>
    <xf borderId="0" fillId="0" fontId="6" numFmtId="0" xfId="0" applyAlignment="1" applyFont="1">
      <alignment horizontal="center"/>
    </xf>
    <xf borderId="0" fillId="0" fontId="9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5" fillId="0" fontId="10" numFmtId="0" xfId="0" applyAlignment="1" applyBorder="1" applyFont="1">
      <alignment horizontal="center" readingOrder="0" shrinkToFit="0" wrapText="1"/>
    </xf>
    <xf borderId="0" fillId="0" fontId="6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5" fillId="2" fontId="2" numFmtId="0" xfId="0" applyAlignment="1" applyBorder="1" applyFont="1">
      <alignment readingOrder="0"/>
    </xf>
    <xf borderId="5" fillId="3" fontId="3" numFmtId="164" xfId="0" applyBorder="1" applyFont="1" applyNumberFormat="1"/>
    <xf borderId="5" fillId="3" fontId="3" numFmtId="2" xfId="0" applyBorder="1" applyFont="1" applyNumberFormat="1"/>
    <xf borderId="0" fillId="0" fontId="11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6" fillId="0" fontId="10" numFmtId="0" xfId="0" applyAlignment="1" applyBorder="1" applyFont="1">
      <alignment horizontal="center" readingOrder="0"/>
    </xf>
    <xf borderId="7" fillId="0" fontId="8" numFmtId="0" xfId="0" applyBorder="1" applyFont="1"/>
    <xf borderId="8" fillId="0" fontId="8" numFmtId="0" xfId="0" applyBorder="1" applyFont="1"/>
    <xf borderId="6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5" fillId="2" fontId="2" numFmtId="165" xfId="0" applyAlignment="1" applyBorder="1" applyFont="1" applyNumberFormat="1">
      <alignment readingOrder="0"/>
    </xf>
    <xf borderId="5" fillId="3" fontId="3" numFmtId="0" xfId="0" applyBorder="1" applyFont="1"/>
    <xf borderId="5" fillId="2" fontId="2" numFmtId="164" xfId="0" applyAlignment="1" applyBorder="1" applyFont="1" applyNumberFormat="1">
      <alignment readingOrder="0"/>
    </xf>
    <xf borderId="3" fillId="3" fontId="3" numFmtId="165" xfId="0" applyBorder="1" applyFont="1" applyNumberFormat="1"/>
    <xf borderId="3" fillId="3" fontId="3" numFmtId="164" xfId="0" applyBorder="1" applyFont="1" applyNumberFormat="1"/>
    <xf borderId="0" fillId="0" fontId="6" numFmtId="0" xfId="0" applyAlignment="1" applyFont="1">
      <alignment readingOrder="0"/>
    </xf>
    <xf borderId="5" fillId="3" fontId="3" numFmtId="1" xfId="0" applyBorder="1" applyFont="1" applyNumberFormat="1"/>
    <xf borderId="9" fillId="0" fontId="6" numFmtId="0" xfId="0" applyAlignment="1" applyBorder="1" applyFont="1">
      <alignment readingOrder="0" vertical="bottom"/>
    </xf>
    <xf borderId="9" fillId="0" fontId="12" numFmtId="0" xfId="0" applyAlignment="1" applyBorder="1" applyFont="1">
      <alignment vertical="bottom"/>
    </xf>
    <xf borderId="9" fillId="0" fontId="6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10" fillId="0" fontId="1" numFmtId="0" xfId="0" applyAlignment="1" applyBorder="1" applyFont="1">
      <alignment horizontal="center" shrinkToFit="0" vertical="bottom" wrapText="1"/>
    </xf>
    <xf borderId="10" fillId="2" fontId="2" numFmtId="165" xfId="0" applyAlignment="1" applyBorder="1" applyFont="1" applyNumberFormat="1">
      <alignment horizontal="right" readingOrder="0" vertical="bottom"/>
    </xf>
    <xf borderId="10" fillId="2" fontId="2" numFmtId="0" xfId="0" applyAlignment="1" applyBorder="1" applyFont="1">
      <alignment horizontal="right" readingOrder="0" vertical="bottom"/>
    </xf>
    <xf borderId="10" fillId="3" fontId="3" numFmtId="164" xfId="0" applyAlignment="1" applyBorder="1" applyFont="1" applyNumberFormat="1">
      <alignment horizontal="right" vertical="bottom"/>
    </xf>
    <xf borderId="10" fillId="2" fontId="2" numFmtId="164" xfId="0" applyAlignment="1" applyBorder="1" applyFont="1" applyNumberFormat="1">
      <alignment horizontal="right" readingOrder="0" vertical="bottom"/>
    </xf>
    <xf borderId="10" fillId="3" fontId="3" numFmtId="1" xfId="0" applyAlignment="1" applyBorder="1" applyFont="1" applyNumberFormat="1">
      <alignment horizontal="right" vertical="bottom"/>
    </xf>
    <xf borderId="10" fillId="2" fontId="2" numFmtId="164" xfId="0" applyAlignment="1" applyBorder="1" applyFont="1" applyNumberFormat="1">
      <alignment horizontal="right" vertical="bottom"/>
    </xf>
    <xf borderId="11" fillId="3" fontId="3" numFmtId="165" xfId="0" applyAlignment="1" applyBorder="1" applyFont="1" applyNumberFormat="1">
      <alignment horizontal="right" vertical="bottom"/>
    </xf>
    <xf borderId="11" fillId="3" fontId="3" numFmtId="164" xfId="0" applyAlignment="1" applyBorder="1" applyFont="1" applyNumberFormat="1">
      <alignment horizontal="right" vertical="bottom"/>
    </xf>
    <xf borderId="6" fillId="2" fontId="13" numFmtId="0" xfId="0" applyAlignment="1" applyBorder="1" applyFont="1">
      <alignment horizontal="center"/>
    </xf>
    <xf borderId="6" fillId="3" fontId="3" numFmtId="0" xfId="0" applyAlignment="1" applyBorder="1" applyFont="1">
      <alignment horizontal="center"/>
    </xf>
    <xf borderId="5" fillId="0" fontId="10" numFmtId="0" xfId="0" applyAlignment="1" applyBorder="1" applyFont="1">
      <alignment horizontal="center" readingOrder="0"/>
    </xf>
    <xf borderId="5" fillId="0" fontId="6" numFmtId="0" xfId="0" applyBorder="1" applyFont="1"/>
    <xf borderId="5" fillId="3" fontId="3" numFmtId="166" xfId="0" applyBorder="1" applyFont="1" applyNumberFormat="1"/>
    <xf borderId="5" fillId="0" fontId="5" numFmtId="0" xfId="0" applyAlignment="1" applyBorder="1" applyFont="1">
      <alignment readingOrder="0"/>
    </xf>
    <xf borderId="5" fillId="0" fontId="5" numFmtId="165" xfId="0" applyAlignment="1" applyBorder="1" applyFont="1" applyNumberFormat="1">
      <alignment readingOrder="0"/>
    </xf>
    <xf borderId="5" fillId="0" fontId="6" numFmtId="165" xfId="0" applyBorder="1" applyFont="1" applyNumberFormat="1"/>
    <xf borderId="5" fillId="0" fontId="6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5" fontId="14" numFmtId="0" xfId="0" applyAlignment="1" applyFill="1" applyFont="1">
      <alignment horizontal="center"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167" xfId="0" applyAlignment="1" applyFont="1" applyNumberFormat="1">
      <alignment readingOrder="0"/>
    </xf>
    <xf borderId="0" fillId="0" fontId="15" numFmtId="0" xfId="0" applyFont="1"/>
    <xf borderId="0" fillId="5" fontId="14" numFmtId="0" xfId="0" applyAlignment="1" applyFont="1">
      <alignment horizontal="center" readingOrder="0" shrinkToFit="0" wrapText="1"/>
    </xf>
    <xf borderId="0" fillId="0" fontId="15" numFmtId="0" xfId="0" applyAlignment="1" applyFont="1">
      <alignment shrinkToFit="0" wrapText="1"/>
    </xf>
    <xf borderId="0" fillId="0" fontId="15" numFmtId="1" xfId="0" applyAlignment="1" applyFont="1" applyNumberFormat="1">
      <alignment readingOrder="0"/>
    </xf>
    <xf borderId="0" fillId="0" fontId="15" numFmtId="1" xfId="0" applyFont="1" applyNumberFormat="1"/>
    <xf borderId="0" fillId="0" fontId="15" numFmtId="167" xfId="0" applyFont="1" applyNumberFormat="1"/>
    <xf borderId="0" fillId="6" fontId="15" numFmtId="0" xfId="0" applyAlignment="1" applyFill="1" applyFont="1">
      <alignment readingOrder="0"/>
    </xf>
    <xf borderId="0" fillId="6" fontId="15" numFmtId="1" xfId="0" applyAlignment="1" applyFont="1" applyNumberFormat="1">
      <alignment readingOrder="0"/>
    </xf>
    <xf borderId="0" fillId="6" fontId="15" numFmtId="1" xfId="0" applyFont="1" applyNumberFormat="1"/>
    <xf borderId="0" fillId="6" fontId="15" numFmtId="167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Current, Torque and Speed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Graph!$B$1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Graph!$A$2:$A$27</c:f>
            </c:strRef>
          </c:cat>
          <c:val>
            <c:numRef>
              <c:f>Graph!$B$2:$B$27</c:f>
              <c:numCache/>
            </c:numRef>
          </c:val>
          <c:smooth val="0"/>
        </c:ser>
        <c:ser>
          <c:idx val="2"/>
          <c:order val="2"/>
          <c:tx>
            <c:strRef>
              <c:f>Graph!$E$1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Graph!$A$2:$A$27</c:f>
            </c:strRef>
          </c:cat>
          <c:val>
            <c:numRef>
              <c:f>Graph!$E$2:$E$27</c:f>
              <c:numCache/>
            </c:numRef>
          </c:val>
          <c:smooth val="0"/>
        </c:ser>
        <c:axId val="123899276"/>
        <c:axId val="518679954"/>
      </c:lineChart>
      <c:catAx>
        <c:axId val="123899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679954"/>
      </c:catAx>
      <c:valAx>
        <c:axId val="51867995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3899276"/>
      </c:valAx>
      <c:lineChart>
        <c:varyColors val="0"/>
        <c:ser>
          <c:idx val="1"/>
          <c:order val="1"/>
          <c:tx>
            <c:strRef>
              <c:f>Graph!$C$1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Graph!$A$2:$A$27</c:f>
            </c:strRef>
          </c:cat>
          <c:val>
            <c:numRef>
              <c:f>Graph!$C$2:$C$27</c:f>
              <c:numCache/>
            </c:numRef>
          </c:val>
          <c:smooth val="0"/>
        </c:ser>
        <c:axId val="28175739"/>
        <c:axId val="398094157"/>
      </c:lineChart>
      <c:catAx>
        <c:axId val="281757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094157"/>
      </c:catAx>
      <c:valAx>
        <c:axId val="398094157"/>
        <c:scaling>
          <c:orientation val="minMax"/>
          <c:max val="2.2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Torque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757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2</xdr:row>
      <xdr:rowOff>133350</xdr:rowOff>
    </xdr:from>
    <xdr:ext cx="7334250" cy="4533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unamok.tech/squid/newtorquecalc.ht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0.71"/>
    <col customWidth="1" min="3" max="3" width="9.86"/>
    <col customWidth="1" min="4" max="4" width="14.14"/>
    <col customWidth="1" min="5" max="5" width="16.0"/>
    <col customWidth="1" min="6" max="6" width="17.14"/>
    <col customWidth="1" min="7" max="7" width="13.71"/>
    <col customWidth="1" min="8" max="8" width="14.71"/>
    <col customWidth="1" min="9" max="10" width="16.14"/>
    <col customWidth="1" min="11" max="11" width="11.57"/>
    <col customWidth="1" min="12" max="12" width="13.0"/>
    <col customWidth="1" min="13" max="13" width="12.43"/>
    <col customWidth="1" min="14" max="15" width="12.71"/>
    <col customWidth="1" min="16" max="26" width="8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I1" s="5" t="s">
        <v>4</v>
      </c>
      <c r="K1" s="6"/>
      <c r="L1" s="6"/>
      <c r="M1" s="6"/>
      <c r="N1" s="6"/>
      <c r="O1" s="6"/>
      <c r="P1" s="6"/>
      <c r="Q1" s="7"/>
      <c r="R1" s="7"/>
      <c r="S1" s="7"/>
      <c r="T1" s="7"/>
    </row>
    <row r="2">
      <c r="A2" s="8"/>
      <c r="B2" s="6"/>
      <c r="C2" s="6"/>
      <c r="D2" s="5" t="s">
        <v>5</v>
      </c>
      <c r="F2" s="6"/>
      <c r="G2" s="9" t="s">
        <v>6</v>
      </c>
      <c r="H2" s="9"/>
      <c r="I2" s="9" t="s">
        <v>7</v>
      </c>
      <c r="J2" s="9" t="s">
        <v>8</v>
      </c>
      <c r="K2" s="6"/>
      <c r="L2" s="6"/>
      <c r="M2" s="6"/>
      <c r="N2" s="10" t="s">
        <v>9</v>
      </c>
      <c r="P2" s="6"/>
      <c r="Q2" s="7"/>
      <c r="R2" s="7"/>
      <c r="S2" s="7"/>
      <c r="T2" s="7"/>
    </row>
    <row r="3" ht="30.0" customHeight="1">
      <c r="A3" s="11" t="s">
        <v>10</v>
      </c>
      <c r="B3" s="12" t="s">
        <v>11</v>
      </c>
      <c r="C3" s="12" t="s">
        <v>12</v>
      </c>
      <c r="D3" s="12" t="s">
        <v>13</v>
      </c>
      <c r="E3" s="12" t="s">
        <v>14</v>
      </c>
      <c r="F3" s="13" t="s">
        <v>15</v>
      </c>
      <c r="G3" s="12" t="s">
        <v>16</v>
      </c>
      <c r="H3" s="12" t="s">
        <v>17</v>
      </c>
      <c r="I3" s="13" t="s">
        <v>18</v>
      </c>
      <c r="J3" s="12" t="s">
        <v>19</v>
      </c>
      <c r="K3" s="6"/>
      <c r="M3" s="14"/>
      <c r="N3" s="14"/>
      <c r="O3" s="14"/>
      <c r="P3" s="14"/>
      <c r="Q3" s="14"/>
      <c r="R3" s="14"/>
      <c r="S3" s="14"/>
      <c r="T3" s="14"/>
      <c r="U3" s="15"/>
      <c r="V3" s="15"/>
      <c r="W3" s="15"/>
      <c r="X3" s="15"/>
      <c r="Y3" s="15"/>
      <c r="Z3" s="15"/>
    </row>
    <row r="4">
      <c r="A4" s="8"/>
      <c r="B4" s="16">
        <v>3.0</v>
      </c>
      <c r="C4" s="16">
        <v>0.8</v>
      </c>
      <c r="D4" s="16">
        <v>12.0</v>
      </c>
      <c r="E4" s="16">
        <v>4.0</v>
      </c>
      <c r="F4" s="16">
        <v>2.0</v>
      </c>
      <c r="G4" s="17">
        <f>IF(E4&lt;&gt;2,1.2*D4/E4,0.3*D4)</f>
        <v>3.6</v>
      </c>
      <c r="H4" s="17">
        <f>G4*C4</f>
        <v>2.88</v>
      </c>
      <c r="I4" s="18">
        <f>H4*B4/2 *16 *E4/F4 </f>
        <v>138.24</v>
      </c>
      <c r="J4" s="17">
        <f>I4/141.6</f>
        <v>0.9762711864</v>
      </c>
      <c r="K4" s="6"/>
      <c r="L4" s="6"/>
      <c r="M4" s="6"/>
      <c r="N4" s="6"/>
      <c r="O4" s="6"/>
      <c r="P4" s="6"/>
      <c r="Q4" s="7"/>
      <c r="R4" s="7"/>
      <c r="S4" s="7"/>
      <c r="T4" s="7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7"/>
      <c r="S5" s="7"/>
      <c r="T5" s="7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9" t="str">
        <f>if(M9&lt;5, "Very Slow!", "Good")</f>
        <v>Good</v>
      </c>
      <c r="N6" s="6"/>
      <c r="O6" s="6"/>
      <c r="P6" s="6"/>
      <c r="Q6" s="7"/>
      <c r="R6" s="7"/>
      <c r="S6" s="7"/>
      <c r="T6" s="7"/>
    </row>
    <row r="7">
      <c r="A7" s="20"/>
      <c r="B7" s="6"/>
      <c r="C7" s="6"/>
      <c r="D7" s="6"/>
      <c r="E7" s="9" t="s">
        <v>8</v>
      </c>
      <c r="F7" s="9" t="s">
        <v>7</v>
      </c>
      <c r="G7" s="6"/>
      <c r="H7" s="6"/>
      <c r="I7" s="6"/>
      <c r="J7" s="19" t="str">
        <f>if(J9&lt;I9, "Too Low!", "Good")</f>
        <v>Too Low!</v>
      </c>
      <c r="K7" s="21" t="s">
        <v>20</v>
      </c>
      <c r="L7" s="22"/>
      <c r="M7" s="23"/>
      <c r="N7" s="24" t="s">
        <v>21</v>
      </c>
      <c r="O7" s="23"/>
      <c r="P7" s="6"/>
      <c r="Q7" s="7"/>
      <c r="R7" s="7"/>
      <c r="S7" s="7"/>
      <c r="T7" s="7"/>
    </row>
    <row r="8" ht="30.0" customHeight="1">
      <c r="A8" s="25" t="s">
        <v>22</v>
      </c>
      <c r="B8" s="12" t="s">
        <v>23</v>
      </c>
      <c r="C8" s="12" t="s">
        <v>24</v>
      </c>
      <c r="D8" s="13" t="s">
        <v>25</v>
      </c>
      <c r="E8" s="12" t="s">
        <v>26</v>
      </c>
      <c r="F8" s="13" t="s">
        <v>27</v>
      </c>
      <c r="G8" s="12" t="s">
        <v>28</v>
      </c>
      <c r="H8" s="12" t="s">
        <v>29</v>
      </c>
      <c r="I8" s="12" t="s">
        <v>30</v>
      </c>
      <c r="J8" s="12" t="s">
        <v>31</v>
      </c>
      <c r="K8" s="12" t="s">
        <v>32</v>
      </c>
      <c r="L8" s="12" t="s">
        <v>33</v>
      </c>
      <c r="M8" s="12" t="s">
        <v>34</v>
      </c>
      <c r="N8" s="12" t="s">
        <v>35</v>
      </c>
      <c r="O8" s="12" t="s">
        <v>36</v>
      </c>
      <c r="P8" s="26"/>
      <c r="Q8" s="26"/>
      <c r="R8" s="26"/>
      <c r="S8" s="27"/>
      <c r="T8" s="27"/>
    </row>
    <row r="9">
      <c r="A9" s="8"/>
      <c r="B9" s="28">
        <v>12.0</v>
      </c>
      <c r="C9" s="16">
        <v>12.0</v>
      </c>
      <c r="D9" s="16">
        <v>2200.0</v>
      </c>
      <c r="E9" s="17">
        <f>8.3*C9/D9</f>
        <v>0.04527272727</v>
      </c>
      <c r="F9" s="17">
        <f>141.6*E9</f>
        <v>6.410618182</v>
      </c>
      <c r="G9" s="28">
        <v>12.0</v>
      </c>
      <c r="H9" s="29">
        <f>G9*D9</f>
        <v>26400</v>
      </c>
      <c r="I9" s="17">
        <f>1.5*$I$4/F9</f>
        <v>32.34633449</v>
      </c>
      <c r="J9" s="30">
        <v>27.0</v>
      </c>
      <c r="K9" s="17">
        <f>H9/J9*B4*PI()/12/60</f>
        <v>12.79908118</v>
      </c>
      <c r="L9" s="17">
        <f>0.3048*K9</f>
        <v>3.901159944</v>
      </c>
      <c r="M9" s="17">
        <f>0.6818*K9</f>
        <v>8.726413549</v>
      </c>
      <c r="N9" s="31">
        <f>D9</f>
        <v>2200</v>
      </c>
      <c r="O9" s="32">
        <f>F9/C9</f>
        <v>0.5342181818</v>
      </c>
      <c r="P9" s="6"/>
      <c r="Q9" s="7"/>
      <c r="R9" s="7"/>
      <c r="S9" s="7"/>
      <c r="T9" s="7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7"/>
      <c r="S10" s="7"/>
      <c r="T10" s="7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19" t="str">
        <f>if(M14&lt;5, "Very Slow!", "Good")</f>
        <v>Good</v>
      </c>
      <c r="N11" s="6"/>
      <c r="O11" s="6"/>
      <c r="P11" s="6"/>
      <c r="Q11" s="7"/>
      <c r="R11" s="7"/>
      <c r="S11" s="7"/>
      <c r="T11" s="7"/>
    </row>
    <row r="12">
      <c r="A12" s="33" t="s">
        <v>37</v>
      </c>
      <c r="B12" s="6"/>
      <c r="C12" s="6"/>
      <c r="D12" s="6"/>
      <c r="E12" s="9" t="s">
        <v>8</v>
      </c>
      <c r="F12" s="9" t="s">
        <v>7</v>
      </c>
      <c r="G12" s="6"/>
      <c r="H12" s="6"/>
      <c r="I12" s="6"/>
      <c r="J12" s="19" t="str">
        <f>if(J14&lt;I14, "Too Low!", "Good")</f>
        <v>Too Low!</v>
      </c>
      <c r="K12" s="21" t="s">
        <v>20</v>
      </c>
      <c r="L12" s="22"/>
      <c r="M12" s="23"/>
      <c r="N12" s="24" t="s">
        <v>21</v>
      </c>
      <c r="O12" s="23"/>
      <c r="P12" s="6"/>
      <c r="Q12" s="7"/>
      <c r="R12" s="7"/>
      <c r="S12" s="7"/>
      <c r="T12" s="7"/>
    </row>
    <row r="13">
      <c r="A13" s="25" t="s">
        <v>38</v>
      </c>
      <c r="B13" s="12" t="s">
        <v>23</v>
      </c>
      <c r="C13" s="12" t="s">
        <v>24</v>
      </c>
      <c r="D13" s="13" t="s">
        <v>39</v>
      </c>
      <c r="E13" s="12" t="s">
        <v>40</v>
      </c>
      <c r="F13" s="13" t="s">
        <v>41</v>
      </c>
      <c r="G13" s="12" t="s">
        <v>28</v>
      </c>
      <c r="H13" s="12" t="s">
        <v>29</v>
      </c>
      <c r="I13" s="12" t="s">
        <v>30</v>
      </c>
      <c r="J13" s="12" t="s">
        <v>31</v>
      </c>
      <c r="K13" s="12" t="s">
        <v>32</v>
      </c>
      <c r="L13" s="12" t="s">
        <v>33</v>
      </c>
      <c r="M13" s="12" t="s">
        <v>34</v>
      </c>
      <c r="N13" s="12" t="s">
        <v>35</v>
      </c>
      <c r="O13" s="12" t="s">
        <v>36</v>
      </c>
      <c r="P13" s="6"/>
      <c r="Q13" s="7"/>
      <c r="R13" s="7"/>
      <c r="S13" s="7"/>
      <c r="T13" s="7"/>
    </row>
    <row r="14">
      <c r="A14" s="8"/>
      <c r="B14" s="28">
        <v>12.0</v>
      </c>
      <c r="C14" s="16">
        <v>12.0</v>
      </c>
      <c r="D14" s="16">
        <v>35000.0</v>
      </c>
      <c r="E14" s="17">
        <f>F14/141.6</f>
        <v>0.03672316384</v>
      </c>
      <c r="F14" s="30">
        <v>5.2</v>
      </c>
      <c r="G14" s="28">
        <f>B14</f>
        <v>12</v>
      </c>
      <c r="H14" s="34">
        <f>D14*G14/B14</f>
        <v>35000</v>
      </c>
      <c r="I14" s="17">
        <f>1.5*$I$4/F14</f>
        <v>39.87692308</v>
      </c>
      <c r="J14" s="30">
        <v>22.5</v>
      </c>
      <c r="K14" s="17">
        <f>H14/J14*$B$4*PI()/12/60</f>
        <v>20.36217461</v>
      </c>
      <c r="L14" s="17">
        <f>0.3048*K14</f>
        <v>6.20639082</v>
      </c>
      <c r="M14" s="17">
        <f>0.6818*K14</f>
        <v>13.88293065</v>
      </c>
      <c r="N14" s="31">
        <f>D14/B14</f>
        <v>2916.666667</v>
      </c>
      <c r="O14" s="32">
        <f>F14/C14</f>
        <v>0.4333333333</v>
      </c>
      <c r="P14" s="6"/>
      <c r="Q14" s="7"/>
      <c r="R14" s="7"/>
      <c r="S14" s="7"/>
      <c r="T14" s="7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  <c r="R15" s="7"/>
      <c r="S15" s="7"/>
      <c r="T15" s="7"/>
    </row>
    <row r="1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  <c r="R16" s="7"/>
      <c r="S16" s="7"/>
      <c r="T16" s="7"/>
    </row>
    <row r="17">
      <c r="A17" s="33" t="s">
        <v>42</v>
      </c>
      <c r="B17" s="6"/>
      <c r="C17" s="6"/>
      <c r="D17" s="6"/>
      <c r="E17" s="9" t="s">
        <v>8</v>
      </c>
      <c r="F17" s="9" t="s">
        <v>7</v>
      </c>
      <c r="G17" s="6"/>
      <c r="H17" s="6"/>
      <c r="I17" s="6"/>
      <c r="J17" s="19" t="str">
        <f>if(J19&lt;I19, "Too Low!", "Good")</f>
        <v>Too Low!</v>
      </c>
      <c r="K17" s="21" t="s">
        <v>20</v>
      </c>
      <c r="L17" s="22"/>
      <c r="M17" s="23"/>
      <c r="N17" s="24" t="s">
        <v>21</v>
      </c>
      <c r="O17" s="23"/>
      <c r="P17" s="6"/>
      <c r="Q17" s="7"/>
      <c r="R17" s="7"/>
      <c r="S17" s="7"/>
      <c r="T17" s="7"/>
    </row>
    <row r="18">
      <c r="A18" s="25" t="s">
        <v>38</v>
      </c>
      <c r="B18" s="12" t="s">
        <v>23</v>
      </c>
      <c r="C18" s="12" t="s">
        <v>24</v>
      </c>
      <c r="D18" s="13" t="s">
        <v>39</v>
      </c>
      <c r="E18" s="12" t="s">
        <v>40</v>
      </c>
      <c r="F18" s="13" t="s">
        <v>41</v>
      </c>
      <c r="G18" s="12" t="s">
        <v>28</v>
      </c>
      <c r="H18" s="12" t="s">
        <v>29</v>
      </c>
      <c r="I18" s="12" t="s">
        <v>30</v>
      </c>
      <c r="J18" s="12" t="s">
        <v>31</v>
      </c>
      <c r="K18" s="12" t="s">
        <v>32</v>
      </c>
      <c r="L18" s="12" t="s">
        <v>33</v>
      </c>
      <c r="M18" s="12" t="s">
        <v>34</v>
      </c>
      <c r="N18" s="12" t="s">
        <v>35</v>
      </c>
      <c r="O18" s="12" t="s">
        <v>36</v>
      </c>
      <c r="P18" s="6"/>
      <c r="Q18" s="7"/>
      <c r="R18" s="7"/>
      <c r="S18" s="7"/>
      <c r="T18" s="7"/>
    </row>
    <row r="19">
      <c r="A19" s="8"/>
      <c r="B19" s="28">
        <v>12.0</v>
      </c>
      <c r="C19" s="16">
        <v>19.3</v>
      </c>
      <c r="D19" s="16">
        <v>35000.0</v>
      </c>
      <c r="E19" s="17">
        <f>F19/141.6</f>
        <v>0.05360169492</v>
      </c>
      <c r="F19" s="30">
        <v>7.59</v>
      </c>
      <c r="G19" s="28">
        <f>B19</f>
        <v>12</v>
      </c>
      <c r="H19" s="34">
        <f>D19*G19/B19</f>
        <v>35000</v>
      </c>
      <c r="I19" s="17">
        <f>1.5*$I$4/F19</f>
        <v>27.3201581</v>
      </c>
      <c r="J19" s="30">
        <v>22.5</v>
      </c>
      <c r="K19" s="17">
        <f>H19/J19*$B$4*PI()/12/60</f>
        <v>20.36217461</v>
      </c>
      <c r="L19" s="17">
        <f>0.3048*K19</f>
        <v>6.20639082</v>
      </c>
      <c r="M19" s="17">
        <f>0.6818*K19</f>
        <v>13.88293065</v>
      </c>
      <c r="N19" s="31">
        <f>D19/B19</f>
        <v>2916.666667</v>
      </c>
      <c r="O19" s="32">
        <f>F19/C19</f>
        <v>0.3932642487</v>
      </c>
      <c r="P19" s="6"/>
      <c r="Q19" s="7"/>
      <c r="R19" s="7"/>
      <c r="S19" s="7"/>
      <c r="T19" s="7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  <c r="R20" s="7"/>
      <c r="S20" s="7"/>
      <c r="T20" s="7"/>
    </row>
    <row r="21">
      <c r="A21" s="35" t="s">
        <v>43</v>
      </c>
      <c r="B21" s="36"/>
      <c r="C21" s="36"/>
      <c r="D21" s="36"/>
      <c r="E21" s="37" t="s">
        <v>8</v>
      </c>
      <c r="F21" s="37" t="s">
        <v>7</v>
      </c>
      <c r="G21" s="36"/>
      <c r="H21" s="36"/>
      <c r="I21" s="36"/>
      <c r="J21" s="19" t="str">
        <f>if(J23&lt;I23, "Too Low!", "Good")</f>
        <v>Too Low!</v>
      </c>
      <c r="K21" s="38" t="s">
        <v>20</v>
      </c>
      <c r="L21" s="22"/>
      <c r="M21" s="23"/>
      <c r="N21" s="38" t="s">
        <v>21</v>
      </c>
      <c r="O21" s="23"/>
      <c r="P21" s="39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25" t="s">
        <v>38</v>
      </c>
      <c r="B22" s="41" t="s">
        <v>23</v>
      </c>
      <c r="C22" s="41" t="s">
        <v>24</v>
      </c>
      <c r="D22" s="41" t="s">
        <v>39</v>
      </c>
      <c r="E22" s="41" t="s">
        <v>40</v>
      </c>
      <c r="F22" s="41" t="s">
        <v>41</v>
      </c>
      <c r="G22" s="41" t="s">
        <v>28</v>
      </c>
      <c r="H22" s="41" t="s">
        <v>29</v>
      </c>
      <c r="I22" s="41" t="s">
        <v>30</v>
      </c>
      <c r="J22" s="41" t="s">
        <v>31</v>
      </c>
      <c r="K22" s="41" t="s">
        <v>32</v>
      </c>
      <c r="L22" s="41" t="s">
        <v>33</v>
      </c>
      <c r="M22" s="41" t="s">
        <v>34</v>
      </c>
      <c r="N22" s="41" t="s">
        <v>35</v>
      </c>
      <c r="O22" s="41" t="s">
        <v>36</v>
      </c>
      <c r="P22" s="39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8"/>
      <c r="B23" s="42">
        <v>12.0</v>
      </c>
      <c r="C23" s="43">
        <f>3*1.2</f>
        <v>3.6</v>
      </c>
      <c r="D23" s="43">
        <v>24000.0</v>
      </c>
      <c r="E23" s="44">
        <f>F23/141.6</f>
        <v>0.01669491525</v>
      </c>
      <c r="F23" s="45">
        <f>1.97*1.2</f>
        <v>2.364</v>
      </c>
      <c r="G23" s="42">
        <v>16.0</v>
      </c>
      <c r="H23" s="46">
        <f>D23*G23/B23</f>
        <v>32000</v>
      </c>
      <c r="I23" s="44">
        <f>1.5*$I$4/F23</f>
        <v>87.71573604</v>
      </c>
      <c r="J23" s="47">
        <v>22.5</v>
      </c>
      <c r="K23" s="44">
        <f>H23/J23*$B$4*PI()/12/60</f>
        <v>18.61684535</v>
      </c>
      <c r="L23" s="44">
        <f>0.3048*K23</f>
        <v>5.674414464</v>
      </c>
      <c r="M23" s="44">
        <f>0.6818*K23</f>
        <v>12.69296516</v>
      </c>
      <c r="N23" s="48">
        <f>D23/B23</f>
        <v>2000</v>
      </c>
      <c r="O23" s="49">
        <f>F23/C23</f>
        <v>0.6566666667</v>
      </c>
      <c r="P23" s="39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  <c r="R24" s="7"/>
      <c r="S24" s="7"/>
      <c r="T24" s="7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7"/>
      <c r="R25" s="7"/>
      <c r="S25" s="7"/>
      <c r="T25" s="7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7"/>
      <c r="R26" s="7"/>
      <c r="S26" s="7"/>
      <c r="T26" s="7"/>
    </row>
    <row r="27">
      <c r="A27" s="6"/>
      <c r="B27" s="21" t="s">
        <v>44</v>
      </c>
      <c r="C27" s="22"/>
      <c r="D27" s="22"/>
      <c r="E27" s="23"/>
      <c r="F27" s="6"/>
      <c r="G27" s="21" t="s">
        <v>45</v>
      </c>
      <c r="H27" s="22"/>
      <c r="I27" s="23"/>
      <c r="J27" s="6"/>
      <c r="K27" s="6"/>
      <c r="L27" s="6"/>
      <c r="M27" s="6"/>
      <c r="N27" s="6"/>
      <c r="O27" s="6"/>
      <c r="P27" s="6"/>
      <c r="Q27" s="7"/>
      <c r="R27" s="7"/>
      <c r="S27" s="7"/>
      <c r="T27" s="7"/>
    </row>
    <row r="28">
      <c r="A28" s="6"/>
      <c r="B28" s="50" t="s">
        <v>46</v>
      </c>
      <c r="C28" s="23"/>
      <c r="D28" s="51" t="s">
        <v>47</v>
      </c>
      <c r="E28" s="23"/>
      <c r="F28" s="6"/>
      <c r="G28" s="52" t="s">
        <v>48</v>
      </c>
      <c r="H28" s="52" t="s">
        <v>49</v>
      </c>
      <c r="I28" s="52" t="s">
        <v>50</v>
      </c>
      <c r="J28" s="6"/>
      <c r="K28" s="6"/>
      <c r="L28" s="6"/>
      <c r="M28" s="6"/>
      <c r="N28" s="6"/>
      <c r="O28" s="6"/>
      <c r="P28" s="6"/>
      <c r="Q28" s="7"/>
      <c r="R28" s="7"/>
      <c r="S28" s="7"/>
      <c r="T28" s="7"/>
    </row>
    <row r="29" ht="15.75" customHeight="1">
      <c r="A29" s="6"/>
      <c r="B29" s="16">
        <v>1.0</v>
      </c>
      <c r="C29" s="53" t="s">
        <v>51</v>
      </c>
      <c r="D29" s="54">
        <f>B29*0.007062</f>
        <v>0.007062</v>
      </c>
      <c r="E29" s="53" t="s">
        <v>52</v>
      </c>
      <c r="F29" s="6"/>
      <c r="G29" s="55">
        <v>1.0</v>
      </c>
      <c r="H29" s="56">
        <v>3.7</v>
      </c>
      <c r="I29" s="56">
        <v>4.2</v>
      </c>
      <c r="J29" s="6"/>
      <c r="K29" s="6"/>
      <c r="L29" s="6"/>
      <c r="M29" s="6"/>
      <c r="N29" s="6"/>
      <c r="O29" s="6"/>
      <c r="P29" s="6"/>
      <c r="Q29" s="7"/>
      <c r="R29" s="7"/>
      <c r="S29" s="7"/>
      <c r="T29" s="7"/>
    </row>
    <row r="30" ht="15.75" customHeight="1">
      <c r="A30" s="6"/>
      <c r="B30" s="16">
        <v>1.0</v>
      </c>
      <c r="C30" s="53" t="s">
        <v>52</v>
      </c>
      <c r="D30" s="17">
        <f>141.6*B30</f>
        <v>141.6</v>
      </c>
      <c r="E30" s="53" t="s">
        <v>51</v>
      </c>
      <c r="F30" s="6"/>
      <c r="G30" s="55">
        <v>2.0</v>
      </c>
      <c r="H30" s="57">
        <f t="shared" ref="H30:H37" si="1">$H$29*G30</f>
        <v>7.4</v>
      </c>
      <c r="I30" s="57">
        <f t="shared" ref="I30:I37" si="2">$I$29*G30</f>
        <v>8.4</v>
      </c>
      <c r="J30" s="6"/>
      <c r="K30" s="6"/>
      <c r="L30" s="6"/>
      <c r="M30" s="6"/>
      <c r="N30" s="6"/>
      <c r="O30" s="6"/>
      <c r="P30" s="6"/>
      <c r="Q30" s="7"/>
      <c r="R30" s="7"/>
      <c r="S30" s="7"/>
      <c r="T30" s="7"/>
    </row>
    <row r="31" ht="15.75" customHeight="1">
      <c r="A31" s="6"/>
      <c r="B31" s="16">
        <v>1.0</v>
      </c>
      <c r="C31" s="53" t="s">
        <v>53</v>
      </c>
      <c r="D31" s="54">
        <f>0.7376*B31</f>
        <v>0.7376</v>
      </c>
      <c r="E31" s="53" t="s">
        <v>52</v>
      </c>
      <c r="F31" s="6"/>
      <c r="G31" s="55">
        <v>3.0</v>
      </c>
      <c r="H31" s="57">
        <f t="shared" si="1"/>
        <v>11.1</v>
      </c>
      <c r="I31" s="57">
        <f t="shared" si="2"/>
        <v>12.6</v>
      </c>
      <c r="J31" s="6"/>
      <c r="K31" s="6"/>
      <c r="L31" s="6"/>
      <c r="M31" s="6"/>
      <c r="N31" s="6"/>
      <c r="O31" s="6"/>
      <c r="P31" s="6"/>
      <c r="Q31" s="7"/>
      <c r="R31" s="7"/>
      <c r="S31" s="7"/>
      <c r="T31" s="7"/>
    </row>
    <row r="32" ht="15.75" customHeight="1">
      <c r="A32" s="6"/>
      <c r="B32" s="16">
        <v>1.0</v>
      </c>
      <c r="C32" s="53" t="s">
        <v>53</v>
      </c>
      <c r="D32" s="17">
        <f>12*16*B32</f>
        <v>192</v>
      </c>
      <c r="E32" s="53" t="s">
        <v>51</v>
      </c>
      <c r="F32" s="6"/>
      <c r="G32" s="55">
        <v>4.0</v>
      </c>
      <c r="H32" s="57">
        <f t="shared" si="1"/>
        <v>14.8</v>
      </c>
      <c r="I32" s="57">
        <f t="shared" si="2"/>
        <v>16.8</v>
      </c>
      <c r="J32" s="6"/>
      <c r="K32" s="6"/>
      <c r="L32" s="6"/>
      <c r="M32" s="6"/>
      <c r="N32" s="6"/>
      <c r="O32" s="6"/>
      <c r="P32" s="6"/>
      <c r="Q32" s="7"/>
      <c r="R32" s="7"/>
      <c r="S32" s="7"/>
      <c r="T32" s="7"/>
    </row>
    <row r="33" ht="15.75" customHeight="1">
      <c r="A33" s="6"/>
      <c r="B33" s="16">
        <v>1.0</v>
      </c>
      <c r="C33" s="53" t="s">
        <v>54</v>
      </c>
      <c r="D33" s="17">
        <f>25.4*B33</f>
        <v>25.4</v>
      </c>
      <c r="E33" s="53" t="s">
        <v>55</v>
      </c>
      <c r="F33" s="6"/>
      <c r="G33" s="55">
        <v>5.0</v>
      </c>
      <c r="H33" s="57">
        <f t="shared" si="1"/>
        <v>18.5</v>
      </c>
      <c r="I33" s="57">
        <f t="shared" si="2"/>
        <v>21</v>
      </c>
      <c r="J33" s="6"/>
      <c r="K33" s="6"/>
      <c r="L33" s="6"/>
      <c r="M33" s="6"/>
      <c r="N33" s="6"/>
      <c r="O33" s="6"/>
      <c r="P33" s="6"/>
      <c r="Q33" s="7"/>
      <c r="R33" s="7"/>
      <c r="S33" s="7"/>
      <c r="T33" s="7"/>
    </row>
    <row r="34" ht="15.75" customHeight="1">
      <c r="A34" s="6"/>
      <c r="B34" s="16">
        <v>1.0</v>
      </c>
      <c r="C34" s="53" t="s">
        <v>55</v>
      </c>
      <c r="D34" s="54">
        <f>B34*0.03937</f>
        <v>0.03937</v>
      </c>
      <c r="E34" s="53" t="s">
        <v>54</v>
      </c>
      <c r="F34" s="6"/>
      <c r="G34" s="55">
        <v>6.0</v>
      </c>
      <c r="H34" s="57">
        <f t="shared" si="1"/>
        <v>22.2</v>
      </c>
      <c r="I34" s="57">
        <f t="shared" si="2"/>
        <v>25.2</v>
      </c>
      <c r="J34" s="6"/>
      <c r="K34" s="6"/>
      <c r="L34" s="6"/>
      <c r="M34" s="6"/>
      <c r="N34" s="6"/>
      <c r="O34" s="6"/>
      <c r="P34" s="6"/>
      <c r="Q34" s="7"/>
      <c r="R34" s="7"/>
      <c r="S34" s="7"/>
      <c r="T34" s="7"/>
    </row>
    <row r="35" ht="15.75" customHeight="1">
      <c r="A35" s="6"/>
      <c r="B35" s="16">
        <v>1.0</v>
      </c>
      <c r="C35" s="53" t="s">
        <v>56</v>
      </c>
      <c r="D35" s="54">
        <f>0.4536*B35</f>
        <v>0.4536</v>
      </c>
      <c r="E35" s="53" t="s">
        <v>57</v>
      </c>
      <c r="F35" s="6"/>
      <c r="G35" s="55">
        <v>8.0</v>
      </c>
      <c r="H35" s="57">
        <f t="shared" si="1"/>
        <v>29.6</v>
      </c>
      <c r="I35" s="57">
        <f t="shared" si="2"/>
        <v>33.6</v>
      </c>
      <c r="J35" s="6"/>
      <c r="K35" s="6"/>
      <c r="L35" s="6"/>
      <c r="M35" s="6"/>
      <c r="N35" s="6"/>
      <c r="O35" s="6"/>
      <c r="P35" s="6"/>
      <c r="Q35" s="7"/>
      <c r="R35" s="7"/>
      <c r="S35" s="7"/>
      <c r="T35" s="7"/>
    </row>
    <row r="36" ht="15.75" customHeight="1">
      <c r="A36" s="6"/>
      <c r="B36" s="16">
        <v>1.0</v>
      </c>
      <c r="C36" s="53" t="s">
        <v>57</v>
      </c>
      <c r="D36" s="17">
        <f>B36/0.4536</f>
        <v>2.204585538</v>
      </c>
      <c r="E36" s="53" t="s">
        <v>56</v>
      </c>
      <c r="F36" s="6"/>
      <c r="G36" s="55">
        <v>10.0</v>
      </c>
      <c r="H36" s="57">
        <f t="shared" si="1"/>
        <v>37</v>
      </c>
      <c r="I36" s="57">
        <f t="shared" si="2"/>
        <v>42</v>
      </c>
      <c r="J36" s="6"/>
      <c r="K36" s="6"/>
      <c r="L36" s="6"/>
      <c r="M36" s="6"/>
      <c r="N36" s="6"/>
      <c r="O36" s="6"/>
      <c r="P36" s="6"/>
      <c r="Q36" s="7"/>
      <c r="R36" s="7"/>
      <c r="S36" s="7"/>
      <c r="T36" s="7"/>
    </row>
    <row r="37" ht="15.75" customHeight="1">
      <c r="A37" s="6"/>
      <c r="B37" s="16">
        <v>1.0</v>
      </c>
      <c r="C37" s="58" t="s">
        <v>58</v>
      </c>
      <c r="D37" s="17">
        <f>B37*13.89</f>
        <v>13.89</v>
      </c>
      <c r="E37" s="58" t="s">
        <v>51</v>
      </c>
      <c r="F37" s="6"/>
      <c r="G37" s="55">
        <v>12.0</v>
      </c>
      <c r="H37" s="57">
        <f t="shared" si="1"/>
        <v>44.4</v>
      </c>
      <c r="I37" s="57">
        <f t="shared" si="2"/>
        <v>50.4</v>
      </c>
      <c r="J37" s="6"/>
      <c r="K37" s="6"/>
      <c r="L37" s="6"/>
      <c r="M37" s="6"/>
      <c r="N37" s="6"/>
      <c r="O37" s="6"/>
      <c r="P37" s="6"/>
      <c r="Q37" s="7"/>
      <c r="R37" s="7"/>
      <c r="S37" s="7"/>
      <c r="T37" s="7"/>
    </row>
    <row r="38" ht="15.75" customHeight="1">
      <c r="A38" s="7"/>
      <c r="B38" s="7"/>
      <c r="C38" s="7"/>
      <c r="D38" s="7"/>
      <c r="E38" s="7"/>
      <c r="F38" s="7"/>
      <c r="G38" s="5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ht="15.75" customHeight="1">
      <c r="A39" s="7"/>
      <c r="B39" s="7"/>
      <c r="C39" s="7"/>
      <c r="D39" s="7"/>
      <c r="E39" s="7"/>
      <c r="F39" s="7"/>
      <c r="G39" s="59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ht="15.75" customHeight="1">
      <c r="A40" s="7"/>
      <c r="B40" s="7"/>
      <c r="C40" s="7"/>
      <c r="D40" s="7"/>
      <c r="E40" s="7"/>
      <c r="F40" s="7"/>
      <c r="G40" s="59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22">
    <mergeCell ref="A3:A4"/>
    <mergeCell ref="A8:A9"/>
    <mergeCell ref="A13:A14"/>
    <mergeCell ref="A18:A19"/>
    <mergeCell ref="A22:A23"/>
    <mergeCell ref="B27:E27"/>
    <mergeCell ref="B28:C28"/>
    <mergeCell ref="D28:E28"/>
    <mergeCell ref="K12:M12"/>
    <mergeCell ref="N12:O12"/>
    <mergeCell ref="K17:M17"/>
    <mergeCell ref="N17:O17"/>
    <mergeCell ref="K21:M21"/>
    <mergeCell ref="N21:O21"/>
    <mergeCell ref="G27:I27"/>
    <mergeCell ref="A1:A2"/>
    <mergeCell ref="D1:H1"/>
    <mergeCell ref="I1:J1"/>
    <mergeCell ref="D2:E2"/>
    <mergeCell ref="N2:O2"/>
    <mergeCell ref="K7:M7"/>
    <mergeCell ref="N7:O7"/>
  </mergeCells>
  <conditionalFormatting sqref="M6 J7 M11 J12 J17 J21">
    <cfRule type="containsText" dxfId="0" priority="1" operator="containsText" text="low">
      <formula>NOT(ISERROR(SEARCH(("low"),(M6))))</formula>
    </cfRule>
  </conditionalFormatting>
  <dataValidations>
    <dataValidation type="decimal" allowBlank="1" showDropDown="1" showInputMessage="1" showErrorMessage="1" prompt="Coefficient of Friction must be between 0 and 1" sqref="C4">
      <formula1>0.0</formula1>
      <formula2>1.0</formula2>
    </dataValidation>
    <dataValidation type="decimal" operator="greaterThan" allowBlank="1" showDropDown="1" showInputMessage="1" showErrorMessage="1" prompt="Effective weight in pounds (incl. downforce) greater than 0" sqref="D4">
      <formula1>0.0</formula1>
    </dataValidation>
    <dataValidation type="decimal" operator="greaterThanOrEqual" allowBlank="1" showDropDown="1" showInputMessage="1" showErrorMessage="1" prompt="Enter the total number of wheels" sqref="E4">
      <formula1>1.0</formula1>
    </dataValidation>
    <dataValidation type="decimal" operator="greaterThan" allowBlank="1" showDropDown="1" showInputMessage="1" showErrorMessage="1" prompt="Enter a number greater than 0" sqref="J9">
      <formula1>0.0</formula1>
    </dataValidation>
    <dataValidation type="decimal" operator="greaterThan" allowBlank="1" showDropDown="1" showInputMessage="1" showErrorMessage="1" prompt="Diameter in inches, greater than 0" sqref="B4">
      <formula1>0.0</formula1>
    </dataValidation>
    <dataValidation type="decimal" operator="greaterThanOrEqual" allowBlank="1" showDropDown="1" showInputMessage="1" showErrorMessage="1" prompt="Enter total number of motors" sqref="F4">
      <formula1>1.0</formula1>
    </dataValidation>
  </dataValidations>
  <hyperlinks>
    <hyperlink r:id="rId1" ref="N2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0"/>
    <col customWidth="1" min="2" max="2" width="9.14"/>
    <col customWidth="1" min="3" max="4" width="8.57"/>
  </cols>
  <sheetData>
    <row r="1">
      <c r="A1" s="60" t="s">
        <v>59</v>
      </c>
      <c r="B1" s="60" t="s">
        <v>60</v>
      </c>
      <c r="C1" s="60" t="s">
        <v>61</v>
      </c>
      <c r="D1" s="60" t="s">
        <v>62</v>
      </c>
      <c r="E1" s="60" t="s">
        <v>63</v>
      </c>
    </row>
    <row r="2">
      <c r="A2" s="61">
        <v>10000.0</v>
      </c>
      <c r="B2" s="62">
        <f t="shared" ref="B2:B26" si="1">$B$27*(D2)/100</f>
        <v>0</v>
      </c>
      <c r="C2" s="63">
        <f t="shared" ref="C2:C27" si="2">B2*0.04</f>
        <v>0</v>
      </c>
      <c r="D2" s="62">
        <v>0.0</v>
      </c>
      <c r="E2" s="62">
        <v>10.0</v>
      </c>
    </row>
    <row r="3">
      <c r="A3" s="64">
        <f t="shared" ref="A3:A27" si="3">$A$2 * (100-D3)/100</f>
        <v>9600</v>
      </c>
      <c r="B3" s="62">
        <f t="shared" si="1"/>
        <v>2</v>
      </c>
      <c r="C3" s="63">
        <f t="shared" si="2"/>
        <v>0.08</v>
      </c>
      <c r="D3" s="62">
        <v>4.0</v>
      </c>
      <c r="E3" s="62">
        <v>10.0</v>
      </c>
    </row>
    <row r="4">
      <c r="A4" s="64">
        <f t="shared" si="3"/>
        <v>9200</v>
      </c>
      <c r="B4" s="62">
        <f t="shared" si="1"/>
        <v>4</v>
      </c>
      <c r="C4" s="63">
        <f t="shared" si="2"/>
        <v>0.16</v>
      </c>
      <c r="D4" s="62">
        <v>8.0</v>
      </c>
      <c r="E4" s="62">
        <v>10.0</v>
      </c>
    </row>
    <row r="5">
      <c r="A5" s="64">
        <f t="shared" si="3"/>
        <v>8800</v>
      </c>
      <c r="B5" s="62">
        <f t="shared" si="1"/>
        <v>6</v>
      </c>
      <c r="C5" s="63">
        <f t="shared" si="2"/>
        <v>0.24</v>
      </c>
      <c r="D5" s="62">
        <v>12.0</v>
      </c>
      <c r="E5" s="62">
        <v>10.0</v>
      </c>
    </row>
    <row r="6">
      <c r="A6" s="64">
        <f t="shared" si="3"/>
        <v>8400</v>
      </c>
      <c r="B6" s="62">
        <f t="shared" si="1"/>
        <v>8</v>
      </c>
      <c r="C6" s="63">
        <f t="shared" si="2"/>
        <v>0.32</v>
      </c>
      <c r="D6" s="62">
        <v>16.0</v>
      </c>
      <c r="E6" s="62">
        <v>10.0</v>
      </c>
    </row>
    <row r="7">
      <c r="A7" s="64">
        <f t="shared" si="3"/>
        <v>8000</v>
      </c>
      <c r="B7" s="62">
        <f t="shared" si="1"/>
        <v>10</v>
      </c>
      <c r="C7" s="63">
        <f t="shared" si="2"/>
        <v>0.4</v>
      </c>
      <c r="D7" s="62">
        <v>20.0</v>
      </c>
      <c r="E7" s="62">
        <v>10.0</v>
      </c>
    </row>
    <row r="8">
      <c r="A8" s="64">
        <f t="shared" si="3"/>
        <v>7600</v>
      </c>
      <c r="B8" s="62">
        <f t="shared" si="1"/>
        <v>12</v>
      </c>
      <c r="C8" s="63">
        <f t="shared" si="2"/>
        <v>0.48</v>
      </c>
      <c r="D8" s="62">
        <v>24.0</v>
      </c>
      <c r="E8" s="62">
        <v>10.0</v>
      </c>
    </row>
    <row r="9">
      <c r="A9" s="64">
        <f t="shared" si="3"/>
        <v>7200</v>
      </c>
      <c r="B9" s="62">
        <f t="shared" si="1"/>
        <v>14</v>
      </c>
      <c r="C9" s="63">
        <f t="shared" si="2"/>
        <v>0.56</v>
      </c>
      <c r="D9" s="62">
        <v>28.0</v>
      </c>
      <c r="E9" s="62">
        <v>10.0</v>
      </c>
    </row>
    <row r="10">
      <c r="A10" s="64">
        <f t="shared" si="3"/>
        <v>6800</v>
      </c>
      <c r="B10" s="62">
        <f t="shared" si="1"/>
        <v>16</v>
      </c>
      <c r="C10" s="63">
        <f t="shared" si="2"/>
        <v>0.64</v>
      </c>
      <c r="D10" s="62">
        <v>32.0</v>
      </c>
      <c r="E10" s="62">
        <v>10.0</v>
      </c>
    </row>
    <row r="11">
      <c r="A11" s="64">
        <f t="shared" si="3"/>
        <v>6400</v>
      </c>
      <c r="B11" s="62">
        <f t="shared" si="1"/>
        <v>18</v>
      </c>
      <c r="C11" s="63">
        <f t="shared" si="2"/>
        <v>0.72</v>
      </c>
      <c r="D11" s="62">
        <v>36.0</v>
      </c>
      <c r="E11" s="62">
        <v>10.0</v>
      </c>
    </row>
    <row r="12">
      <c r="A12" s="64">
        <f t="shared" si="3"/>
        <v>6000</v>
      </c>
      <c r="B12" s="62">
        <f t="shared" si="1"/>
        <v>20</v>
      </c>
      <c r="C12" s="63">
        <f t="shared" si="2"/>
        <v>0.8</v>
      </c>
      <c r="D12" s="62">
        <v>40.0</v>
      </c>
      <c r="E12" s="62">
        <v>10.0</v>
      </c>
    </row>
    <row r="13">
      <c r="A13" s="64">
        <f t="shared" si="3"/>
        <v>5600</v>
      </c>
      <c r="B13" s="62">
        <f t="shared" si="1"/>
        <v>22</v>
      </c>
      <c r="C13" s="63">
        <f t="shared" si="2"/>
        <v>0.88</v>
      </c>
      <c r="D13" s="62">
        <v>44.0</v>
      </c>
      <c r="E13" s="62">
        <v>10.0</v>
      </c>
    </row>
    <row r="14">
      <c r="A14" s="64">
        <f t="shared" si="3"/>
        <v>5200</v>
      </c>
      <c r="B14" s="62">
        <f t="shared" si="1"/>
        <v>24</v>
      </c>
      <c r="C14" s="63">
        <f t="shared" si="2"/>
        <v>0.96</v>
      </c>
      <c r="D14" s="62">
        <v>48.0</v>
      </c>
      <c r="E14" s="62">
        <v>10.0</v>
      </c>
    </row>
    <row r="15">
      <c r="A15" s="64">
        <f t="shared" si="3"/>
        <v>4800</v>
      </c>
      <c r="B15" s="62">
        <f t="shared" si="1"/>
        <v>26</v>
      </c>
      <c r="C15" s="63">
        <f t="shared" si="2"/>
        <v>1.04</v>
      </c>
      <c r="D15" s="62">
        <v>52.0</v>
      </c>
      <c r="E15" s="62">
        <v>10.0</v>
      </c>
    </row>
    <row r="16">
      <c r="A16" s="64">
        <f t="shared" si="3"/>
        <v>4400</v>
      </c>
      <c r="B16" s="62">
        <f t="shared" si="1"/>
        <v>28</v>
      </c>
      <c r="C16" s="63">
        <f t="shared" si="2"/>
        <v>1.12</v>
      </c>
      <c r="D16" s="62">
        <v>56.0</v>
      </c>
      <c r="E16" s="62">
        <v>10.0</v>
      </c>
    </row>
    <row r="17">
      <c r="A17" s="64">
        <f t="shared" si="3"/>
        <v>4000</v>
      </c>
      <c r="B17" s="62">
        <f t="shared" si="1"/>
        <v>30</v>
      </c>
      <c r="C17" s="63">
        <f t="shared" si="2"/>
        <v>1.2</v>
      </c>
      <c r="D17" s="62">
        <v>60.0</v>
      </c>
      <c r="E17" s="62">
        <v>10.0</v>
      </c>
    </row>
    <row r="18">
      <c r="A18" s="64">
        <f t="shared" si="3"/>
        <v>3600</v>
      </c>
      <c r="B18" s="62">
        <f t="shared" si="1"/>
        <v>32</v>
      </c>
      <c r="C18" s="63">
        <f t="shared" si="2"/>
        <v>1.28</v>
      </c>
      <c r="D18" s="62">
        <v>64.0</v>
      </c>
      <c r="E18" s="62">
        <v>10.0</v>
      </c>
    </row>
    <row r="19">
      <c r="A19" s="64">
        <f t="shared" si="3"/>
        <v>3200</v>
      </c>
      <c r="B19" s="62">
        <f t="shared" si="1"/>
        <v>34</v>
      </c>
      <c r="C19" s="63">
        <f t="shared" si="2"/>
        <v>1.36</v>
      </c>
      <c r="D19" s="62">
        <v>68.0</v>
      </c>
      <c r="E19" s="62">
        <v>10.0</v>
      </c>
    </row>
    <row r="20">
      <c r="A20" s="64">
        <f t="shared" si="3"/>
        <v>2800</v>
      </c>
      <c r="B20" s="62">
        <f t="shared" si="1"/>
        <v>36</v>
      </c>
      <c r="C20" s="63">
        <f t="shared" si="2"/>
        <v>1.44</v>
      </c>
      <c r="D20" s="62">
        <v>72.0</v>
      </c>
      <c r="E20" s="62">
        <v>10.0</v>
      </c>
    </row>
    <row r="21">
      <c r="A21" s="64">
        <f t="shared" si="3"/>
        <v>2400</v>
      </c>
      <c r="B21" s="62">
        <f t="shared" si="1"/>
        <v>38</v>
      </c>
      <c r="C21" s="63">
        <f t="shared" si="2"/>
        <v>1.52</v>
      </c>
      <c r="D21" s="62">
        <v>76.0</v>
      </c>
      <c r="E21" s="62">
        <v>10.0</v>
      </c>
    </row>
    <row r="22">
      <c r="A22" s="64">
        <f t="shared" si="3"/>
        <v>2000</v>
      </c>
      <c r="B22" s="62">
        <f t="shared" si="1"/>
        <v>40</v>
      </c>
      <c r="C22" s="63">
        <f t="shared" si="2"/>
        <v>1.6</v>
      </c>
      <c r="D22" s="62">
        <v>80.0</v>
      </c>
      <c r="E22" s="62">
        <v>10.0</v>
      </c>
    </row>
    <row r="23">
      <c r="A23" s="64">
        <f t="shared" si="3"/>
        <v>1600</v>
      </c>
      <c r="B23" s="62">
        <f t="shared" si="1"/>
        <v>42</v>
      </c>
      <c r="C23" s="63">
        <f t="shared" si="2"/>
        <v>1.68</v>
      </c>
      <c r="D23" s="62">
        <v>84.0</v>
      </c>
      <c r="E23" s="62">
        <v>10.0</v>
      </c>
    </row>
    <row r="24">
      <c r="A24" s="64">
        <f t="shared" si="3"/>
        <v>1200</v>
      </c>
      <c r="B24" s="62">
        <f t="shared" si="1"/>
        <v>44</v>
      </c>
      <c r="C24" s="63">
        <f t="shared" si="2"/>
        <v>1.76</v>
      </c>
      <c r="D24" s="62">
        <v>88.0</v>
      </c>
      <c r="E24" s="62">
        <v>10.0</v>
      </c>
    </row>
    <row r="25">
      <c r="A25" s="64">
        <f t="shared" si="3"/>
        <v>800</v>
      </c>
      <c r="B25" s="62">
        <f t="shared" si="1"/>
        <v>46</v>
      </c>
      <c r="C25" s="63">
        <f t="shared" si="2"/>
        <v>1.84</v>
      </c>
      <c r="D25" s="62">
        <v>92.0</v>
      </c>
      <c r="E25" s="62">
        <v>10.0</v>
      </c>
    </row>
    <row r="26">
      <c r="A26" s="64">
        <f t="shared" si="3"/>
        <v>400</v>
      </c>
      <c r="B26" s="62">
        <f t="shared" si="1"/>
        <v>48</v>
      </c>
      <c r="C26" s="63">
        <f t="shared" si="2"/>
        <v>1.92</v>
      </c>
      <c r="D26" s="62">
        <v>96.0</v>
      </c>
      <c r="E26" s="62">
        <v>10.0</v>
      </c>
    </row>
    <row r="27">
      <c r="A27" s="64">
        <f t="shared" si="3"/>
        <v>0</v>
      </c>
      <c r="B27" s="61">
        <v>50.0</v>
      </c>
      <c r="C27" s="63">
        <f t="shared" si="2"/>
        <v>2</v>
      </c>
      <c r="D27" s="62">
        <v>100.0</v>
      </c>
      <c r="E27" s="62">
        <v>10.0</v>
      </c>
    </row>
  </sheetData>
  <conditionalFormatting sqref="B2:B27">
    <cfRule type="cellIs" dxfId="1" priority="1" operator="lessThanOrEqual">
      <formula>10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5.71"/>
    <col customWidth="1" min="3" max="3" width="14.86"/>
    <col customWidth="1" min="4" max="4" width="11.57"/>
    <col customWidth="1" min="7" max="7" width="9.14"/>
    <col customWidth="1" min="8" max="8" width="10.0"/>
    <col customWidth="1" min="9" max="9" width="8.0"/>
  </cols>
  <sheetData>
    <row r="1">
      <c r="A1" s="65" t="s">
        <v>64</v>
      </c>
      <c r="B1" s="65" t="s">
        <v>65</v>
      </c>
      <c r="C1" s="65" t="s">
        <v>66</v>
      </c>
      <c r="D1" s="65" t="s">
        <v>67</v>
      </c>
      <c r="E1" s="65" t="s">
        <v>68</v>
      </c>
      <c r="F1" s="65" t="s">
        <v>69</v>
      </c>
      <c r="G1" s="65" t="s">
        <v>24</v>
      </c>
      <c r="H1" s="65" t="s">
        <v>70</v>
      </c>
      <c r="I1" s="65" t="s">
        <v>71</v>
      </c>
      <c r="J1" s="66"/>
      <c r="K1" s="66"/>
      <c r="L1" s="66"/>
      <c r="M1" s="66"/>
    </row>
    <row r="2">
      <c r="A2" s="62" t="s">
        <v>72</v>
      </c>
      <c r="B2" s="62">
        <v>22.5</v>
      </c>
      <c r="C2" s="62">
        <v>35000.0</v>
      </c>
      <c r="D2" s="67">
        <f t="shared" ref="D2:D4" si="1">C2/B2</f>
        <v>1555.555556</v>
      </c>
      <c r="E2" s="62">
        <v>5.5</v>
      </c>
      <c r="F2" s="68">
        <f t="shared" ref="F2:F4" si="2">B2*E2</f>
        <v>123.75</v>
      </c>
      <c r="G2" s="62">
        <v>13.3</v>
      </c>
      <c r="H2" s="69">
        <f t="shared" ref="H2:H4" si="3">E2/G2</f>
        <v>0.4135338346</v>
      </c>
      <c r="I2" s="69">
        <f t="shared" ref="I2:I4" si="4">F2/G2</f>
        <v>9.304511278</v>
      </c>
    </row>
    <row r="3">
      <c r="A3" s="70" t="s">
        <v>73</v>
      </c>
      <c r="B3" s="70">
        <v>22.5</v>
      </c>
      <c r="C3" s="70">
        <v>35000.0</v>
      </c>
      <c r="D3" s="71">
        <f t="shared" si="1"/>
        <v>1555.555556</v>
      </c>
      <c r="E3" s="70">
        <v>8.05</v>
      </c>
      <c r="F3" s="72">
        <f t="shared" si="2"/>
        <v>181.125</v>
      </c>
      <c r="G3" s="70">
        <v>19.3</v>
      </c>
      <c r="H3" s="73">
        <f t="shared" si="3"/>
        <v>0.4170984456</v>
      </c>
      <c r="I3" s="73">
        <f t="shared" si="4"/>
        <v>9.384715026</v>
      </c>
    </row>
    <row r="4">
      <c r="A4" s="62" t="s">
        <v>74</v>
      </c>
      <c r="B4" s="62">
        <v>107.0</v>
      </c>
      <c r="C4" s="62">
        <v>35000.0</v>
      </c>
      <c r="D4" s="67">
        <f t="shared" si="1"/>
        <v>327.1028037</v>
      </c>
      <c r="E4" s="62">
        <v>5.5</v>
      </c>
      <c r="F4" s="68">
        <f t="shared" si="2"/>
        <v>588.5</v>
      </c>
      <c r="G4" s="62">
        <v>13.3</v>
      </c>
      <c r="H4" s="69">
        <f t="shared" si="3"/>
        <v>0.4135338346</v>
      </c>
      <c r="I4" s="69">
        <f t="shared" si="4"/>
        <v>44.2481203</v>
      </c>
    </row>
  </sheetData>
  <drawing r:id="rId1"/>
</worksheet>
</file>