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250" yWindow="-15" windowWidth="8295" windowHeight="7380"/>
  </bookViews>
  <sheets>
    <sheet name="Instructions" sheetId="6" r:id="rId1"/>
    <sheet name="Calculations" sheetId="2" r:id="rId2"/>
    <sheet name="Data Table" sheetId="4" state="hidden" r:id="rId3"/>
  </sheets>
  <definedNames>
    <definedName name="_xlnm.Print_Area" localSheetId="1">Calculations!$A$1:$U$36</definedName>
    <definedName name="seconds">'Data Table'!$G$5:$G$24</definedName>
  </definedNames>
  <calcPr calcId="125725"/>
</workbook>
</file>

<file path=xl/calcChain.xml><?xml version="1.0" encoding="utf-8"?>
<calcChain xmlns="http://schemas.openxmlformats.org/spreadsheetml/2006/main">
  <c r="J2" i="4"/>
  <c r="F2" s="1"/>
  <c r="D19" i="6"/>
  <c r="G2" i="4" l="1"/>
  <c r="M11" i="2"/>
  <c r="M10"/>
  <c r="M7"/>
  <c r="I30" l="1"/>
  <c r="I28"/>
  <c r="I26"/>
  <c r="N22" i="4" l="1"/>
  <c r="E15" i="2" l="1"/>
  <c r="E8"/>
  <c r="E7" s="1"/>
  <c r="E22"/>
  <c r="E21" s="1"/>
  <c r="D2" i="4" l="1"/>
  <c r="H26" s="1"/>
  <c r="H2" l="1"/>
  <c r="I2" s="1"/>
  <c r="J26" l="1"/>
  <c r="J5"/>
  <c r="E14" i="2"/>
  <c r="H23" i="4" l="1"/>
  <c r="H21"/>
  <c r="J21" s="1"/>
  <c r="H19"/>
  <c r="J19" s="1"/>
  <c r="H17"/>
  <c r="H15"/>
  <c r="J15" s="1"/>
  <c r="H13"/>
  <c r="J13" s="1"/>
  <c r="H11"/>
  <c r="J11" s="1"/>
  <c r="H9"/>
  <c r="J9" s="1"/>
  <c r="H7"/>
  <c r="J7" s="1"/>
  <c r="H24"/>
  <c r="H22"/>
  <c r="J22" s="1"/>
  <c r="H20"/>
  <c r="J20" s="1"/>
  <c r="H18"/>
  <c r="J18" s="1"/>
  <c r="H16"/>
  <c r="J16" s="1"/>
  <c r="H14"/>
  <c r="J14" s="1"/>
  <c r="H12"/>
  <c r="J12" s="1"/>
  <c r="H10"/>
  <c r="J10" s="1"/>
  <c r="H8"/>
  <c r="J8" s="1"/>
  <c r="H6"/>
  <c r="J6" s="1"/>
  <c r="E27" i="2"/>
  <c r="E28"/>
  <c r="J23" i="4" l="1"/>
  <c r="L14" i="2"/>
  <c r="L15" s="1"/>
  <c r="J24" i="4"/>
  <c r="J17"/>
  <c r="B2"/>
  <c r="E2"/>
  <c r="I26" s="1"/>
  <c r="C2" l="1"/>
  <c r="D26" s="1"/>
  <c r="B26"/>
  <c r="I24"/>
  <c r="L22" i="2" s="1"/>
  <c r="I20" i="4"/>
  <c r="I16"/>
  <c r="I12"/>
  <c r="I8"/>
  <c r="I23"/>
  <c r="I19"/>
  <c r="I15"/>
  <c r="I11"/>
  <c r="I7"/>
  <c r="I14"/>
  <c r="I6"/>
  <c r="I22"/>
  <c r="I18"/>
  <c r="I10"/>
  <c r="I21"/>
  <c r="I17"/>
  <c r="I13"/>
  <c r="I9"/>
  <c r="L16" i="2" l="1"/>
  <c r="B23" i="4"/>
  <c r="B21"/>
  <c r="B19"/>
  <c r="B17"/>
  <c r="C26" s="1"/>
  <c r="B15"/>
  <c r="B13"/>
  <c r="B11"/>
  <c r="B9"/>
  <c r="B7"/>
  <c r="B24"/>
  <c r="B22"/>
  <c r="B20"/>
  <c r="B18"/>
  <c r="B16"/>
  <c r="B14"/>
  <c r="B12"/>
  <c r="B10"/>
  <c r="B8"/>
  <c r="B6"/>
  <c r="C6" s="1"/>
  <c r="C18" l="1"/>
  <c r="C24"/>
  <c r="C14"/>
  <c r="C19"/>
  <c r="C17"/>
  <c r="C12"/>
  <c r="C7"/>
  <c r="D24"/>
  <c r="D22"/>
  <c r="D20"/>
  <c r="D18"/>
  <c r="D16"/>
  <c r="D14"/>
  <c r="D12"/>
  <c r="D10"/>
  <c r="D8"/>
  <c r="D6"/>
  <c r="D23"/>
  <c r="D21"/>
  <c r="D19"/>
  <c r="D17"/>
  <c r="E26" s="1"/>
  <c r="D15"/>
  <c r="D13"/>
  <c r="D11"/>
  <c r="D9"/>
  <c r="D7"/>
  <c r="C22"/>
  <c r="C16"/>
  <c r="C10"/>
  <c r="C20"/>
  <c r="C8"/>
  <c r="C13"/>
  <c r="C23"/>
  <c r="C15"/>
  <c r="C11"/>
  <c r="C9"/>
  <c r="C21"/>
  <c r="E18" l="1"/>
  <c r="E20"/>
  <c r="E13"/>
  <c r="E10"/>
  <c r="E7"/>
  <c r="E23"/>
  <c r="E17"/>
  <c r="E8"/>
  <c r="E24"/>
  <c r="E14"/>
  <c r="E11"/>
  <c r="E12"/>
  <c r="E21"/>
  <c r="E15"/>
  <c r="E16"/>
  <c r="E9"/>
  <c r="E6"/>
  <c r="G6" s="1"/>
  <c r="E22"/>
  <c r="E19"/>
  <c r="G7" l="1"/>
  <c r="G8" l="1"/>
  <c r="G9" s="1"/>
  <c r="G10" s="1"/>
  <c r="G11" l="1"/>
  <c r="G12" l="1"/>
  <c r="G13" s="1"/>
  <c r="G14" s="1"/>
  <c r="G15" s="1"/>
  <c r="G16" l="1"/>
  <c r="G17" s="1"/>
  <c r="G18" s="1"/>
  <c r="G19" l="1"/>
  <c r="G26"/>
  <c r="G20" l="1"/>
  <c r="G21" s="1"/>
  <c r="G22" s="1"/>
  <c r="G23" s="1"/>
  <c r="G24" l="1"/>
  <c r="L17" i="2" s="1"/>
</calcChain>
</file>

<file path=xl/comments1.xml><?xml version="1.0" encoding="utf-8"?>
<comments xmlns="http://schemas.openxmlformats.org/spreadsheetml/2006/main">
  <authors>
    <author>ODOT User</author>
    <author>Windows User</author>
  </authors>
  <commentList>
    <comment ref="I6" authorId="0">
      <text>
        <r>
          <rPr>
            <sz val="9"/>
            <color indexed="81"/>
            <rFont val="Tahoma"/>
            <family val="2"/>
          </rPr>
          <t>For brushed motors calculate: 
 Ri = 1000 * Voltage /  Stall Amps</t>
        </r>
      </text>
    </comment>
    <comment ref="I7" authorId="0">
      <text>
        <r>
          <rPr>
            <sz val="9"/>
            <color indexed="81"/>
            <rFont val="Tahoma"/>
            <family val="2"/>
          </rPr>
          <t>Brushless ESC 'soft start' is based on  mechanical RPM and the number of magnet poles.</t>
        </r>
      </text>
    </comment>
    <comment ref="M7" authorId="1">
      <text>
        <r>
          <rPr>
            <sz val="9"/>
            <color indexed="81"/>
            <rFont val="Tahoma"/>
            <family val="2"/>
          </rPr>
          <t xml:space="preserve">Individual magnet poles on the outrunner ring, or poles on the inrunner rotor.
</t>
        </r>
        <r>
          <rPr>
            <b/>
            <sz val="9"/>
            <color indexed="81"/>
            <rFont val="Tahoma"/>
            <family val="2"/>
          </rPr>
          <t>Used only in brushless calculations.</t>
        </r>
      </text>
    </comment>
    <comment ref="I10" authorId="0">
      <text>
        <r>
          <rPr>
            <b/>
            <sz val="8"/>
            <color indexed="81"/>
            <rFont val="Tahoma"/>
            <family val="2"/>
          </rPr>
          <t>Commutation time in u-sec below which 'soft start' restriction is active.</t>
        </r>
        <r>
          <rPr>
            <sz val="8"/>
            <color indexed="81"/>
            <rFont val="Tahoma"/>
            <family val="2"/>
          </rPr>
          <t xml:space="preserve">
TIMING_RANGE3 Default value: 1024</t>
        </r>
      </text>
    </comment>
    <comment ref="I11" authorId="0">
      <text>
        <r>
          <rPr>
            <b/>
            <sz val="8"/>
            <color indexed="81"/>
            <rFont val="Tahoma"/>
            <family val="2"/>
          </rPr>
          <t>Maximum power pulse length during 'soft start'.</t>
        </r>
        <r>
          <rPr>
            <sz val="8"/>
            <color indexed="81"/>
            <rFont val="Tahoma"/>
            <family val="2"/>
          </rPr>
          <t xml:space="preserve">
PWR_MAX_RPM1 Default value: 25%</t>
        </r>
      </text>
    </comment>
    <comment ref="I13" authorId="1">
      <text>
        <r>
          <rPr>
            <b/>
            <sz val="9"/>
            <color indexed="81"/>
            <rFont val="Tahoma"/>
            <family val="2"/>
          </rPr>
          <t>0% to 95% in 5% increments.</t>
        </r>
      </text>
    </comment>
    <comment ref="I15" authorId="1">
      <text>
        <r>
          <rPr>
            <b/>
            <sz val="9"/>
            <color indexed="81"/>
            <rFont val="Tahoma"/>
            <family val="2"/>
          </rPr>
          <t>Zero out unused lengths and radii.</t>
        </r>
        <r>
          <rPr>
            <sz val="9"/>
            <color indexed="81"/>
            <rFont val="Tahoma"/>
            <family val="2"/>
          </rPr>
          <t xml:space="preserve">
</t>
        </r>
      </text>
    </comment>
    <comment ref="I19" authorId="1">
      <text>
        <r>
          <rPr>
            <sz val="9"/>
            <color indexed="81"/>
            <rFont val="Tahoma"/>
            <family val="2"/>
          </rPr>
          <t>Default value is typical: 8  m</t>
        </r>
        <r>
          <rPr>
            <sz val="9"/>
            <color indexed="81"/>
            <rFont val="Symbol"/>
            <family val="1"/>
            <charset val="2"/>
          </rPr>
          <t>W</t>
        </r>
        <r>
          <rPr>
            <sz val="9"/>
            <color indexed="81"/>
            <rFont val="Tahoma"/>
            <family val="2"/>
          </rPr>
          <t xml:space="preserve"> per cell. </t>
        </r>
      </text>
    </comment>
  </commentList>
</comments>
</file>

<file path=xl/comments2.xml><?xml version="1.0" encoding="utf-8"?>
<comments xmlns="http://schemas.openxmlformats.org/spreadsheetml/2006/main">
  <authors>
    <author>Windows User</author>
    <author>ODOT User</author>
  </authors>
  <commentList>
    <comment ref="A1" authorId="0">
      <text>
        <r>
          <rPr>
            <b/>
            <sz val="9"/>
            <color indexed="81"/>
            <rFont val="Tahoma"/>
            <family val="2"/>
          </rPr>
          <t>From radio buttons: 
1 = brushed
2 = brushless</t>
        </r>
        <r>
          <rPr>
            <sz val="9"/>
            <color indexed="81"/>
            <rFont val="Tahoma"/>
            <family val="2"/>
          </rPr>
          <t xml:space="preserve">
</t>
        </r>
      </text>
    </comment>
    <comment ref="C1" authorId="1">
      <text>
        <r>
          <rPr>
            <b/>
            <sz val="8"/>
            <color indexed="81"/>
            <rFont val="Tahoma"/>
            <family val="2"/>
          </rPr>
          <t>Time constant when ESC 'soft start' is active.</t>
        </r>
        <r>
          <rPr>
            <sz val="8"/>
            <color indexed="81"/>
            <rFont val="Tahoma"/>
            <family val="2"/>
          </rPr>
          <t xml:space="preserve">
</t>
        </r>
      </text>
    </comment>
    <comment ref="F1" authorId="1">
      <text>
        <r>
          <rPr>
            <b/>
            <sz val="8"/>
            <color indexed="81"/>
            <rFont val="Tahoma"/>
            <family val="2"/>
          </rPr>
          <t>Theoretical stall torque in N-m</t>
        </r>
        <r>
          <rPr>
            <sz val="8"/>
            <color indexed="81"/>
            <rFont val="Tahoma"/>
            <family val="2"/>
          </rPr>
          <t xml:space="preserve">
</t>
        </r>
      </text>
    </comment>
    <comment ref="G1" authorId="1">
      <text>
        <r>
          <rPr>
            <b/>
            <sz val="8"/>
            <color indexed="81"/>
            <rFont val="Tahoma"/>
            <family val="2"/>
          </rPr>
          <t>Theoretical Stall Amps</t>
        </r>
        <r>
          <rPr>
            <sz val="8"/>
            <color indexed="81"/>
            <rFont val="Tahoma"/>
            <family val="2"/>
          </rPr>
          <t xml:space="preserve">
</t>
        </r>
      </text>
    </comment>
    <comment ref="I1" authorId="1">
      <text>
        <r>
          <rPr>
            <b/>
            <sz val="8"/>
            <color indexed="81"/>
            <rFont val="Tahoma"/>
            <family val="2"/>
          </rPr>
          <t>Weapon RPM where ESC 'soft start' cuts out.</t>
        </r>
      </text>
    </comment>
    <comment ref="J1" authorId="0">
      <text>
        <r>
          <rPr>
            <b/>
            <sz val="9"/>
            <color indexed="81"/>
            <rFont val="Tahoma"/>
            <family val="2"/>
          </rPr>
          <t>Combined motor Ri and estimated battery Ri</t>
        </r>
        <r>
          <rPr>
            <sz val="9"/>
            <color indexed="81"/>
            <rFont val="Tahoma"/>
            <family val="2"/>
          </rPr>
          <t xml:space="preserve">
</t>
        </r>
      </text>
    </comment>
  </commentList>
</comments>
</file>

<file path=xl/sharedStrings.xml><?xml version="1.0" encoding="utf-8"?>
<sst xmlns="http://schemas.openxmlformats.org/spreadsheetml/2006/main" count="145" uniqueCount="110">
  <si>
    <t>RPM</t>
  </si>
  <si>
    <t>Mass</t>
  </si>
  <si>
    <t>to 1</t>
  </si>
  <si>
    <t>mm</t>
  </si>
  <si>
    <t>Thickness</t>
  </si>
  <si>
    <t>Radius</t>
  </si>
  <si>
    <t>Length</t>
  </si>
  <si>
    <t>Width</t>
  </si>
  <si>
    <t>Gear Reduction</t>
  </si>
  <si>
    <t>Moment of Inertia</t>
  </si>
  <si>
    <t>For a disk</t>
  </si>
  <si>
    <t>Total</t>
  </si>
  <si>
    <t>Seconds</t>
  </si>
  <si>
    <t>Time Constant</t>
  </si>
  <si>
    <t>Max RPM</t>
  </si>
  <si>
    <t>% RPM</t>
  </si>
  <si>
    <t>MOI</t>
  </si>
  <si>
    <t>Joules</t>
  </si>
  <si>
    <t>Conversions</t>
  </si>
  <si>
    <r>
      <t>kg/m</t>
    </r>
    <r>
      <rPr>
        <b/>
        <vertAlign val="superscript"/>
        <sz val="9"/>
        <color indexed="18"/>
        <rFont val="Arial"/>
        <family val="2"/>
      </rPr>
      <t>3</t>
    </r>
  </si>
  <si>
    <t>Material Density</t>
  </si>
  <si>
    <t>For a ring     or tube</t>
  </si>
  <si>
    <t>For a bar</t>
  </si>
  <si>
    <t>Outer Radius</t>
  </si>
  <si>
    <t xml:space="preserve">Click on the 'Calculations' tab below to go to the main worksheet. </t>
  </si>
  <si>
    <t xml:space="preserve"> volts</t>
  </si>
  <si>
    <t>minutes</t>
  </si>
  <si>
    <t>amp hours</t>
  </si>
  <si>
    <t>Spin-ups</t>
  </si>
  <si>
    <t>per match</t>
  </si>
  <si>
    <t>Match length</t>
  </si>
  <si>
    <t>Power required</t>
  </si>
  <si>
    <t>Wall Thickness</t>
  </si>
  <si>
    <t>Height (Length)</t>
  </si>
  <si>
    <t>- Feared heavyweight 'Last Rites' can store upwards of 400 joules per pound in it's massive spinning bar.</t>
  </si>
  <si>
    <t>Known MOI</t>
  </si>
  <si>
    <t>Custom Element</t>
  </si>
  <si>
    <t>Ratio</t>
  </si>
  <si>
    <t>Cutover</t>
  </si>
  <si>
    <t>---</t>
  </si>
  <si>
    <t>Seconds Full</t>
  </si>
  <si>
    <t>Gain</t>
  </si>
  <si>
    <t>Seconds'</t>
  </si>
  <si>
    <t>Gain'</t>
  </si>
  <si>
    <t>Time'</t>
  </si>
  <si>
    <t>Voltage</t>
  </si>
  <si>
    <t>Kv</t>
  </si>
  <si>
    <t>Ri</t>
  </si>
  <si>
    <t>Torque</t>
  </si>
  <si>
    <t xml:space="preserve"> rpm / volt</t>
  </si>
  <si>
    <t>Poles</t>
  </si>
  <si>
    <t xml:space="preserve">Steel </t>
  </si>
  <si>
    <t xml:space="preserve">Titanium </t>
  </si>
  <si>
    <t xml:space="preserve">Aluminum </t>
  </si>
  <si>
    <t xml:space="preserve">Magnesuim </t>
  </si>
  <si>
    <t xml:space="preserve">Carbon Fiber </t>
  </si>
  <si>
    <t xml:space="preserve">Lexan </t>
  </si>
  <si>
    <t>Amps</t>
  </si>
  <si>
    <t>Stall Current</t>
  </si>
  <si>
    <t>volts</t>
  </si>
  <si>
    <t>amps</t>
  </si>
  <si>
    <t>@ Voltage</t>
  </si>
  <si>
    <r>
      <t>m</t>
    </r>
    <r>
      <rPr>
        <sz val="10"/>
        <rFont val="Symbol"/>
        <family val="1"/>
        <charset val="2"/>
      </rPr>
      <t>W</t>
    </r>
  </si>
  <si>
    <r>
      <t>Brushed Motor 'Ri'</t>
    </r>
    <r>
      <rPr>
        <sz val="10"/>
        <color rgb="FF002060"/>
        <rFont val="Symbol"/>
        <family val="1"/>
        <charset val="2"/>
      </rPr>
      <t xml:space="preserve"> </t>
    </r>
    <r>
      <rPr>
        <sz val="10"/>
        <color rgb="FF002060"/>
        <rFont val="Arial"/>
        <family val="2"/>
      </rPr>
      <t>Calculator</t>
    </r>
  </si>
  <si>
    <t>Results</t>
  </si>
  <si>
    <t>At:</t>
  </si>
  <si>
    <t>m/sec</t>
  </si>
  <si>
    <t>Energy storage:</t>
  </si>
  <si>
    <t>Tip speed:</t>
  </si>
  <si>
    <t>Elapsed time:</t>
  </si>
  <si>
    <t>Weapon speed:</t>
  </si>
  <si>
    <t>Run Amok Combat Robotics</t>
  </si>
  <si>
    <t>Commutation Max</t>
  </si>
  <si>
    <t>Power Max</t>
  </si>
  <si>
    <t>SimonK</t>
  </si>
  <si>
    <t>Soft Start</t>
  </si>
  <si>
    <t xml:space="preserve">  kilos    →  pounds</t>
  </si>
  <si>
    <t>inches   →  meters</t>
  </si>
  <si>
    <t>Density</t>
  </si>
  <si>
    <t>max RPM</t>
  </si>
  <si>
    <t>meter</t>
  </si>
  <si>
    <t>kilos</t>
  </si>
  <si>
    <r>
      <t>kg-m</t>
    </r>
    <r>
      <rPr>
        <vertAlign val="superscript"/>
        <sz val="8"/>
        <color indexed="18"/>
        <rFont val="Arial"/>
        <family val="2"/>
      </rPr>
      <t>2</t>
    </r>
  </si>
  <si>
    <r>
      <t>kg / m</t>
    </r>
    <r>
      <rPr>
        <vertAlign val="superscript"/>
        <sz val="8"/>
        <color indexed="18"/>
        <rFont val="Arial"/>
        <family val="2"/>
      </rPr>
      <t>3</t>
    </r>
  </si>
  <si>
    <r>
      <t>kg/m</t>
    </r>
    <r>
      <rPr>
        <vertAlign val="superscript"/>
        <sz val="8"/>
        <color indexed="18"/>
        <rFont val="Arial"/>
        <family val="2"/>
      </rPr>
      <t>3</t>
    </r>
  </si>
  <si>
    <t>joules</t>
  </si>
  <si>
    <t>seconds</t>
  </si>
  <si>
    <r>
      <t xml:space="preserve">oz-in    →    </t>
    </r>
    <r>
      <rPr>
        <sz val="9"/>
        <color indexed="18"/>
        <rFont val="Arial"/>
        <family val="2"/>
      </rPr>
      <t>N-m</t>
    </r>
  </si>
  <si>
    <t xml:space="preserve"> Combat Robot Rotary Weapon Moment of Inertia, Spin-Up Time, and Battery Requirement</t>
  </si>
  <si>
    <r>
      <t xml:space="preserve"> m</t>
    </r>
    <r>
      <rPr>
        <sz val="9"/>
        <rFont val="Symbol"/>
        <family val="1"/>
        <charset val="2"/>
      </rPr>
      <t>W</t>
    </r>
  </si>
  <si>
    <t>Battery Power Calcs 2008 by Michael Maples</t>
  </si>
  <si>
    <t>Motor and Drive</t>
  </si>
  <si>
    <t>Key</t>
  </si>
  <si>
    <r>
      <t xml:space="preserve">Tip </t>
    </r>
    <r>
      <rPr>
        <b/>
        <sz val="9"/>
        <color theme="1"/>
        <rFont val="Arial"/>
        <family val="2"/>
      </rPr>
      <t>Radius</t>
    </r>
  </si>
  <si>
    <r>
      <t>Brushed Motor 'Ri'</t>
    </r>
    <r>
      <rPr>
        <b/>
        <sz val="10"/>
        <color rgb="FF002060"/>
        <rFont val="Symbol"/>
        <family val="1"/>
        <charset val="2"/>
      </rPr>
      <t xml:space="preserve"> </t>
    </r>
    <r>
      <rPr>
        <b/>
        <sz val="10"/>
        <color rgb="FF002060"/>
        <rFont val="Arial"/>
        <family val="2"/>
      </rPr>
      <t>Calculator</t>
    </r>
  </si>
  <si>
    <t>- Top-ranked antweight 'Algos' stores about 120 joules per pound in its direct-drive drumette.</t>
  </si>
  <si>
    <t>Spreadsheet copyright 2007 - 2023 by Mark Joerger</t>
  </si>
  <si>
    <r>
      <rPr>
        <b/>
        <u/>
        <sz val="9"/>
        <color rgb="FFC00000"/>
        <rFont val="Arial"/>
        <family val="2"/>
      </rPr>
      <t>How much kinetic energy is enough</t>
    </r>
    <r>
      <rPr>
        <b/>
        <sz val="9"/>
        <color rgb="FFC00000"/>
        <rFont val="Arial"/>
        <family val="2"/>
      </rPr>
      <t>?</t>
    </r>
    <r>
      <rPr>
        <b/>
        <sz val="9"/>
        <color indexed="18"/>
        <rFont val="Arial"/>
        <family val="2"/>
      </rPr>
      <t xml:space="preserve"> </t>
    </r>
    <r>
      <rPr>
        <b/>
        <sz val="9"/>
        <color indexed="23"/>
        <rFont val="Arial"/>
        <family val="2"/>
      </rPr>
      <t>(Updated 2016)</t>
    </r>
    <r>
      <rPr>
        <b/>
        <sz val="9"/>
        <color indexed="18"/>
        <rFont val="Arial"/>
        <family val="2"/>
      </rPr>
      <t xml:space="preserve">  Current tournament results show that a good design with 50 joules of stored energy per pound of the weight class is 'plenty', but some 'bots claim a great deal more. Examples: </t>
    </r>
  </si>
  <si>
    <r>
      <rPr>
        <b/>
        <u/>
        <sz val="9"/>
        <color rgb="FFC00000"/>
        <rFont val="Arial"/>
        <family val="2"/>
      </rPr>
      <t>How fast should your weapon spin-up</t>
    </r>
    <r>
      <rPr>
        <b/>
        <sz val="9"/>
        <color rgb="FFC00000"/>
        <rFont val="Arial"/>
        <family val="2"/>
      </rPr>
      <t>?</t>
    </r>
    <r>
      <rPr>
        <b/>
        <sz val="9"/>
        <color indexed="18"/>
        <rFont val="Arial"/>
        <family val="2"/>
      </rPr>
      <t xml:space="preserve"> Aim for at least 20 joules per pound in the first two seconds. You may get a little more time in large arenas (less in small ones), and you can buy some extra time if your 'bot is nimble enough to protect the weapon from premature impact by dodging.</t>
    </r>
  </si>
  <si>
    <t>Resistance per cell</t>
  </si>
  <si>
    <t>Battery</t>
  </si>
  <si>
    <r>
      <rPr>
        <b/>
        <u/>
        <sz val="9"/>
        <color rgb="FFC00000"/>
        <rFont val="Arial"/>
        <family val="2"/>
      </rPr>
      <t>Battery</t>
    </r>
    <r>
      <rPr>
        <b/>
        <sz val="9"/>
        <color indexed="18"/>
        <rFont val="Arial"/>
        <family val="2"/>
      </rPr>
      <t xml:space="preserve"> - The battery capacity calculation assumes that each weapon hit completely dissipates the energy stored in the weapon, and that the weapon motor draws 5% of stall current to maintain the weapon at speed. </t>
    </r>
    <r>
      <rPr>
        <b/>
        <sz val="9"/>
        <color rgb="FFC00000"/>
        <rFont val="Arial"/>
        <family val="2"/>
      </rPr>
      <t/>
    </r>
  </si>
  <si>
    <t>Total Ri</t>
  </si>
  <si>
    <r>
      <rPr>
        <b/>
        <u/>
        <sz val="9"/>
        <color rgb="FF7030A0"/>
        <rFont val="Arial"/>
        <family val="2"/>
      </rPr>
      <t>NEW to version 20a</t>
    </r>
    <r>
      <rPr>
        <b/>
        <sz val="9"/>
        <color rgb="FF7030A0"/>
        <rFont val="Arial"/>
        <family val="2"/>
      </rPr>
      <t>:</t>
    </r>
    <r>
      <rPr>
        <b/>
        <sz val="9"/>
        <color rgb="FFC00000"/>
        <rFont val="Arial"/>
        <family val="2"/>
      </rPr>
      <t xml:space="preserve"> </t>
    </r>
    <r>
      <rPr>
        <b/>
        <sz val="9"/>
        <color indexed="18"/>
        <rFont val="Arial"/>
        <family val="2"/>
      </rPr>
      <t>The battery section of the spreadsheet now asks for the resistance per battery cell to calculate total system resitance in the motor torque and current calculations - a reasonable default value is 8  mW per cell.</t>
    </r>
  </si>
  <si>
    <r>
      <rPr>
        <b/>
        <u/>
        <sz val="9"/>
        <color rgb="FFC00000"/>
        <rFont val="Arial"/>
        <family val="2"/>
      </rPr>
      <t>Brushless motors</t>
    </r>
    <r>
      <rPr>
        <b/>
        <sz val="9"/>
        <color indexed="18"/>
        <rFont val="Arial"/>
        <family val="2"/>
      </rPr>
      <t xml:space="preserve"> - This spreadsheet correctly models the 'soft-start' feature of 'SimonK' or similar controller firmware. Modeling the motor requires only voltage, RPM per volt (Kv), internal resistance (Ri), and the number of magnetic poles.</t>
    </r>
  </si>
  <si>
    <r>
      <rPr>
        <b/>
        <u/>
        <sz val="9"/>
        <color rgb="FFC00000"/>
        <rFont val="Arial"/>
        <family val="2"/>
      </rPr>
      <t>Brushed motors</t>
    </r>
    <r>
      <rPr>
        <b/>
        <sz val="9"/>
        <color indexed="18"/>
        <rFont val="Arial"/>
        <family val="2"/>
      </rPr>
      <t xml:space="preserve"> - Selecting the 'Brushed' radio button in the 'Motor and Drive' input section will remove all soft-start calculations. A calculator to assist in determining the internal resistance (Ri) of a brushed motor given the stall current is provided at the bottom of this page - </t>
    </r>
    <r>
      <rPr>
        <b/>
        <sz val="9"/>
        <color rgb="FF33CCCC"/>
        <rFont val="Arial"/>
        <family val="2"/>
      </rPr>
      <t>scroll down</t>
    </r>
    <r>
      <rPr>
        <b/>
        <sz val="9"/>
        <color indexed="18"/>
        <rFont val="Arial"/>
        <family val="2"/>
      </rPr>
      <t>.</t>
    </r>
  </si>
  <si>
    <t>Fill in the blue information boxes on the 'Calculations' sheet as appropriate -- set the thickness of any unused elements to zero. Note that the calculations do not include the inertia of the motor rotor or gear train, and neither do they account for aerodynamic drag on the weapon.</t>
  </si>
  <si>
    <t xml:space="preserve">This spreadsheet calculates the mass and moment of inertia for a rotary weapon made up of rings (tubes), disks, and rectangular bars sharing a common center of rotation. Combine elements that make up your weapon. Drums are rings with two disks for ends (calculate as one double thickness disk). Complex items of known MoI may be entered directly as a 'Custom Element'. </t>
  </si>
  <si>
    <t xml:space="preserve">The spreadsheet also calculates the kinetic energy and approximate spin-up time for the weapon when powered by a specific BLDC electric motor and reduction. The example numbers provided with the spreadsheet are for a 'Propdrive 5060 380Kv' BLDC motor geared 2.5:1 spinning a 420mm x 75mm x 24mm steel bar. </t>
  </si>
  <si>
    <t>Brushed / Brushless Motor  -  version20a  -  2023</t>
  </si>
</sst>
</file>

<file path=xl/styles.xml><?xml version="1.0" encoding="utf-8"?>
<styleSheet xmlns="http://schemas.openxmlformats.org/spreadsheetml/2006/main">
  <numFmts count="4">
    <numFmt numFmtId="43" formatCode="_(* #,##0.00_);_(* \(#,##0.00\);_(* &quot;-&quot;??_);_(@_)"/>
    <numFmt numFmtId="164" formatCode="0.000"/>
    <numFmt numFmtId="165" formatCode="0.0"/>
    <numFmt numFmtId="166" formatCode="0.0000"/>
  </numFmts>
  <fonts count="45">
    <font>
      <sz val="10"/>
      <name val="Arial"/>
    </font>
    <font>
      <sz val="10"/>
      <name val="Arial"/>
      <family val="2"/>
    </font>
    <font>
      <u/>
      <sz val="10"/>
      <color indexed="12"/>
      <name val="Arial"/>
      <family val="2"/>
    </font>
    <font>
      <sz val="9"/>
      <name val="Arial"/>
      <family val="2"/>
    </font>
    <font>
      <sz val="9"/>
      <color indexed="12"/>
      <name val="Arial"/>
      <family val="2"/>
    </font>
    <font>
      <sz val="9"/>
      <color indexed="10"/>
      <name val="Arial"/>
      <family val="2"/>
    </font>
    <font>
      <b/>
      <sz val="9"/>
      <color indexed="10"/>
      <name val="Arial"/>
      <family val="2"/>
    </font>
    <font>
      <b/>
      <sz val="9"/>
      <color indexed="18"/>
      <name val="Arial"/>
      <family val="2"/>
    </font>
    <font>
      <sz val="9"/>
      <color indexed="18"/>
      <name val="Arial"/>
      <family val="2"/>
    </font>
    <font>
      <sz val="9"/>
      <color indexed="18"/>
      <name val="Arial"/>
      <family val="2"/>
    </font>
    <font>
      <sz val="10"/>
      <color indexed="10"/>
      <name val="Arial"/>
      <family val="2"/>
    </font>
    <font>
      <sz val="10"/>
      <color indexed="18"/>
      <name val="Arial"/>
      <family val="2"/>
    </font>
    <font>
      <b/>
      <vertAlign val="superscript"/>
      <sz val="9"/>
      <color indexed="18"/>
      <name val="Arial"/>
      <family val="2"/>
    </font>
    <font>
      <sz val="10"/>
      <name val="Symbol"/>
      <family val="1"/>
      <charset val="2"/>
    </font>
    <font>
      <sz val="9"/>
      <color indexed="9"/>
      <name val="Arial"/>
      <family val="2"/>
    </font>
    <font>
      <b/>
      <sz val="9"/>
      <color indexed="23"/>
      <name val="Arial"/>
      <family val="2"/>
    </font>
    <font>
      <sz val="10"/>
      <color theme="0" tint="-0.249977111117893"/>
      <name val="Arial"/>
      <family val="2"/>
    </font>
    <font>
      <sz val="10"/>
      <color indexed="18"/>
      <name val="Arial"/>
      <family val="2"/>
    </font>
    <font>
      <sz val="8"/>
      <color indexed="81"/>
      <name val="Tahoma"/>
      <family val="2"/>
    </font>
    <font>
      <b/>
      <sz val="8"/>
      <color indexed="81"/>
      <name val="Tahoma"/>
      <family val="2"/>
    </font>
    <font>
      <b/>
      <sz val="9"/>
      <color rgb="FF002060"/>
      <name val="Arial"/>
      <family val="2"/>
    </font>
    <font>
      <b/>
      <sz val="11"/>
      <color indexed="18"/>
      <name val="Arial"/>
      <family val="2"/>
    </font>
    <font>
      <sz val="9"/>
      <color indexed="10"/>
      <name val="Arial"/>
      <family val="2"/>
    </font>
    <font>
      <sz val="9"/>
      <color rgb="FF002060"/>
      <name val="Arial"/>
      <family val="2"/>
    </font>
    <font>
      <sz val="10"/>
      <color rgb="FF002060"/>
      <name val="Symbol"/>
      <family val="1"/>
      <charset val="2"/>
    </font>
    <font>
      <sz val="10"/>
      <color rgb="FF002060"/>
      <name val="Arial"/>
      <family val="2"/>
    </font>
    <font>
      <u/>
      <sz val="10"/>
      <color theme="2" tint="-0.499984740745262"/>
      <name val="Arial"/>
      <family val="2"/>
    </font>
    <font>
      <sz val="9"/>
      <color rgb="FFFFFFCC"/>
      <name val="Arial"/>
      <family val="2"/>
    </font>
    <font>
      <u/>
      <sz val="11"/>
      <color rgb="FFFFFFCC"/>
      <name val="Arial"/>
      <family val="2"/>
    </font>
    <font>
      <sz val="8"/>
      <color indexed="18"/>
      <name val="Arial"/>
      <family val="2"/>
    </font>
    <font>
      <vertAlign val="superscript"/>
      <sz val="8"/>
      <color indexed="18"/>
      <name val="Arial"/>
      <family val="2"/>
    </font>
    <font>
      <sz val="9"/>
      <name val="Symbol"/>
      <family val="1"/>
      <charset val="2"/>
    </font>
    <font>
      <b/>
      <sz val="9"/>
      <color rgb="FF33CCCC"/>
      <name val="Arial"/>
      <family val="2"/>
    </font>
    <font>
      <sz val="8"/>
      <color rgb="FF000000"/>
      <name val="Tahoma"/>
      <family val="2"/>
    </font>
    <font>
      <b/>
      <sz val="9"/>
      <color theme="1"/>
      <name val="Arial"/>
      <family val="2"/>
    </font>
    <font>
      <b/>
      <sz val="10"/>
      <color rgb="FF002060"/>
      <name val="Symbol"/>
      <family val="1"/>
      <charset val="2"/>
    </font>
    <font>
      <b/>
      <sz val="10"/>
      <color rgb="FF002060"/>
      <name val="Arial"/>
      <family val="2"/>
    </font>
    <font>
      <b/>
      <sz val="9"/>
      <color rgb="FFC00000"/>
      <name val="Arial"/>
      <family val="2"/>
    </font>
    <font>
      <b/>
      <sz val="8"/>
      <color rgb="FFC00000"/>
      <name val="Arial"/>
      <family val="2"/>
    </font>
    <font>
      <b/>
      <u/>
      <sz val="9"/>
      <color rgb="FFC00000"/>
      <name val="Arial"/>
      <family val="2"/>
    </font>
    <font>
      <sz val="9"/>
      <color indexed="81"/>
      <name val="Tahoma"/>
      <family val="2"/>
    </font>
    <font>
      <sz val="9"/>
      <color indexed="81"/>
      <name val="Symbol"/>
      <family val="1"/>
      <charset val="2"/>
    </font>
    <font>
      <b/>
      <sz val="9"/>
      <color indexed="81"/>
      <name val="Tahoma"/>
      <family val="2"/>
    </font>
    <font>
      <b/>
      <u/>
      <sz val="9"/>
      <color rgb="FF7030A0"/>
      <name val="Arial"/>
      <family val="2"/>
    </font>
    <font>
      <b/>
      <sz val="9"/>
      <color rgb="FF7030A0"/>
      <name val="Arial"/>
      <family val="2"/>
    </font>
  </fonts>
  <fills count="10">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theme="2" tint="-0.249977111117893"/>
        <bgColor indexed="64"/>
      </patternFill>
    </fill>
    <fill>
      <patternFill patternType="solid">
        <fgColor rgb="FFCCFFCC"/>
        <bgColor indexed="64"/>
      </patternFill>
    </fill>
    <fill>
      <patternFill patternType="solid">
        <fgColor theme="0" tint="-0.14999847407452621"/>
        <bgColor indexed="64"/>
      </patternFill>
    </fill>
    <fill>
      <patternFill patternType="solid">
        <fgColor rgb="FFFFFFCC"/>
        <bgColor indexed="64"/>
      </patternFill>
    </fill>
    <fill>
      <patternFill patternType="solid">
        <fgColor theme="0"/>
        <bgColor indexed="64"/>
      </patternFill>
    </fill>
    <fill>
      <patternFill patternType="solid">
        <fgColor theme="2"/>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auto="1"/>
      </bottom>
      <diagonal/>
    </border>
    <border>
      <left style="thin">
        <color indexed="64"/>
      </left>
      <right style="thin">
        <color indexed="64"/>
      </right>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auto="1"/>
      </top>
      <bottom/>
      <diagonal/>
    </border>
    <border>
      <left/>
      <right style="thin">
        <color indexed="64"/>
      </right>
      <top style="thin">
        <color auto="1"/>
      </top>
      <bottom/>
      <diagonal/>
    </border>
    <border>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right/>
      <top style="thin">
        <color indexed="64"/>
      </top>
      <bottom/>
      <diagonal/>
    </border>
    <border>
      <left style="medium">
        <color rgb="FFFFFFCC"/>
      </left>
      <right/>
      <top style="medium">
        <color rgb="FFFFFFCC"/>
      </top>
      <bottom/>
      <diagonal/>
    </border>
    <border>
      <left/>
      <right/>
      <top style="medium">
        <color rgb="FFFFFFCC"/>
      </top>
      <bottom/>
      <diagonal/>
    </border>
    <border>
      <left/>
      <right style="medium">
        <color rgb="FFFFFFCC"/>
      </right>
      <top style="medium">
        <color rgb="FFFFFFCC"/>
      </top>
      <bottom/>
      <diagonal/>
    </border>
    <border>
      <left style="medium">
        <color rgb="FFFFFFCC"/>
      </left>
      <right/>
      <top/>
      <bottom/>
      <diagonal/>
    </border>
    <border>
      <left/>
      <right style="medium">
        <color rgb="FFFFFFCC"/>
      </right>
      <top/>
      <bottom/>
      <diagonal/>
    </border>
    <border>
      <left style="medium">
        <color rgb="FFFFFFCC"/>
      </left>
      <right/>
      <top/>
      <bottom style="medium">
        <color rgb="FFFFFFCC"/>
      </bottom>
      <diagonal/>
    </border>
    <border>
      <left/>
      <right/>
      <top/>
      <bottom style="medium">
        <color rgb="FFFFFFCC"/>
      </bottom>
      <diagonal/>
    </border>
    <border>
      <left/>
      <right style="medium">
        <color rgb="FFFFFFCC"/>
      </right>
      <top/>
      <bottom style="medium">
        <color rgb="FFFFFFCC"/>
      </bottom>
      <diagonal/>
    </border>
    <border>
      <left/>
      <right/>
      <top/>
      <bottom style="thin">
        <color indexed="64"/>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theme="0"/>
      </top>
      <bottom style="thin">
        <color rgb="FF92D050"/>
      </bottom>
      <diagonal/>
    </border>
    <border>
      <left/>
      <right/>
      <top style="thin">
        <color theme="0"/>
      </top>
      <bottom style="thin">
        <color rgb="FF92D050"/>
      </bottom>
      <diagonal/>
    </border>
    <border>
      <left/>
      <right style="thin">
        <color indexed="64"/>
      </right>
      <top style="thin">
        <color theme="0"/>
      </top>
      <bottom style="thin">
        <color rgb="FF92D050"/>
      </bottom>
      <diagonal/>
    </border>
    <border>
      <left style="thin">
        <color indexed="64"/>
      </left>
      <right/>
      <top style="thin">
        <color rgb="FF92D050"/>
      </top>
      <bottom style="thin">
        <color indexed="64"/>
      </bottom>
      <diagonal/>
    </border>
    <border>
      <left/>
      <right/>
      <top style="thin">
        <color rgb="FF92D050"/>
      </top>
      <bottom style="thin">
        <color indexed="64"/>
      </bottom>
      <diagonal/>
    </border>
    <border>
      <left/>
      <right style="thin">
        <color indexed="64"/>
      </right>
      <top style="thin">
        <color rgb="FF92D050"/>
      </top>
      <bottom style="thin">
        <color indexed="64"/>
      </bottom>
      <diagonal/>
    </border>
    <border>
      <left style="thin">
        <color indexed="64"/>
      </left>
      <right/>
      <top style="thin">
        <color rgb="FF92D050"/>
      </top>
      <bottom style="thin">
        <color rgb="FF92D050"/>
      </bottom>
      <diagonal/>
    </border>
    <border>
      <left/>
      <right/>
      <top style="thin">
        <color rgb="FF92D050"/>
      </top>
      <bottom style="thin">
        <color rgb="FF92D050"/>
      </bottom>
      <diagonal/>
    </border>
    <border>
      <left/>
      <right style="thin">
        <color indexed="64"/>
      </right>
      <top style="thin">
        <color rgb="FF92D050"/>
      </top>
      <bottom style="thin">
        <color rgb="FF92D050"/>
      </bottom>
      <diagonal/>
    </border>
    <border>
      <left style="thin">
        <color indexed="64"/>
      </left>
      <right/>
      <top style="thin">
        <color rgb="FF92D050"/>
      </top>
      <bottom style="thin">
        <color theme="0"/>
      </bottom>
      <diagonal/>
    </border>
    <border>
      <left/>
      <right/>
      <top style="thin">
        <color rgb="FF92D050"/>
      </top>
      <bottom style="thin">
        <color theme="0"/>
      </bottom>
      <diagonal/>
    </border>
    <border>
      <left/>
      <right style="thin">
        <color indexed="64"/>
      </right>
      <top style="thin">
        <color rgb="FF92D050"/>
      </top>
      <bottom style="thin">
        <color theme="0"/>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77">
    <xf numFmtId="0" fontId="0" fillId="0" borderId="0" xfId="0"/>
    <xf numFmtId="0" fontId="3" fillId="0" borderId="0" xfId="0" applyFont="1"/>
    <xf numFmtId="0" fontId="4" fillId="2" borderId="1" xfId="0" applyFont="1" applyFill="1" applyBorder="1" applyAlignment="1" applyProtection="1">
      <alignment vertical="center"/>
      <protection locked="0"/>
    </xf>
    <xf numFmtId="164" fontId="4" fillId="2" borderId="1" xfId="0" applyNumberFormat="1" applyFont="1" applyFill="1" applyBorder="1" applyProtection="1">
      <protection locked="0"/>
    </xf>
    <xf numFmtId="165" fontId="4" fillId="2" borderId="1" xfId="0" applyNumberFormat="1" applyFont="1" applyFill="1" applyBorder="1" applyProtection="1">
      <protection locked="0"/>
    </xf>
    <xf numFmtId="2" fontId="10" fillId="0" borderId="1" xfId="0" applyNumberFormat="1" applyFont="1" applyBorder="1" applyAlignment="1">
      <alignment horizontal="center"/>
    </xf>
    <xf numFmtId="1" fontId="10" fillId="0" borderId="1" xfId="0" applyNumberFormat="1" applyFont="1" applyBorder="1" applyAlignment="1">
      <alignment horizontal="center"/>
    </xf>
    <xf numFmtId="0" fontId="11" fillId="3" borderId="1" xfId="0" applyFont="1" applyFill="1" applyBorder="1" applyAlignment="1">
      <alignment horizontal="center"/>
    </xf>
    <xf numFmtId="0" fontId="11" fillId="3" borderId="8" xfId="0" applyFont="1" applyFill="1" applyBorder="1" applyAlignment="1">
      <alignment horizontal="center"/>
    </xf>
    <xf numFmtId="0" fontId="17" fillId="3" borderId="1" xfId="0" applyFont="1" applyFill="1" applyBorder="1" applyAlignment="1">
      <alignment horizontal="center"/>
    </xf>
    <xf numFmtId="0" fontId="16" fillId="0" borderId="10" xfId="0" quotePrefix="1" applyFont="1" applyBorder="1" applyAlignment="1">
      <alignment horizontal="center"/>
    </xf>
    <xf numFmtId="2" fontId="16" fillId="0" borderId="10" xfId="0" applyNumberFormat="1" applyFont="1" applyBorder="1" applyAlignment="1">
      <alignment horizontal="center"/>
    </xf>
    <xf numFmtId="0" fontId="11" fillId="3" borderId="9" xfId="0" applyFont="1" applyFill="1" applyBorder="1" applyAlignment="1">
      <alignment horizontal="center"/>
    </xf>
    <xf numFmtId="9" fontId="11" fillId="0" borderId="9" xfId="3" applyFont="1" applyBorder="1" applyAlignment="1">
      <alignment horizontal="center"/>
    </xf>
    <xf numFmtId="0" fontId="11" fillId="3" borderId="12" xfId="0" applyFont="1" applyFill="1" applyBorder="1" applyAlignment="1">
      <alignment horizontal="center"/>
    </xf>
    <xf numFmtId="0" fontId="16" fillId="0" borderId="12" xfId="0" quotePrefix="1" applyFont="1" applyBorder="1" applyAlignment="1">
      <alignment horizontal="center"/>
    </xf>
    <xf numFmtId="2" fontId="16" fillId="0" borderId="12" xfId="0" applyNumberFormat="1" applyFont="1" applyBorder="1" applyAlignment="1">
      <alignment horizontal="center"/>
    </xf>
    <xf numFmtId="0" fontId="3" fillId="4" borderId="0" xfId="0" applyFont="1" applyFill="1"/>
    <xf numFmtId="0" fontId="0" fillId="4" borderId="0" xfId="0" applyFill="1"/>
    <xf numFmtId="1" fontId="4" fillId="2" borderId="1" xfId="0" applyNumberFormat="1" applyFont="1" applyFill="1" applyBorder="1" applyProtection="1">
      <protection locked="0"/>
    </xf>
    <xf numFmtId="0" fontId="17" fillId="3" borderId="8" xfId="0" applyFont="1" applyFill="1" applyBorder="1" applyAlignment="1">
      <alignment horizontal="center"/>
    </xf>
    <xf numFmtId="0" fontId="8" fillId="0" borderId="18" xfId="0" applyFont="1" applyBorder="1" applyAlignment="1">
      <alignment horizontal="left" indent="1"/>
    </xf>
    <xf numFmtId="0" fontId="9" fillId="0" borderId="8" xfId="0" applyFont="1" applyBorder="1" applyAlignment="1">
      <alignment horizontal="left" indent="1"/>
    </xf>
    <xf numFmtId="0" fontId="9" fillId="0" borderId="13" xfId="0" applyFont="1" applyBorder="1" applyAlignment="1">
      <alignment horizontal="left" indent="1"/>
    </xf>
    <xf numFmtId="0" fontId="9" fillId="0" borderId="18" xfId="0" applyFont="1" applyBorder="1" applyAlignment="1">
      <alignment horizontal="right" indent="1"/>
    </xf>
    <xf numFmtId="0" fontId="9" fillId="0" borderId="8" xfId="0" applyFont="1" applyBorder="1" applyAlignment="1">
      <alignment horizontal="right" indent="1"/>
    </xf>
    <xf numFmtId="0" fontId="9" fillId="0" borderId="13" xfId="0" applyFont="1" applyBorder="1" applyAlignment="1">
      <alignment horizontal="right" indent="1"/>
    </xf>
    <xf numFmtId="2" fontId="10" fillId="6" borderId="1" xfId="0" applyNumberFormat="1" applyFont="1" applyFill="1" applyBorder="1" applyAlignment="1">
      <alignment horizontal="center"/>
    </xf>
    <xf numFmtId="2" fontId="16" fillId="6" borderId="10" xfId="0" applyNumberFormat="1" applyFont="1" applyFill="1" applyBorder="1" applyAlignment="1">
      <alignment horizontal="center"/>
    </xf>
    <xf numFmtId="2" fontId="16" fillId="6" borderId="12" xfId="0" applyNumberFormat="1" applyFont="1" applyFill="1" applyBorder="1" applyAlignment="1">
      <alignment horizontal="center"/>
    </xf>
    <xf numFmtId="9" fontId="11" fillId="6" borderId="9" xfId="3" applyFont="1" applyFill="1" applyBorder="1" applyAlignment="1">
      <alignment horizontal="center"/>
    </xf>
    <xf numFmtId="1" fontId="10" fillId="6" borderId="1" xfId="0" applyNumberFormat="1" applyFont="1" applyFill="1" applyBorder="1" applyAlignment="1">
      <alignment horizontal="center"/>
    </xf>
    <xf numFmtId="9" fontId="4" fillId="2" borderId="10" xfId="3" applyFont="1" applyFill="1" applyBorder="1" applyProtection="1">
      <protection locked="0"/>
    </xf>
    <xf numFmtId="1" fontId="5" fillId="0" borderId="1" xfId="0" applyNumberFormat="1" applyFont="1" applyBorder="1"/>
    <xf numFmtId="0" fontId="4" fillId="2" borderId="15" xfId="0" applyFont="1" applyFill="1" applyBorder="1" applyProtection="1">
      <protection locked="0"/>
    </xf>
    <xf numFmtId="164" fontId="4" fillId="2" borderId="15" xfId="0" applyNumberFormat="1" applyFont="1" applyFill="1" applyBorder="1" applyProtection="1">
      <protection locked="0"/>
    </xf>
    <xf numFmtId="165" fontId="4" fillId="2" borderId="15" xfId="0" applyNumberFormat="1" applyFont="1" applyFill="1" applyBorder="1" applyProtection="1">
      <protection locked="0"/>
    </xf>
    <xf numFmtId="0" fontId="4" fillId="2" borderId="15" xfId="0" applyFont="1" applyFill="1" applyBorder="1" applyAlignment="1" applyProtection="1">
      <alignment horizontal="right" vertical="center"/>
      <protection locked="0"/>
    </xf>
    <xf numFmtId="1" fontId="4" fillId="2" borderId="15" xfId="0" applyNumberFormat="1" applyFont="1" applyFill="1" applyBorder="1" applyAlignment="1" applyProtection="1">
      <alignment horizontal="right"/>
      <protection locked="0"/>
    </xf>
    <xf numFmtId="0" fontId="4" fillId="2" borderId="15" xfId="0" applyFont="1" applyFill="1" applyBorder="1" applyAlignment="1" applyProtection="1">
      <alignment horizontal="right"/>
      <protection locked="0"/>
    </xf>
    <xf numFmtId="0" fontId="4" fillId="2" borderId="6" xfId="0" applyFont="1" applyFill="1" applyBorder="1" applyAlignment="1" applyProtection="1">
      <alignment horizontal="center"/>
      <protection locked="0"/>
    </xf>
    <xf numFmtId="9" fontId="4" fillId="2" borderId="15" xfId="3" applyFont="1" applyFill="1" applyBorder="1" applyAlignment="1" applyProtection="1">
      <alignment horizontal="right"/>
      <protection locked="0"/>
    </xf>
    <xf numFmtId="0" fontId="3" fillId="4" borderId="0" xfId="0" applyFont="1" applyFill="1" applyProtection="1"/>
    <xf numFmtId="0" fontId="29" fillId="0" borderId="3" xfId="0" applyFont="1" applyBorder="1" applyAlignment="1" applyProtection="1">
      <alignment horizontal="left" indent="1"/>
    </xf>
    <xf numFmtId="0" fontId="8" fillId="0" borderId="3" xfId="0" applyFont="1" applyBorder="1" applyAlignment="1" applyProtection="1">
      <alignment horizontal="left" indent="1"/>
    </xf>
    <xf numFmtId="0" fontId="26" fillId="4" borderId="0" xfId="2" applyFont="1" applyFill="1" applyBorder="1" applyAlignment="1" applyProtection="1">
      <alignment horizontal="center"/>
    </xf>
    <xf numFmtId="0" fontId="2" fillId="4" borderId="0" xfId="2" applyFill="1" applyBorder="1" applyAlignment="1" applyProtection="1"/>
    <xf numFmtId="0" fontId="8" fillId="0" borderId="4" xfId="0" applyFont="1" applyBorder="1" applyAlignment="1" applyProtection="1">
      <alignment horizontal="left" indent="1"/>
    </xf>
    <xf numFmtId="0" fontId="5" fillId="0" borderId="15" xfId="0" applyNumberFormat="1" applyFont="1" applyBorder="1" applyProtection="1"/>
    <xf numFmtId="0" fontId="29" fillId="0" borderId="4" xfId="0" applyFont="1" applyBorder="1" applyAlignment="1" applyProtection="1">
      <alignment horizontal="left" vertical="center" indent="1"/>
    </xf>
    <xf numFmtId="0" fontId="20" fillId="3" borderId="8" xfId="0" applyFont="1" applyFill="1" applyBorder="1" applyAlignment="1" applyProtection="1">
      <alignment horizontal="left" vertical="center" wrapText="1"/>
    </xf>
    <xf numFmtId="2" fontId="5" fillId="0" borderId="15" xfId="0" applyNumberFormat="1" applyFont="1" applyBorder="1" applyProtection="1"/>
    <xf numFmtId="0" fontId="8" fillId="0" borderId="5" xfId="0" applyFont="1" applyBorder="1" applyAlignment="1" applyProtection="1">
      <alignment horizontal="left" indent="1"/>
    </xf>
    <xf numFmtId="0" fontId="20" fillId="3" borderId="13" xfId="0" applyFont="1" applyFill="1" applyBorder="1" applyAlignment="1" applyProtection="1">
      <alignment horizontal="left" vertical="center" wrapText="1"/>
    </xf>
    <xf numFmtId="0" fontId="3" fillId="4" borderId="0" xfId="0" applyFont="1" applyFill="1" applyAlignment="1" applyProtection="1">
      <alignment horizontal="center"/>
    </xf>
    <xf numFmtId="0" fontId="7" fillId="3" borderId="23" xfId="0" applyFont="1" applyFill="1" applyBorder="1" applyAlignment="1" applyProtection="1">
      <alignment horizontal="center" vertical="center" wrapText="1"/>
    </xf>
    <xf numFmtId="0" fontId="8" fillId="0" borderId="23" xfId="0" applyFont="1" applyBorder="1" applyAlignment="1" applyProtection="1">
      <alignment horizontal="left" indent="1"/>
    </xf>
    <xf numFmtId="0" fontId="7" fillId="3" borderId="6" xfId="0" applyFont="1" applyFill="1" applyBorder="1" applyAlignment="1" applyProtection="1">
      <alignment horizontal="center" vertical="center" wrapText="1"/>
    </xf>
    <xf numFmtId="0" fontId="8" fillId="0" borderId="13" xfId="0" applyFont="1" applyBorder="1" applyAlignment="1" applyProtection="1">
      <alignment horizontal="left" indent="1"/>
    </xf>
    <xf numFmtId="0" fontId="14" fillId="4" borderId="0" xfId="0" applyFont="1" applyFill="1" applyBorder="1" applyAlignment="1" applyProtection="1"/>
    <xf numFmtId="0" fontId="0" fillId="4" borderId="0" xfId="0" applyFill="1" applyProtection="1"/>
    <xf numFmtId="0" fontId="3" fillId="4" borderId="0" xfId="0" applyFont="1" applyFill="1" applyBorder="1" applyAlignment="1" applyProtection="1">
      <alignment horizontal="center"/>
    </xf>
    <xf numFmtId="0" fontId="5" fillId="0" borderId="1" xfId="0" applyNumberFormat="1" applyFont="1" applyBorder="1" applyProtection="1"/>
    <xf numFmtId="0" fontId="9" fillId="0" borderId="8" xfId="0" applyFont="1" applyBorder="1" applyAlignment="1" applyProtection="1">
      <alignment horizontal="left" indent="1"/>
    </xf>
    <xf numFmtId="0" fontId="3" fillId="4" borderId="0" xfId="0" applyFont="1" applyFill="1" applyBorder="1" applyProtection="1"/>
    <xf numFmtId="2" fontId="5" fillId="0" borderId="1" xfId="0" applyNumberFormat="1" applyFont="1" applyBorder="1" applyProtection="1"/>
    <xf numFmtId="0" fontId="0" fillId="4" borderId="0" xfId="0" applyFill="1" applyBorder="1" applyProtection="1"/>
    <xf numFmtId="0" fontId="14" fillId="4" borderId="0" xfId="0" applyFont="1" applyFill="1" applyBorder="1" applyAlignment="1" applyProtection="1">
      <alignment vertical="center"/>
    </xf>
    <xf numFmtId="0" fontId="8" fillId="0" borderId="19" xfId="0" applyFont="1" applyBorder="1" applyAlignment="1" applyProtection="1">
      <alignment horizontal="left" indent="1"/>
    </xf>
    <xf numFmtId="1" fontId="5" fillId="0" borderId="10" xfId="0" applyNumberFormat="1" applyFont="1" applyBorder="1" applyProtection="1"/>
    <xf numFmtId="1" fontId="22" fillId="0" borderId="10" xfId="1" applyNumberFormat="1" applyFont="1" applyBorder="1" applyAlignment="1" applyProtection="1">
      <alignment horizontal="right"/>
    </xf>
    <xf numFmtId="0" fontId="8" fillId="0" borderId="8" xfId="0" applyFont="1" applyBorder="1" applyAlignment="1" applyProtection="1">
      <alignment horizontal="left" indent="1"/>
    </xf>
    <xf numFmtId="166" fontId="5" fillId="0" borderId="15" xfId="0" applyNumberFormat="1" applyFont="1" applyBorder="1" applyProtection="1"/>
    <xf numFmtId="2" fontId="5" fillId="0" borderId="10" xfId="0" applyNumberFormat="1" applyFont="1" applyBorder="1" applyProtection="1"/>
    <xf numFmtId="0" fontId="8" fillId="0" borderId="17" xfId="0" applyFont="1" applyBorder="1" applyAlignment="1" applyProtection="1">
      <alignment horizontal="left" indent="1"/>
    </xf>
    <xf numFmtId="0" fontId="7" fillId="7" borderId="15" xfId="0" applyFont="1" applyFill="1" applyBorder="1" applyAlignment="1" applyProtection="1">
      <alignment horizontal="center" vertical="center"/>
    </xf>
    <xf numFmtId="0" fontId="29" fillId="0" borderId="23" xfId="0" applyFont="1" applyBorder="1" applyAlignment="1" applyProtection="1">
      <alignment horizontal="left" vertical="center" indent="1"/>
    </xf>
    <xf numFmtId="0" fontId="9" fillId="8" borderId="36" xfId="0" applyFont="1" applyFill="1" applyBorder="1" applyAlignment="1" applyProtection="1">
      <alignment horizontal="center"/>
    </xf>
    <xf numFmtId="2" fontId="5" fillId="0" borderId="6" xfId="0" applyNumberFormat="1" applyFont="1" applyBorder="1" applyAlignment="1" applyProtection="1">
      <alignment horizontal="center"/>
    </xf>
    <xf numFmtId="0" fontId="9" fillId="9" borderId="39" xfId="0" applyFont="1" applyFill="1" applyBorder="1" applyAlignment="1" applyProtection="1">
      <alignment horizontal="center"/>
    </xf>
    <xf numFmtId="0" fontId="9" fillId="8" borderId="39" xfId="0" applyFont="1" applyFill="1" applyBorder="1" applyAlignment="1" applyProtection="1">
      <alignment horizontal="center"/>
    </xf>
    <xf numFmtId="164" fontId="5" fillId="0" borderId="6" xfId="0" applyNumberFormat="1" applyFont="1" applyBorder="1" applyAlignment="1" applyProtection="1">
      <alignment horizontal="center"/>
    </xf>
    <xf numFmtId="164" fontId="5" fillId="0" borderId="10" xfId="0" applyNumberFormat="1" applyFont="1" applyBorder="1" applyProtection="1"/>
    <xf numFmtId="0" fontId="9" fillId="9" borderId="42" xfId="0" applyFont="1" applyFill="1" applyBorder="1" applyAlignment="1" applyProtection="1">
      <alignment horizontal="center"/>
    </xf>
    <xf numFmtId="0" fontId="3" fillId="4" borderId="30" xfId="0" applyFont="1" applyFill="1" applyBorder="1" applyProtection="1"/>
    <xf numFmtId="0" fontId="3" fillId="4" borderId="31" xfId="0" applyFont="1" applyFill="1" applyBorder="1" applyProtection="1"/>
    <xf numFmtId="0" fontId="3" fillId="4" borderId="32" xfId="0" applyFont="1" applyFill="1" applyBorder="1" applyProtection="1"/>
    <xf numFmtId="0" fontId="26" fillId="4" borderId="0" xfId="2" applyFont="1" applyFill="1" applyBorder="1" applyAlignment="1" applyProtection="1"/>
    <xf numFmtId="0" fontId="29" fillId="0" borderId="13" xfId="0" applyFont="1" applyBorder="1" applyAlignment="1" applyProtection="1">
      <alignment horizontal="left" vertical="center" indent="1"/>
    </xf>
    <xf numFmtId="0" fontId="7" fillId="3" borderId="23" xfId="0" applyFont="1" applyFill="1" applyBorder="1" applyAlignment="1">
      <alignment horizontal="center"/>
    </xf>
    <xf numFmtId="0" fontId="37" fillId="0" borderId="4" xfId="0" applyFont="1" applyBorder="1" applyAlignment="1" applyProtection="1">
      <alignment horizontal="left" indent="1"/>
    </xf>
    <xf numFmtId="0" fontId="38" fillId="0" borderId="4" xfId="0" applyFont="1" applyBorder="1" applyAlignment="1" applyProtection="1">
      <alignment horizontal="left" indent="1"/>
    </xf>
    <xf numFmtId="0" fontId="37" fillId="0" borderId="13" xfId="0" applyFont="1" applyBorder="1" applyAlignment="1" applyProtection="1">
      <alignment horizontal="left" indent="1"/>
    </xf>
    <xf numFmtId="0" fontId="9" fillId="0" borderId="13" xfId="0" applyFont="1" applyBorder="1" applyAlignment="1" applyProtection="1">
      <alignment horizontal="left" indent="1"/>
    </xf>
    <xf numFmtId="164" fontId="10" fillId="0" borderId="1" xfId="0" applyNumberFormat="1" applyFont="1" applyBorder="1" applyAlignment="1">
      <alignment horizontal="center"/>
    </xf>
    <xf numFmtId="0" fontId="20" fillId="5" borderId="11" xfId="0" applyFont="1" applyFill="1" applyBorder="1" applyAlignment="1">
      <alignment horizontal="center"/>
    </xf>
    <xf numFmtId="0" fontId="20" fillId="5" borderId="14" xfId="0" applyFont="1" applyFill="1" applyBorder="1" applyAlignment="1">
      <alignment horizontal="center"/>
    </xf>
    <xf numFmtId="0" fontId="20" fillId="5" borderId="15" xfId="0" applyFont="1" applyFill="1" applyBorder="1" applyAlignment="1">
      <alignment horizontal="center"/>
    </xf>
    <xf numFmtId="0" fontId="7" fillId="0" borderId="58" xfId="0" applyFont="1" applyBorder="1" applyAlignment="1">
      <alignment horizontal="left" vertical="center" wrapText="1" indent="1"/>
    </xf>
    <xf numFmtId="0" fontId="7" fillId="0" borderId="59" xfId="0" applyFont="1" applyBorder="1" applyAlignment="1">
      <alignment horizontal="left" vertical="center" wrapText="1" indent="1"/>
    </xf>
    <xf numFmtId="0" fontId="7" fillId="0" borderId="60" xfId="0" applyFont="1" applyBorder="1" applyAlignment="1">
      <alignment horizontal="left" vertical="center" wrapText="1" indent="1"/>
    </xf>
    <xf numFmtId="0" fontId="7" fillId="0" borderId="43" xfId="0" applyFont="1" applyBorder="1" applyAlignment="1">
      <alignment horizontal="left" vertical="center" wrapText="1" indent="1"/>
    </xf>
    <xf numFmtId="0" fontId="7" fillId="0" borderId="44" xfId="0" applyFont="1" applyBorder="1" applyAlignment="1">
      <alignment horizontal="left" vertical="center" wrapText="1" indent="1"/>
    </xf>
    <xf numFmtId="0" fontId="7" fillId="0" borderId="45" xfId="0" applyFont="1" applyBorder="1" applyAlignment="1">
      <alignment horizontal="left" vertical="center" wrapText="1" indent="1"/>
    </xf>
    <xf numFmtId="0" fontId="7" fillId="0" borderId="46" xfId="0" applyFont="1" applyBorder="1" applyAlignment="1">
      <alignment horizontal="left" vertical="center" wrapText="1" indent="1"/>
    </xf>
    <xf numFmtId="0" fontId="7" fillId="0" borderId="47" xfId="0" applyFont="1" applyBorder="1" applyAlignment="1">
      <alignment horizontal="left" vertical="center" wrapText="1" indent="1"/>
    </xf>
    <xf numFmtId="0" fontId="7" fillId="0" borderId="48" xfId="0" applyFont="1" applyBorder="1" applyAlignment="1">
      <alignment horizontal="left" vertical="center" wrapText="1" indent="1"/>
    </xf>
    <xf numFmtId="0" fontId="7" fillId="0" borderId="52" xfId="0" applyFont="1" applyBorder="1" applyAlignment="1">
      <alignment horizontal="left" vertical="center" wrapText="1" indent="1"/>
    </xf>
    <xf numFmtId="0" fontId="7" fillId="0" borderId="53" xfId="0" applyFont="1" applyBorder="1" applyAlignment="1">
      <alignment horizontal="left" vertical="center" wrapText="1" indent="1"/>
    </xf>
    <xf numFmtId="0" fontId="7" fillId="0" borderId="54" xfId="0" applyFont="1" applyBorder="1" applyAlignment="1">
      <alignment horizontal="left" vertical="center" wrapText="1" indent="1"/>
    </xf>
    <xf numFmtId="0" fontId="7" fillId="0" borderId="55" xfId="0" applyFont="1" applyBorder="1" applyAlignment="1">
      <alignment horizontal="left" vertical="center" wrapText="1" indent="1"/>
    </xf>
    <xf numFmtId="0" fontId="7" fillId="0" borderId="56" xfId="0" applyFont="1" applyBorder="1" applyAlignment="1">
      <alignment horizontal="left" vertical="center" wrapText="1" indent="1"/>
    </xf>
    <xf numFmtId="0" fontId="7" fillId="0" borderId="57" xfId="0" applyFont="1" applyBorder="1" applyAlignment="1">
      <alignment horizontal="left" vertical="center" wrapText="1" indent="1"/>
    </xf>
    <xf numFmtId="0" fontId="7" fillId="0" borderId="43" xfId="0" quotePrefix="1" applyFont="1" applyBorder="1" applyAlignment="1">
      <alignment horizontal="left" vertical="center" wrapText="1" indent="5"/>
    </xf>
    <xf numFmtId="0" fontId="7" fillId="0" borderId="44" xfId="0" applyFont="1" applyBorder="1" applyAlignment="1">
      <alignment horizontal="left" vertical="center" wrapText="1" indent="5"/>
    </xf>
    <xf numFmtId="0" fontId="7" fillId="0" borderId="45" xfId="0" applyFont="1" applyBorder="1" applyAlignment="1">
      <alignment horizontal="left" vertical="center" wrapText="1" indent="5"/>
    </xf>
    <xf numFmtId="0" fontId="7" fillId="0" borderId="46" xfId="0" applyFont="1" applyBorder="1" applyAlignment="1">
      <alignment horizontal="left" vertical="center" wrapText="1" indent="5"/>
    </xf>
    <xf numFmtId="0" fontId="7" fillId="0" borderId="47" xfId="0" applyFont="1" applyBorder="1" applyAlignment="1">
      <alignment horizontal="left" vertical="center" wrapText="1" indent="5"/>
    </xf>
    <xf numFmtId="0" fontId="7" fillId="0" borderId="48" xfId="0" applyFont="1" applyBorder="1" applyAlignment="1">
      <alignment horizontal="left" vertical="center" wrapText="1" indent="5"/>
    </xf>
    <xf numFmtId="0" fontId="37" fillId="0" borderId="49"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51" xfId="0" applyFont="1" applyBorder="1" applyAlignment="1">
      <alignment horizontal="center" vertical="center" wrapText="1"/>
    </xf>
    <xf numFmtId="0" fontId="28" fillId="4" borderId="25" xfId="2" applyFont="1" applyFill="1" applyBorder="1" applyAlignment="1" applyProtection="1">
      <alignment horizontal="center" vertical="center"/>
    </xf>
    <xf numFmtId="0" fontId="28" fillId="4" borderId="26" xfId="2" applyFont="1" applyFill="1" applyBorder="1" applyAlignment="1" applyProtection="1">
      <alignment horizontal="center" vertical="center"/>
    </xf>
    <xf numFmtId="0" fontId="28" fillId="4" borderId="27" xfId="2" applyFont="1" applyFill="1" applyBorder="1" applyAlignment="1" applyProtection="1">
      <alignment horizontal="center" vertical="center"/>
    </xf>
    <xf numFmtId="0" fontId="28" fillId="4" borderId="28" xfId="2" applyFont="1" applyFill="1" applyBorder="1" applyAlignment="1" applyProtection="1">
      <alignment horizontal="center" vertical="center"/>
    </xf>
    <xf numFmtId="0" fontId="28" fillId="4" borderId="0" xfId="2" applyFont="1" applyFill="1" applyBorder="1" applyAlignment="1" applyProtection="1">
      <alignment horizontal="center" vertical="center"/>
    </xf>
    <xf numFmtId="0" fontId="28" fillId="4" borderId="29" xfId="2" applyFont="1" applyFill="1" applyBorder="1" applyAlignment="1" applyProtection="1">
      <alignment horizontal="center" vertical="center"/>
    </xf>
    <xf numFmtId="0" fontId="27" fillId="4" borderId="28" xfId="0" applyFont="1" applyFill="1" applyBorder="1" applyAlignment="1" applyProtection="1">
      <alignment horizontal="center" vertical="center"/>
    </xf>
    <xf numFmtId="0" fontId="27" fillId="4" borderId="0" xfId="0" applyFont="1" applyFill="1" applyBorder="1" applyAlignment="1" applyProtection="1">
      <alignment horizontal="center" vertical="center"/>
    </xf>
    <xf numFmtId="0" fontId="27" fillId="4" borderId="29" xfId="0" applyFont="1" applyFill="1" applyBorder="1" applyAlignment="1" applyProtection="1">
      <alignment horizontal="center" vertical="center"/>
    </xf>
    <xf numFmtId="0" fontId="27" fillId="4" borderId="28" xfId="0" applyFont="1" applyFill="1" applyBorder="1" applyAlignment="1" applyProtection="1">
      <alignment horizontal="center"/>
    </xf>
    <xf numFmtId="0" fontId="27" fillId="4" borderId="0" xfId="0" applyFont="1" applyFill="1" applyBorder="1" applyAlignment="1" applyProtection="1">
      <alignment horizontal="center"/>
    </xf>
    <xf numFmtId="0" fontId="27" fillId="4" borderId="29" xfId="0" applyFont="1" applyFill="1" applyBorder="1" applyAlignment="1" applyProtection="1">
      <alignment horizontal="center"/>
    </xf>
    <xf numFmtId="0" fontId="8" fillId="8" borderId="37" xfId="0" applyFont="1" applyFill="1" applyBorder="1" applyAlignment="1" applyProtection="1">
      <alignment horizontal="right"/>
    </xf>
    <xf numFmtId="0" fontId="8" fillId="8" borderId="38" xfId="0" applyFont="1" applyFill="1" applyBorder="1" applyAlignment="1" applyProtection="1">
      <alignment horizontal="right"/>
    </xf>
    <xf numFmtId="0" fontId="7" fillId="7" borderId="11" xfId="0" applyFont="1" applyFill="1" applyBorder="1" applyAlignment="1" applyProtection="1">
      <alignment horizontal="center"/>
    </xf>
    <xf numFmtId="0" fontId="7" fillId="7" borderId="20" xfId="0" applyFont="1" applyFill="1" applyBorder="1" applyAlignment="1" applyProtection="1">
      <alignment horizontal="center"/>
    </xf>
    <xf numFmtId="0" fontId="8" fillId="8" borderId="34" xfId="0" applyFont="1" applyFill="1" applyBorder="1" applyAlignment="1" applyProtection="1">
      <alignment horizontal="right"/>
    </xf>
    <xf numFmtId="0" fontId="8" fillId="8" borderId="35" xfId="0" applyFont="1" applyFill="1" applyBorder="1" applyAlignment="1" applyProtection="1">
      <alignment horizontal="right"/>
    </xf>
    <xf numFmtId="0" fontId="8" fillId="9" borderId="37" xfId="0" applyFont="1" applyFill="1" applyBorder="1" applyAlignment="1" applyProtection="1">
      <alignment horizontal="right"/>
    </xf>
    <xf numFmtId="0" fontId="8" fillId="9" borderId="38" xfId="0" applyFont="1" applyFill="1" applyBorder="1" applyAlignment="1" applyProtection="1">
      <alignment horizontal="right"/>
    </xf>
    <xf numFmtId="0" fontId="8" fillId="9" borderId="40" xfId="0" applyFont="1" applyFill="1" applyBorder="1" applyAlignment="1" applyProtection="1">
      <alignment horizontal="right"/>
    </xf>
    <xf numFmtId="0" fontId="8" fillId="9" borderId="41" xfId="0" applyFont="1" applyFill="1" applyBorder="1" applyAlignment="1" applyProtection="1">
      <alignment horizontal="right"/>
    </xf>
    <xf numFmtId="0" fontId="17" fillId="0" borderId="11" xfId="0" applyFont="1" applyBorder="1" applyAlignment="1" applyProtection="1">
      <alignment horizontal="center"/>
    </xf>
    <xf numFmtId="0" fontId="17" fillId="0" borderId="15" xfId="0" applyFont="1" applyBorder="1" applyAlignment="1" applyProtection="1">
      <alignment horizontal="center"/>
    </xf>
    <xf numFmtId="0" fontId="21" fillId="5" borderId="11" xfId="0" quotePrefix="1" applyFont="1" applyFill="1" applyBorder="1" applyAlignment="1">
      <alignment horizontal="center" vertical="center"/>
    </xf>
    <xf numFmtId="0" fontId="21" fillId="5" borderId="14" xfId="0" quotePrefix="1" applyFont="1" applyFill="1" applyBorder="1" applyAlignment="1">
      <alignment horizontal="center" vertical="center"/>
    </xf>
    <xf numFmtId="0" fontId="21" fillId="5" borderId="20" xfId="0" quotePrefix="1" applyFont="1" applyFill="1" applyBorder="1" applyAlignment="1">
      <alignment horizontal="center" vertical="center"/>
    </xf>
    <xf numFmtId="0" fontId="21" fillId="5" borderId="15" xfId="0" quotePrefix="1" applyFont="1" applyFill="1" applyBorder="1" applyAlignment="1">
      <alignment horizontal="center" vertical="center"/>
    </xf>
    <xf numFmtId="0" fontId="7" fillId="3" borderId="23"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0" fontId="7" fillId="3" borderId="7" xfId="0" applyFont="1" applyFill="1" applyBorder="1" applyAlignment="1" applyProtection="1">
      <alignment horizontal="center" vertical="top" wrapText="1"/>
    </xf>
    <xf numFmtId="0" fontId="7" fillId="3" borderId="8" xfId="0" applyFont="1" applyFill="1" applyBorder="1" applyAlignment="1" applyProtection="1">
      <alignment horizontal="center" vertical="top" wrapText="1"/>
    </xf>
    <xf numFmtId="0" fontId="7" fillId="3" borderId="6" xfId="0" applyFont="1" applyFill="1" applyBorder="1" applyAlignment="1" applyProtection="1">
      <alignment horizontal="center" vertical="top" wrapText="1"/>
    </xf>
    <xf numFmtId="0" fontId="7" fillId="3" borderId="21" xfId="0" applyFont="1" applyFill="1" applyBorder="1" applyAlignment="1" applyProtection="1">
      <alignment horizontal="center" vertical="top" wrapText="1"/>
    </xf>
    <xf numFmtId="0" fontId="7" fillId="3" borderId="2" xfId="0" applyFont="1" applyFill="1" applyBorder="1" applyAlignment="1" applyProtection="1">
      <alignment horizontal="center" vertical="top" wrapText="1"/>
    </xf>
    <xf numFmtId="0" fontId="7" fillId="3" borderId="16" xfId="0" applyFont="1" applyFill="1" applyBorder="1" applyAlignment="1" applyProtection="1">
      <alignment horizontal="center" vertical="top" wrapText="1"/>
    </xf>
    <xf numFmtId="0" fontId="7" fillId="3" borderId="13"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9" fillId="0" borderId="2" xfId="0" applyFont="1" applyBorder="1" applyAlignment="1" applyProtection="1">
      <alignment horizontal="right" indent="1"/>
    </xf>
    <xf numFmtId="0" fontId="9" fillId="0" borderId="4" xfId="0" applyFont="1" applyBorder="1" applyAlignment="1" applyProtection="1">
      <alignment horizontal="right" indent="1"/>
    </xf>
    <xf numFmtId="0" fontId="9" fillId="0" borderId="16" xfId="0" applyFont="1" applyBorder="1" applyAlignment="1" applyProtection="1">
      <alignment horizontal="right" indent="1"/>
    </xf>
    <xf numFmtId="0" fontId="9" fillId="0" borderId="17" xfId="0" applyFont="1" applyBorder="1" applyAlignment="1" applyProtection="1">
      <alignment horizontal="right" indent="1"/>
    </xf>
    <xf numFmtId="0" fontId="9" fillId="0" borderId="21" xfId="0" applyFont="1" applyBorder="1" applyAlignment="1" applyProtection="1">
      <alignment horizontal="right" indent="1"/>
    </xf>
    <xf numFmtId="0" fontId="9" fillId="0" borderId="22" xfId="0" applyFont="1" applyBorder="1" applyAlignment="1" applyProtection="1">
      <alignment horizontal="right" indent="1"/>
    </xf>
    <xf numFmtId="0" fontId="7" fillId="7" borderId="9" xfId="0" applyFont="1" applyFill="1" applyBorder="1" applyAlignment="1" applyProtection="1">
      <alignment horizontal="center"/>
    </xf>
    <xf numFmtId="0" fontId="9" fillId="0" borderId="0" xfId="0" applyFont="1" applyBorder="1" applyAlignment="1" applyProtection="1">
      <alignment horizontal="right" indent="1"/>
    </xf>
    <xf numFmtId="0" fontId="9" fillId="0" borderId="33" xfId="0" applyFont="1" applyBorder="1" applyAlignment="1" applyProtection="1">
      <alignment horizontal="right" indent="1"/>
    </xf>
    <xf numFmtId="0" fontId="9" fillId="0" borderId="24" xfId="0" applyFont="1" applyBorder="1" applyAlignment="1" applyProtection="1">
      <alignment horizontal="right" indent="1"/>
    </xf>
    <xf numFmtId="0" fontId="8" fillId="0" borderId="2" xfId="0" applyFont="1" applyBorder="1" applyAlignment="1" applyProtection="1">
      <alignment horizontal="right" indent="1"/>
    </xf>
    <xf numFmtId="0" fontId="8" fillId="0" borderId="16" xfId="0" applyFont="1" applyBorder="1" applyAlignment="1" applyProtection="1">
      <alignment horizontal="right" indent="1"/>
    </xf>
    <xf numFmtId="0" fontId="8" fillId="0" borderId="21" xfId="0" applyFont="1" applyBorder="1" applyAlignment="1" applyProtection="1">
      <alignment horizontal="right" indent="1"/>
    </xf>
    <xf numFmtId="0" fontId="23" fillId="5" borderId="11" xfId="0" applyFont="1" applyFill="1" applyBorder="1" applyAlignment="1">
      <alignment horizontal="center"/>
    </xf>
    <xf numFmtId="0" fontId="23" fillId="5" borderId="14" xfId="0" applyFont="1" applyFill="1" applyBorder="1" applyAlignment="1">
      <alignment horizontal="center"/>
    </xf>
    <xf numFmtId="0" fontId="23" fillId="5" borderId="15" xfId="0" applyFont="1" applyFill="1" applyBorder="1" applyAlignment="1">
      <alignment horizontal="center"/>
    </xf>
  </cellXfs>
  <cellStyles count="4">
    <cellStyle name="Comma" xfId="1" builtinId="3"/>
    <cellStyle name="Hyperlink" xfId="2" builtinId="8"/>
    <cellStyle name="Normal" xfId="0" builtinId="0"/>
    <cellStyle name="Percent" xfId="3" builtinId="5"/>
  </cellStyles>
  <dxfs count="6">
    <dxf>
      <fill>
        <patternFill>
          <bgColor theme="0" tint="-0.14996795556505021"/>
        </patternFill>
      </fill>
    </dxf>
    <dxf>
      <fill>
        <patternFill>
          <bgColor theme="0" tint="-0.14996795556505021"/>
        </patternFill>
      </fill>
    </dxf>
    <dxf>
      <fill>
        <patternFill>
          <bgColor theme="0" tint="-0.14996795556505021"/>
        </patternFill>
      </fill>
    </dxf>
    <dxf>
      <font>
        <color rgb="FFFF0000"/>
      </font>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33CCCC"/>
      <color rgb="FFCCFFFF"/>
      <color rgb="FF66FFFF"/>
      <color rgb="FFCCFFCC"/>
      <color rgb="FFFFFFCC"/>
      <color rgb="FFFFFF99"/>
      <color rgb="FF0000FF"/>
      <color rgb="FFFF0D0D"/>
      <color rgb="FFB0A674"/>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i="0" u="none" strike="noStrike" baseline="0">
                <a:solidFill>
                  <a:srgbClr val="002060"/>
                </a:solidFill>
                <a:latin typeface="Arial"/>
                <a:ea typeface="Arial"/>
                <a:cs typeface="Arial"/>
              </a:defRPr>
            </a:pPr>
            <a:r>
              <a:rPr lang="en-US" sz="1050">
                <a:solidFill>
                  <a:srgbClr val="002060"/>
                </a:solidFill>
              </a:rPr>
              <a:t>Rotary Weapon Spin-Up</a:t>
            </a:r>
          </a:p>
        </c:rich>
      </c:tx>
      <c:layout>
        <c:manualLayout>
          <c:xMode val="edge"/>
          <c:yMode val="edge"/>
          <c:x val="0.27874155164059244"/>
          <c:y val="2.6470035539672216E-2"/>
        </c:manualLayout>
      </c:layout>
      <c:spPr>
        <a:noFill/>
        <a:ln w="25400">
          <a:noFill/>
        </a:ln>
      </c:spPr>
    </c:title>
    <c:plotArea>
      <c:layout>
        <c:manualLayout>
          <c:layoutTarget val="inner"/>
          <c:xMode val="edge"/>
          <c:yMode val="edge"/>
          <c:x val="0.14468095307456733"/>
          <c:y val="9.1912851171381343E-2"/>
          <c:w val="0.71420530954911665"/>
          <c:h val="0.79692621755614002"/>
        </c:manualLayout>
      </c:layout>
      <c:scatterChart>
        <c:scatterStyle val="lineMarker"/>
        <c:ser>
          <c:idx val="0"/>
          <c:order val="0"/>
          <c:tx>
            <c:v>Speed</c:v>
          </c:tx>
          <c:spPr>
            <a:ln w="25400">
              <a:solidFill>
                <a:srgbClr val="FF0000"/>
              </a:solidFill>
              <a:prstDash val="solid"/>
            </a:ln>
          </c:spPr>
          <c:marker>
            <c:symbol val="diamond"/>
            <c:size val="6"/>
            <c:spPr>
              <a:solidFill>
                <a:srgbClr val="FFFFFF"/>
              </a:solidFill>
              <a:ln>
                <a:solidFill>
                  <a:srgbClr val="FF0000"/>
                </a:solidFill>
                <a:prstDash val="solid"/>
              </a:ln>
            </c:spPr>
          </c:marker>
          <c:xVal>
            <c:numRef>
              <c:f>'Data Table'!$G$6:$G$24</c:f>
              <c:numCache>
                <c:formatCode>0.00</c:formatCode>
                <c:ptCount val="19"/>
                <c:pt idx="0">
                  <c:v>0.44146958930700103</c:v>
                </c:pt>
                <c:pt idx="1">
                  <c:v>0.90681372939702864</c:v>
                </c:pt>
                <c:pt idx="2">
                  <c:v>1.3987630530787265</c:v>
                </c:pt>
                <c:pt idx="3">
                  <c:v>1.5292085977388956</c:v>
                </c:pt>
                <c:pt idx="4">
                  <c:v>1.6680756502517091</c:v>
                </c:pt>
                <c:pt idx="5">
                  <c:v>1.8165270950464489</c:v>
                </c:pt>
                <c:pt idx="6">
                  <c:v>1.9759846636317631</c:v>
                </c:pt>
                <c:pt idx="7">
                  <c:v>2.1482119581815602</c:v>
                </c:pt>
                <c:pt idx="8">
                  <c:v>2.3354336863007221</c:v>
                </c:pt>
                <c:pt idx="9">
                  <c:v>2.5405118862749676</c:v>
                </c:pt>
                <c:pt idx="10">
                  <c:v>2.767215318624225</c:v>
                </c:pt>
                <c:pt idx="11">
                  <c:v>3.020648194204818</c:v>
                </c:pt>
                <c:pt idx="12">
                  <c:v>3.3079666915123713</c:v>
                </c:pt>
                <c:pt idx="13">
                  <c:v>3.6396515546474819</c:v>
                </c:pt>
                <c:pt idx="14">
                  <c:v>4.0319514827408893</c:v>
                </c:pt>
                <c:pt idx="15">
                  <c:v>4.5120877906707406</c:v>
                </c:pt>
                <c:pt idx="16">
                  <c:v>5.1310911511134041</c:v>
                </c:pt>
                <c:pt idx="17">
                  <c:v>6.0035273871366632</c:v>
                </c:pt>
                <c:pt idx="18">
                  <c:v>7.4949669836025823</c:v>
                </c:pt>
              </c:numCache>
            </c:numRef>
          </c:xVal>
          <c:yVal>
            <c:numRef>
              <c:f>'Data Table'!$H$6:$H$24</c:f>
              <c:numCache>
                <c:formatCode>0</c:formatCode>
                <c:ptCount val="19"/>
                <c:pt idx="0">
                  <c:v>370</c:v>
                </c:pt>
                <c:pt idx="1">
                  <c:v>740</c:v>
                </c:pt>
                <c:pt idx="2">
                  <c:v>1110</c:v>
                </c:pt>
                <c:pt idx="3">
                  <c:v>1480</c:v>
                </c:pt>
                <c:pt idx="4">
                  <c:v>1850</c:v>
                </c:pt>
                <c:pt idx="5">
                  <c:v>2220</c:v>
                </c:pt>
                <c:pt idx="6">
                  <c:v>2590</c:v>
                </c:pt>
                <c:pt idx="7">
                  <c:v>2960</c:v>
                </c:pt>
                <c:pt idx="8">
                  <c:v>3330</c:v>
                </c:pt>
                <c:pt idx="9">
                  <c:v>3700</c:v>
                </c:pt>
                <c:pt idx="10">
                  <c:v>4070.0000000000005</c:v>
                </c:pt>
                <c:pt idx="11">
                  <c:v>4440</c:v>
                </c:pt>
                <c:pt idx="12">
                  <c:v>4810</c:v>
                </c:pt>
                <c:pt idx="13">
                  <c:v>5180</c:v>
                </c:pt>
                <c:pt idx="14">
                  <c:v>5550</c:v>
                </c:pt>
                <c:pt idx="15">
                  <c:v>5920</c:v>
                </c:pt>
                <c:pt idx="16">
                  <c:v>6290</c:v>
                </c:pt>
                <c:pt idx="17">
                  <c:v>6660</c:v>
                </c:pt>
                <c:pt idx="18">
                  <c:v>7030</c:v>
                </c:pt>
              </c:numCache>
            </c:numRef>
          </c:yVal>
          <c:smooth val="1"/>
        </c:ser>
        <c:axId val="93661056"/>
        <c:axId val="95236480"/>
      </c:scatterChart>
      <c:scatterChart>
        <c:scatterStyle val="lineMarker"/>
        <c:ser>
          <c:idx val="1"/>
          <c:order val="1"/>
          <c:tx>
            <c:v>Energy</c:v>
          </c:tx>
          <c:spPr>
            <a:ln w="25400">
              <a:solidFill>
                <a:srgbClr val="0000FF"/>
              </a:solidFill>
              <a:prstDash val="solid"/>
            </a:ln>
          </c:spPr>
          <c:marker>
            <c:symbol val="square"/>
            <c:size val="4"/>
            <c:spPr>
              <a:solidFill>
                <a:srgbClr val="FFFFFF"/>
              </a:solidFill>
              <a:ln>
                <a:solidFill>
                  <a:srgbClr val="0000FF"/>
                </a:solidFill>
                <a:prstDash val="solid"/>
              </a:ln>
            </c:spPr>
          </c:marker>
          <c:xVal>
            <c:numRef>
              <c:f>'Data Table'!$G$6:$G$24</c:f>
              <c:numCache>
                <c:formatCode>0.00</c:formatCode>
                <c:ptCount val="19"/>
                <c:pt idx="0">
                  <c:v>0.44146958930700103</c:v>
                </c:pt>
                <c:pt idx="1">
                  <c:v>0.90681372939702864</c:v>
                </c:pt>
                <c:pt idx="2">
                  <c:v>1.3987630530787265</c:v>
                </c:pt>
                <c:pt idx="3">
                  <c:v>1.5292085977388956</c:v>
                </c:pt>
                <c:pt idx="4">
                  <c:v>1.6680756502517091</c:v>
                </c:pt>
                <c:pt idx="5">
                  <c:v>1.8165270950464489</c:v>
                </c:pt>
                <c:pt idx="6">
                  <c:v>1.9759846636317631</c:v>
                </c:pt>
                <c:pt idx="7">
                  <c:v>2.1482119581815602</c:v>
                </c:pt>
                <c:pt idx="8">
                  <c:v>2.3354336863007221</c:v>
                </c:pt>
                <c:pt idx="9">
                  <c:v>2.5405118862749676</c:v>
                </c:pt>
                <c:pt idx="10">
                  <c:v>2.767215318624225</c:v>
                </c:pt>
                <c:pt idx="11">
                  <c:v>3.020648194204818</c:v>
                </c:pt>
                <c:pt idx="12">
                  <c:v>3.3079666915123713</c:v>
                </c:pt>
                <c:pt idx="13">
                  <c:v>3.6396515546474819</c:v>
                </c:pt>
                <c:pt idx="14">
                  <c:v>4.0319514827408893</c:v>
                </c:pt>
                <c:pt idx="15">
                  <c:v>4.5120877906707406</c:v>
                </c:pt>
                <c:pt idx="16">
                  <c:v>5.1310911511134041</c:v>
                </c:pt>
                <c:pt idx="17">
                  <c:v>6.0035273871366632</c:v>
                </c:pt>
                <c:pt idx="18">
                  <c:v>7.4949669836025823</c:v>
                </c:pt>
              </c:numCache>
            </c:numRef>
          </c:xVal>
          <c:yVal>
            <c:numRef>
              <c:f>'Data Table'!$I$6:$I$24</c:f>
              <c:numCache>
                <c:formatCode>0</c:formatCode>
                <c:ptCount val="19"/>
                <c:pt idx="0">
                  <c:v>3.4336598699730607</c:v>
                </c:pt>
                <c:pt idx="1">
                  <c:v>13.734639479892243</c:v>
                </c:pt>
                <c:pt idx="2">
                  <c:v>30.902938829757542</c:v>
                </c:pt>
                <c:pt idx="3">
                  <c:v>54.938557919568971</c:v>
                </c:pt>
                <c:pt idx="4">
                  <c:v>85.84149674932651</c:v>
                </c:pt>
                <c:pt idx="5">
                  <c:v>123.61175531903017</c:v>
                </c:pt>
                <c:pt idx="6">
                  <c:v>168.24933362867992</c:v>
                </c:pt>
                <c:pt idx="7">
                  <c:v>219.75423167827589</c:v>
                </c:pt>
                <c:pt idx="8">
                  <c:v>278.12644946781785</c:v>
                </c:pt>
                <c:pt idx="9">
                  <c:v>343.36598699730604</c:v>
                </c:pt>
                <c:pt idx="10">
                  <c:v>415.47284426674031</c:v>
                </c:pt>
                <c:pt idx="11">
                  <c:v>494.44702127612067</c:v>
                </c:pt>
                <c:pt idx="12">
                  <c:v>580.28851802544705</c:v>
                </c:pt>
                <c:pt idx="13">
                  <c:v>672.99733451471968</c:v>
                </c:pt>
                <c:pt idx="14">
                  <c:v>772.57347074393851</c:v>
                </c:pt>
                <c:pt idx="15">
                  <c:v>879.01692671310354</c:v>
                </c:pt>
                <c:pt idx="16">
                  <c:v>992.3277024222142</c:v>
                </c:pt>
                <c:pt idx="17">
                  <c:v>1112.5057978712714</c:v>
                </c:pt>
                <c:pt idx="18">
                  <c:v>1239.5512130602747</c:v>
                </c:pt>
              </c:numCache>
            </c:numRef>
          </c:yVal>
          <c:smooth val="1"/>
        </c:ser>
        <c:ser>
          <c:idx val="2"/>
          <c:order val="2"/>
          <c:tx>
            <c:v>Current</c:v>
          </c:tx>
          <c:spPr>
            <a:ln>
              <a:solidFill>
                <a:srgbClr val="92D050"/>
              </a:solidFill>
            </a:ln>
          </c:spPr>
          <c:marker>
            <c:symbol val="none"/>
          </c:marker>
          <c:xVal>
            <c:numRef>
              <c:f>'Data Table'!$G$6:$G$24</c:f>
              <c:numCache>
                <c:formatCode>0.00</c:formatCode>
                <c:ptCount val="19"/>
                <c:pt idx="0">
                  <c:v>0.44146958930700103</c:v>
                </c:pt>
                <c:pt idx="1">
                  <c:v>0.90681372939702864</c:v>
                </c:pt>
                <c:pt idx="2">
                  <c:v>1.3987630530787265</c:v>
                </c:pt>
                <c:pt idx="3">
                  <c:v>1.5292085977388956</c:v>
                </c:pt>
                <c:pt idx="4">
                  <c:v>1.6680756502517091</c:v>
                </c:pt>
                <c:pt idx="5">
                  <c:v>1.8165270950464489</c:v>
                </c:pt>
                <c:pt idx="6">
                  <c:v>1.9759846636317631</c:v>
                </c:pt>
                <c:pt idx="7">
                  <c:v>2.1482119581815602</c:v>
                </c:pt>
                <c:pt idx="8">
                  <c:v>2.3354336863007221</c:v>
                </c:pt>
                <c:pt idx="9">
                  <c:v>2.5405118862749676</c:v>
                </c:pt>
                <c:pt idx="10">
                  <c:v>2.767215318624225</c:v>
                </c:pt>
                <c:pt idx="11">
                  <c:v>3.020648194204818</c:v>
                </c:pt>
                <c:pt idx="12">
                  <c:v>3.3079666915123713</c:v>
                </c:pt>
                <c:pt idx="13">
                  <c:v>3.6396515546474819</c:v>
                </c:pt>
                <c:pt idx="14">
                  <c:v>4.0319514827408893</c:v>
                </c:pt>
                <c:pt idx="15">
                  <c:v>4.5120877906707406</c:v>
                </c:pt>
                <c:pt idx="16">
                  <c:v>5.1310911511134041</c:v>
                </c:pt>
                <c:pt idx="17">
                  <c:v>6.0035273871366632</c:v>
                </c:pt>
                <c:pt idx="18">
                  <c:v>7.4949669836025823</c:v>
                </c:pt>
              </c:numCache>
            </c:numRef>
          </c:xVal>
          <c:yVal>
            <c:numRef>
              <c:f>'Data Table'!$J$6:$J$24</c:f>
              <c:numCache>
                <c:formatCode>0</c:formatCode>
                <c:ptCount val="19"/>
                <c:pt idx="0">
                  <c:v>20.436046511627907</c:v>
                </c:pt>
                <c:pt idx="1">
                  <c:v>19.36046511627907</c:v>
                </c:pt>
                <c:pt idx="2">
                  <c:v>73.139534883720927</c:v>
                </c:pt>
                <c:pt idx="3">
                  <c:v>68.83720930232559</c:v>
                </c:pt>
                <c:pt idx="4">
                  <c:v>64.534883720930239</c:v>
                </c:pt>
                <c:pt idx="5">
                  <c:v>60.232558139534881</c:v>
                </c:pt>
                <c:pt idx="6">
                  <c:v>55.930232558139537</c:v>
                </c:pt>
                <c:pt idx="7">
                  <c:v>51.627906976744185</c:v>
                </c:pt>
                <c:pt idx="8">
                  <c:v>47.325581395348841</c:v>
                </c:pt>
                <c:pt idx="9">
                  <c:v>43.02325581395349</c:v>
                </c:pt>
                <c:pt idx="10">
                  <c:v>38.720930232558139</c:v>
                </c:pt>
                <c:pt idx="11">
                  <c:v>34.418604651162795</c:v>
                </c:pt>
                <c:pt idx="12">
                  <c:v>30.11627906976744</c:v>
                </c:pt>
                <c:pt idx="13">
                  <c:v>25.813953488372096</c:v>
                </c:pt>
                <c:pt idx="14">
                  <c:v>21.511627906976745</c:v>
                </c:pt>
                <c:pt idx="15">
                  <c:v>17.209302325581394</c:v>
                </c:pt>
                <c:pt idx="16">
                  <c:v>12.906976744186048</c:v>
                </c:pt>
                <c:pt idx="17">
                  <c:v>8.604651162790697</c:v>
                </c:pt>
                <c:pt idx="18">
                  <c:v>4.3023255813953529</c:v>
                </c:pt>
              </c:numCache>
            </c:numRef>
          </c:yVal>
          <c:smooth val="1"/>
        </c:ser>
        <c:axId val="95239168"/>
        <c:axId val="96490624"/>
      </c:scatterChart>
      <c:valAx>
        <c:axId val="93661056"/>
        <c:scaling>
          <c:orientation val="minMax"/>
        </c:scaling>
        <c:axPos val="b"/>
        <c:title>
          <c:tx>
            <c:rich>
              <a:bodyPr/>
              <a:lstStyle/>
              <a:p>
                <a:pPr>
                  <a:defRPr sz="1000" b="1" i="0" u="none" strike="noStrike" baseline="0">
                    <a:solidFill>
                      <a:srgbClr val="002060"/>
                    </a:solidFill>
                    <a:latin typeface="Arial"/>
                    <a:ea typeface="Arial"/>
                    <a:cs typeface="Arial"/>
                  </a:defRPr>
                </a:pPr>
                <a:r>
                  <a:rPr lang="en-US" sz="1000" b="1">
                    <a:solidFill>
                      <a:srgbClr val="002060"/>
                    </a:solidFill>
                  </a:rPr>
                  <a:t>Seconds</a:t>
                </a:r>
              </a:p>
            </c:rich>
          </c:tx>
          <c:layout>
            <c:manualLayout>
              <c:xMode val="edge"/>
              <c:yMode val="edge"/>
              <c:x val="0.42791762013730045"/>
              <c:y val="0.93890201224847047"/>
            </c:manualLayout>
          </c:layout>
          <c:spPr>
            <a:noFill/>
            <a:ln w="25400">
              <a:noFill/>
            </a:ln>
          </c:spPr>
        </c:title>
        <c:numFmt formatCode="0.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236480"/>
        <c:crosses val="autoZero"/>
        <c:crossBetween val="midCat"/>
      </c:valAx>
      <c:valAx>
        <c:axId val="95236480"/>
        <c:scaling>
          <c:orientation val="minMax"/>
        </c:scaling>
        <c:axPos val="l"/>
        <c:majorGridlines>
          <c:spPr>
            <a:ln w="3175">
              <a:solidFill>
                <a:srgbClr val="000000"/>
              </a:solidFill>
              <a:prstDash val="solid"/>
            </a:ln>
          </c:spPr>
        </c:majorGridlines>
        <c:title>
          <c:tx>
            <c:rich>
              <a:bodyPr/>
              <a:lstStyle/>
              <a:p>
                <a:pPr>
                  <a:defRPr sz="1000" b="1" i="0" u="none" strike="noStrike" baseline="0">
                    <a:solidFill>
                      <a:srgbClr val="FF0000"/>
                    </a:solidFill>
                    <a:latin typeface="Arial"/>
                    <a:ea typeface="Arial"/>
                    <a:cs typeface="Arial"/>
                  </a:defRPr>
                </a:pPr>
                <a:r>
                  <a:rPr lang="en-US" sz="1000" b="1">
                    <a:solidFill>
                      <a:srgbClr val="FF0000"/>
                    </a:solidFill>
                  </a:rPr>
                  <a:t>RPM</a:t>
                </a:r>
              </a:p>
            </c:rich>
          </c:tx>
          <c:layout>
            <c:manualLayout>
              <c:xMode val="edge"/>
              <c:yMode val="edge"/>
              <c:x val="1.1441647597254004E-2"/>
              <c:y val="0.44632886167007035"/>
            </c:manualLayout>
          </c:layout>
          <c:spPr>
            <a:noFill/>
            <a:ln w="25400">
              <a:noFill/>
            </a:ln>
          </c:spPr>
        </c:title>
        <c:numFmt formatCode="0" sourceLinked="1"/>
        <c:tickLblPos val="nextTo"/>
        <c:spPr>
          <a:ln w="3175">
            <a:solidFill>
              <a:srgbClr val="000000"/>
            </a:solidFill>
            <a:prstDash val="solid"/>
          </a:ln>
        </c:spPr>
        <c:txPr>
          <a:bodyPr rot="0" vert="horz"/>
          <a:lstStyle/>
          <a:p>
            <a:pPr>
              <a:defRPr sz="800" b="0" i="0" u="none" strike="noStrike" baseline="0">
                <a:solidFill>
                  <a:srgbClr val="FF0000"/>
                </a:solidFill>
                <a:latin typeface="Arial"/>
                <a:ea typeface="Arial"/>
                <a:cs typeface="Arial"/>
              </a:defRPr>
            </a:pPr>
            <a:endParaRPr lang="en-US"/>
          </a:p>
        </c:txPr>
        <c:crossAx val="93661056"/>
        <c:crosses val="autoZero"/>
        <c:crossBetween val="midCat"/>
      </c:valAx>
      <c:valAx>
        <c:axId val="95239168"/>
        <c:scaling>
          <c:orientation val="minMax"/>
        </c:scaling>
        <c:delete val="1"/>
        <c:axPos val="b"/>
        <c:numFmt formatCode="0.00" sourceLinked="1"/>
        <c:tickLblPos val="none"/>
        <c:crossAx val="96490624"/>
        <c:crosses val="autoZero"/>
        <c:crossBetween val="midCat"/>
      </c:valAx>
      <c:valAx>
        <c:axId val="96490624"/>
        <c:scaling>
          <c:orientation val="minMax"/>
        </c:scaling>
        <c:axPos val="r"/>
        <c:title>
          <c:tx>
            <c:rich>
              <a:bodyPr/>
              <a:lstStyle/>
              <a:p>
                <a:pPr>
                  <a:defRPr sz="1000" b="1" i="0" u="none" strike="noStrike" baseline="0">
                    <a:solidFill>
                      <a:schemeClr val="tx2">
                        <a:lumMod val="75000"/>
                      </a:schemeClr>
                    </a:solidFill>
                    <a:latin typeface="Arial"/>
                    <a:ea typeface="Arial"/>
                    <a:cs typeface="Arial"/>
                  </a:defRPr>
                </a:pPr>
                <a:r>
                  <a:rPr lang="en-US" sz="1000" b="1">
                    <a:solidFill>
                      <a:srgbClr val="0000FF"/>
                    </a:solidFill>
                  </a:rPr>
                  <a:t>Joules</a:t>
                </a:r>
                <a:r>
                  <a:rPr lang="en-US" sz="1000" b="1">
                    <a:solidFill>
                      <a:schemeClr val="tx2">
                        <a:lumMod val="75000"/>
                      </a:schemeClr>
                    </a:solidFill>
                  </a:rPr>
                  <a:t> </a:t>
                </a:r>
                <a:r>
                  <a:rPr lang="en-US" sz="1000" b="1">
                    <a:solidFill>
                      <a:schemeClr val="tx1"/>
                    </a:solidFill>
                  </a:rPr>
                  <a:t>:</a:t>
                </a:r>
                <a:r>
                  <a:rPr lang="en-US" sz="1000" b="1" baseline="0">
                    <a:solidFill>
                      <a:schemeClr val="tx2">
                        <a:lumMod val="75000"/>
                      </a:schemeClr>
                    </a:solidFill>
                  </a:rPr>
                  <a:t> </a:t>
                </a:r>
                <a:r>
                  <a:rPr lang="en-US" sz="1000" b="1" baseline="0">
                    <a:solidFill>
                      <a:srgbClr val="92D050"/>
                    </a:solidFill>
                  </a:rPr>
                  <a:t>Amps</a:t>
                </a:r>
              </a:p>
            </c:rich>
          </c:tx>
          <c:layout>
            <c:manualLayout>
              <c:xMode val="edge"/>
              <c:yMode val="edge"/>
              <c:x val="0.94279165766611517"/>
              <c:y val="0.34815234211891249"/>
            </c:manualLayout>
          </c:layout>
          <c:spPr>
            <a:noFill/>
            <a:ln w="25400">
              <a:noFill/>
            </a:ln>
          </c:spPr>
        </c:title>
        <c:numFmt formatCode="0" sourceLinked="0"/>
        <c:majorTickMark val="cross"/>
        <c:tickLblPos val="nextTo"/>
        <c:spPr>
          <a:ln w="3175">
            <a:solidFill>
              <a:srgbClr val="000000"/>
            </a:solidFill>
            <a:prstDash val="solid"/>
          </a:ln>
        </c:spPr>
        <c:txPr>
          <a:bodyPr rot="0" vert="horz"/>
          <a:lstStyle/>
          <a:p>
            <a:pPr>
              <a:defRPr sz="800" b="0" i="0" u="none" strike="noStrike" baseline="0">
                <a:solidFill>
                  <a:schemeClr val="tx1">
                    <a:lumMod val="95000"/>
                    <a:lumOff val="5000"/>
                  </a:schemeClr>
                </a:solidFill>
                <a:latin typeface="Arial"/>
                <a:ea typeface="Arial"/>
                <a:cs typeface="Arial"/>
              </a:defRPr>
            </a:pPr>
            <a:endParaRPr lang="en-US"/>
          </a:p>
        </c:txPr>
        <c:crossAx val="95239168"/>
        <c:crosses val="max"/>
        <c:crossBetween val="midCat"/>
      </c:valAx>
      <c:spPr>
        <a:solidFill>
          <a:schemeClr val="bg1"/>
        </a:solidFill>
        <a:ln w="12700">
          <a:solidFill>
            <a:srgbClr val="808080"/>
          </a:solidFill>
          <a:prstDash val="solid"/>
        </a:ln>
      </c:spPr>
    </c:plotArea>
    <c:legend>
      <c:legendPos val="r"/>
      <c:legendEntry>
        <c:idx val="0"/>
        <c:txPr>
          <a:bodyPr/>
          <a:lstStyle/>
          <a:p>
            <a:pPr>
              <a:defRPr sz="700" b="0" i="0" u="none" strike="noStrike" baseline="0">
                <a:solidFill>
                  <a:srgbClr val="000000"/>
                </a:solidFill>
                <a:latin typeface="Arial"/>
                <a:ea typeface="Arial"/>
                <a:cs typeface="Arial"/>
              </a:defRPr>
            </a:pPr>
            <a:endParaRPr lang="en-US"/>
          </a:p>
        </c:txPr>
      </c:legendEntry>
      <c:legendEntry>
        <c:idx val="1"/>
        <c:txPr>
          <a:bodyPr/>
          <a:lstStyle/>
          <a:p>
            <a:pPr>
              <a:defRPr sz="700" b="0" i="0" u="none" strike="noStrike" baseline="0">
                <a:solidFill>
                  <a:srgbClr val="000000"/>
                </a:solidFill>
                <a:latin typeface="Arial"/>
                <a:ea typeface="Arial"/>
                <a:cs typeface="Arial"/>
              </a:defRPr>
            </a:pPr>
            <a:endParaRPr lang="en-US"/>
          </a:p>
        </c:txPr>
      </c:legendEntry>
      <c:legendEntry>
        <c:idx val="2"/>
        <c:txPr>
          <a:bodyPr/>
          <a:lstStyle/>
          <a:p>
            <a:pPr>
              <a:defRPr sz="700" b="0" i="0" u="none" strike="noStrike" baseline="0">
                <a:solidFill>
                  <a:srgbClr val="000000"/>
                </a:solidFill>
                <a:latin typeface="Arial"/>
                <a:ea typeface="Arial"/>
                <a:cs typeface="Arial"/>
              </a:defRPr>
            </a:pPr>
            <a:endParaRPr lang="en-US"/>
          </a:p>
        </c:txPr>
      </c:legendEntry>
      <c:layout>
        <c:manualLayout>
          <c:xMode val="edge"/>
          <c:yMode val="edge"/>
          <c:x val="0.64470245017428396"/>
          <c:y val="0.50940863872895559"/>
          <c:w val="0.18800112670859601"/>
          <c:h val="0.19327146179122273"/>
        </c:manualLayout>
      </c:layout>
      <c:spPr>
        <a:solidFill>
          <a:srgbClr val="FFFFFF"/>
        </a:solidFill>
        <a:ln w="3175">
          <a:solidFill>
            <a:srgbClr val="000000"/>
          </a:solidFill>
          <a:prstDash val="solid"/>
        </a:ln>
      </c:spPr>
      <c:txPr>
        <a:bodyPr/>
        <a:lstStyle/>
        <a:p>
          <a:pPr>
            <a:defRPr sz="700" b="0" i="0" u="none" strike="noStrike" baseline="0">
              <a:solidFill>
                <a:srgbClr val="000000"/>
              </a:solidFill>
              <a:latin typeface="Arial"/>
              <a:ea typeface="Arial"/>
              <a:cs typeface="Arial"/>
            </a:defRPr>
          </a:pPr>
          <a:endParaRPr lang="en-US"/>
        </a:p>
      </c:txPr>
    </c:legend>
    <c:plotVisOnly val="1"/>
    <c:dispBlanksAs val="gap"/>
  </c:chart>
  <c:spPr>
    <a:solidFill>
      <a:srgbClr val="FFFFCC"/>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200"/>
              <a:t>Current</a:t>
            </a:r>
          </a:p>
        </c:rich>
      </c:tx>
      <c:layout>
        <c:manualLayout>
          <c:xMode val="edge"/>
          <c:yMode val="edge"/>
          <c:x val="0.42231763352415641"/>
          <c:y val="9.9502487562189261E-3"/>
        </c:manualLayout>
      </c:layout>
    </c:title>
    <c:plotArea>
      <c:layout>
        <c:manualLayout>
          <c:layoutTarget val="inner"/>
          <c:xMode val="edge"/>
          <c:yMode val="edge"/>
          <c:x val="0.18130008284773458"/>
          <c:y val="0.11830414854859569"/>
          <c:w val="0.72164379651482735"/>
          <c:h val="0.72256316840991786"/>
        </c:manualLayout>
      </c:layout>
      <c:scatterChart>
        <c:scatterStyle val="smoothMarker"/>
        <c:ser>
          <c:idx val="2"/>
          <c:order val="0"/>
          <c:tx>
            <c:strRef>
              <c:f>'Data Table'!$J$4</c:f>
              <c:strCache>
                <c:ptCount val="1"/>
                <c:pt idx="0">
                  <c:v>Amps</c:v>
                </c:pt>
              </c:strCache>
            </c:strRef>
          </c:tx>
          <c:spPr>
            <a:ln>
              <a:solidFill>
                <a:srgbClr val="00B050"/>
              </a:solidFill>
            </a:ln>
          </c:spPr>
          <c:marker>
            <c:symbol val="circle"/>
            <c:size val="3"/>
            <c:spPr>
              <a:solidFill>
                <a:schemeClr val="bg1"/>
              </a:solidFill>
              <a:ln>
                <a:solidFill>
                  <a:schemeClr val="tx1"/>
                </a:solidFill>
              </a:ln>
            </c:spPr>
          </c:marker>
          <c:xVal>
            <c:numRef>
              <c:f>'Data Table'!$G$5:$G$24</c:f>
              <c:numCache>
                <c:formatCode>0.00</c:formatCode>
                <c:ptCount val="20"/>
                <c:pt idx="0">
                  <c:v>0</c:v>
                </c:pt>
                <c:pt idx="1">
                  <c:v>0.44146958930700103</c:v>
                </c:pt>
                <c:pt idx="2">
                  <c:v>0.90681372939702864</c:v>
                </c:pt>
                <c:pt idx="3">
                  <c:v>1.3987630530787265</c:v>
                </c:pt>
                <c:pt idx="4">
                  <c:v>1.5292085977388956</c:v>
                </c:pt>
                <c:pt idx="5">
                  <c:v>1.6680756502517091</c:v>
                </c:pt>
                <c:pt idx="6">
                  <c:v>1.8165270950464489</c:v>
                </c:pt>
                <c:pt idx="7">
                  <c:v>1.9759846636317631</c:v>
                </c:pt>
                <c:pt idx="8">
                  <c:v>2.1482119581815602</c:v>
                </c:pt>
                <c:pt idx="9">
                  <c:v>2.3354336863007221</c:v>
                </c:pt>
                <c:pt idx="10">
                  <c:v>2.5405118862749676</c:v>
                </c:pt>
                <c:pt idx="11">
                  <c:v>2.767215318624225</c:v>
                </c:pt>
                <c:pt idx="12">
                  <c:v>3.020648194204818</c:v>
                </c:pt>
                <c:pt idx="13">
                  <c:v>3.3079666915123713</c:v>
                </c:pt>
                <c:pt idx="14">
                  <c:v>3.6396515546474819</c:v>
                </c:pt>
                <c:pt idx="15">
                  <c:v>4.0319514827408893</c:v>
                </c:pt>
                <c:pt idx="16">
                  <c:v>4.5120877906707406</c:v>
                </c:pt>
                <c:pt idx="17">
                  <c:v>5.1310911511134041</c:v>
                </c:pt>
                <c:pt idx="18">
                  <c:v>6.0035273871366632</c:v>
                </c:pt>
                <c:pt idx="19">
                  <c:v>7.4949669836025823</c:v>
                </c:pt>
              </c:numCache>
            </c:numRef>
          </c:xVal>
          <c:yVal>
            <c:numRef>
              <c:f>'Data Table'!$J$5:$J$24</c:f>
              <c:numCache>
                <c:formatCode>0</c:formatCode>
                <c:ptCount val="20"/>
                <c:pt idx="0">
                  <c:v>21.511627906976745</c:v>
                </c:pt>
                <c:pt idx="1">
                  <c:v>20.436046511627907</c:v>
                </c:pt>
                <c:pt idx="2">
                  <c:v>19.36046511627907</c:v>
                </c:pt>
                <c:pt idx="3">
                  <c:v>73.139534883720927</c:v>
                </c:pt>
                <c:pt idx="4">
                  <c:v>68.83720930232559</c:v>
                </c:pt>
                <c:pt idx="5">
                  <c:v>64.534883720930239</c:v>
                </c:pt>
                <c:pt idx="6">
                  <c:v>60.232558139534881</c:v>
                </c:pt>
                <c:pt idx="7">
                  <c:v>55.930232558139537</c:v>
                </c:pt>
                <c:pt idx="8">
                  <c:v>51.627906976744185</c:v>
                </c:pt>
                <c:pt idx="9">
                  <c:v>47.325581395348841</c:v>
                </c:pt>
                <c:pt idx="10">
                  <c:v>43.02325581395349</c:v>
                </c:pt>
                <c:pt idx="11">
                  <c:v>38.720930232558139</c:v>
                </c:pt>
                <c:pt idx="12">
                  <c:v>34.418604651162795</c:v>
                </c:pt>
                <c:pt idx="13">
                  <c:v>30.11627906976744</c:v>
                </c:pt>
                <c:pt idx="14">
                  <c:v>25.813953488372096</c:v>
                </c:pt>
                <c:pt idx="15">
                  <c:v>21.511627906976745</c:v>
                </c:pt>
                <c:pt idx="16">
                  <c:v>17.209302325581394</c:v>
                </c:pt>
                <c:pt idx="17">
                  <c:v>12.906976744186048</c:v>
                </c:pt>
                <c:pt idx="18">
                  <c:v>8.604651162790697</c:v>
                </c:pt>
                <c:pt idx="19">
                  <c:v>4.3023255813953529</c:v>
                </c:pt>
              </c:numCache>
            </c:numRef>
          </c:yVal>
          <c:smooth val="1"/>
        </c:ser>
        <c:axId val="180354048"/>
        <c:axId val="180630272"/>
      </c:scatterChart>
      <c:valAx>
        <c:axId val="180354048"/>
        <c:scaling>
          <c:orientation val="minMax"/>
        </c:scaling>
        <c:axPos val="b"/>
        <c:title>
          <c:tx>
            <c:rich>
              <a:bodyPr/>
              <a:lstStyle/>
              <a:p>
                <a:pPr>
                  <a:defRPr/>
                </a:pPr>
                <a:r>
                  <a:rPr lang="en-US"/>
                  <a:t>Seconds</a:t>
                </a:r>
              </a:p>
            </c:rich>
          </c:tx>
          <c:layout>
            <c:manualLayout>
              <c:xMode val="edge"/>
              <c:yMode val="edge"/>
              <c:x val="0.4536160599288489"/>
              <c:y val="0.90653034042386449"/>
            </c:manualLayout>
          </c:layout>
        </c:title>
        <c:numFmt formatCode="0.0" sourceLinked="0"/>
        <c:tickLblPos val="nextTo"/>
        <c:txPr>
          <a:bodyPr/>
          <a:lstStyle/>
          <a:p>
            <a:pPr>
              <a:defRPr sz="900"/>
            </a:pPr>
            <a:endParaRPr lang="en-US"/>
          </a:p>
        </c:txPr>
        <c:crossAx val="180630272"/>
        <c:crosses val="autoZero"/>
        <c:crossBetween val="midCat"/>
      </c:valAx>
      <c:valAx>
        <c:axId val="180630272"/>
        <c:scaling>
          <c:orientation val="minMax"/>
        </c:scaling>
        <c:axPos val="l"/>
        <c:majorGridlines/>
        <c:title>
          <c:tx>
            <c:rich>
              <a:bodyPr rot="-5400000" vert="horz"/>
              <a:lstStyle/>
              <a:p>
                <a:pPr>
                  <a:defRPr/>
                </a:pPr>
                <a:r>
                  <a:rPr lang="en-US"/>
                  <a:t>Amperes</a:t>
                </a:r>
              </a:p>
            </c:rich>
          </c:tx>
        </c:title>
        <c:numFmt formatCode="0" sourceLinked="1"/>
        <c:tickLblPos val="nextTo"/>
        <c:txPr>
          <a:bodyPr/>
          <a:lstStyle/>
          <a:p>
            <a:pPr>
              <a:defRPr sz="900"/>
            </a:pPr>
            <a:endParaRPr lang="en-US"/>
          </a:p>
        </c:txPr>
        <c:crossAx val="180354048"/>
        <c:crosses val="autoZero"/>
        <c:crossBetween val="midCat"/>
      </c:valAx>
      <c:spPr>
        <a:ln>
          <a:solidFill>
            <a:schemeClr val="tx1">
              <a:lumMod val="50000"/>
              <a:lumOff val="50000"/>
            </a:schemeClr>
          </a:solidFill>
        </a:ln>
      </c:spPr>
    </c:plotArea>
    <c:plotVisOnly val="1"/>
    <c:dispBlanksAs val="gap"/>
  </c:chart>
  <c:spPr>
    <a:solidFill>
      <a:srgbClr val="FFFFCC"/>
    </a:solidFill>
  </c:spPr>
  <c:printSettings>
    <c:headerFooter/>
    <c:pageMargins b="0.750000000000001" l="0.70000000000000062" r="0.70000000000000062" t="0.750000000000001" header="0.30000000000000032" footer="0.30000000000000032"/>
    <c:pageSetup/>
  </c:printSettings>
</c:chartSpace>
</file>

<file path=xl/ctrlProps/ctrlProp1.xml><?xml version="1.0" encoding="utf-8"?>
<formControlPr xmlns="http://schemas.microsoft.com/office/spreadsheetml/2009/9/main" objectType="Radio" firstButton="1" fmlaLink="'Data Table'!$A$2" lockText="1" noThreeD="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runamok.tech/robotica.html"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45721</xdr:colOff>
      <xdr:row>25</xdr:row>
      <xdr:rowOff>4253</xdr:rowOff>
    </xdr:from>
    <xdr:to>
      <xdr:col>14</xdr:col>
      <xdr:colOff>906780</xdr:colOff>
      <xdr:row>30</xdr:row>
      <xdr:rowOff>0</xdr:rowOff>
    </xdr:to>
    <xdr:pic>
      <xdr:nvPicPr>
        <xdr:cNvPr id="71701" name="Picture 3">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6598921" y="4033328"/>
          <a:ext cx="861059" cy="805372"/>
        </a:xfrm>
        <a:prstGeom prst="rect">
          <a:avLst/>
        </a:prstGeom>
        <a:noFill/>
        <a:ln w="6350">
          <a:solidFill>
            <a:srgbClr val="000000"/>
          </a:solidFill>
          <a:miter lim="800000"/>
          <a:headEnd/>
          <a:tailEnd/>
        </a:ln>
      </xdr:spPr>
    </xdr:pic>
    <xdr:clientData/>
  </xdr:twoCellAnchor>
  <xdr:twoCellAnchor>
    <xdr:from>
      <xdr:col>14</xdr:col>
      <xdr:colOff>35138</xdr:colOff>
      <xdr:row>2</xdr:row>
      <xdr:rowOff>113242</xdr:rowOff>
    </xdr:from>
    <xdr:to>
      <xdr:col>20</xdr:col>
      <xdr:colOff>9525</xdr:colOff>
      <xdr:row>24</xdr:row>
      <xdr:rowOff>76200</xdr:rowOff>
    </xdr:to>
    <xdr:graphicFrame macro="">
      <xdr:nvGraphicFramePr>
        <xdr:cNvPr id="7170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133350</xdr:colOff>
      <xdr:row>11</xdr:row>
      <xdr:rowOff>19050</xdr:rowOff>
    </xdr:from>
    <xdr:to>
      <xdr:col>1</xdr:col>
      <xdr:colOff>514350</xdr:colOff>
      <xdr:row>14</xdr:row>
      <xdr:rowOff>85725</xdr:rowOff>
    </xdr:to>
    <xdr:grpSp>
      <xdr:nvGrpSpPr>
        <xdr:cNvPr id="71703" name="Group 31"/>
        <xdr:cNvGrpSpPr>
          <a:grpSpLocks/>
        </xdr:cNvGrpSpPr>
      </xdr:nvGrpSpPr>
      <xdr:grpSpPr bwMode="auto">
        <a:xfrm>
          <a:off x="276225" y="1781175"/>
          <a:ext cx="381000" cy="552450"/>
          <a:chOff x="46" y="133"/>
          <a:chExt cx="40" cy="59"/>
        </a:xfrm>
      </xdr:grpSpPr>
      <xdr:sp macro="" textlink="">
        <xdr:nvSpPr>
          <xdr:cNvPr id="71711" name="AutoShape 23"/>
          <xdr:cNvSpPr>
            <a:spLocks noChangeArrowheads="1"/>
          </xdr:cNvSpPr>
        </xdr:nvSpPr>
        <xdr:spPr bwMode="auto">
          <a:xfrm>
            <a:off x="46" y="163"/>
            <a:ext cx="28" cy="29"/>
          </a:xfrm>
          <a:prstGeom prst="curvedRightArrow">
            <a:avLst>
              <a:gd name="adj1" fmla="val 20714"/>
              <a:gd name="adj2" fmla="val 43730"/>
              <a:gd name="adj3" fmla="val 32144"/>
            </a:avLst>
          </a:prstGeom>
          <a:solidFill>
            <a:srgbClr val="FFFF99"/>
          </a:solidFill>
          <a:ln w="9525">
            <a:solidFill>
              <a:srgbClr val="000000"/>
            </a:solidFill>
            <a:miter lim="800000"/>
            <a:headEnd/>
            <a:tailEnd/>
          </a:ln>
        </xdr:spPr>
      </xdr:sp>
      <xdr:grpSp>
        <xdr:nvGrpSpPr>
          <xdr:cNvPr id="71712" name="Group 22"/>
          <xdr:cNvGrpSpPr>
            <a:grpSpLocks/>
          </xdr:cNvGrpSpPr>
        </xdr:nvGrpSpPr>
        <xdr:grpSpPr bwMode="auto">
          <a:xfrm>
            <a:off x="52" y="133"/>
            <a:ext cx="34" cy="43"/>
            <a:chOff x="58" y="140"/>
            <a:chExt cx="25" cy="43"/>
          </a:xfrm>
        </xdr:grpSpPr>
        <xdr:sp macro="" textlink="">
          <xdr:nvSpPr>
            <xdr:cNvPr id="71713" name="Oval 10"/>
            <xdr:cNvSpPr>
              <a:spLocks noChangeArrowheads="1"/>
            </xdr:cNvSpPr>
          </xdr:nvSpPr>
          <xdr:spPr bwMode="auto">
            <a:xfrm>
              <a:off x="58" y="170"/>
              <a:ext cx="25" cy="13"/>
            </a:xfrm>
            <a:prstGeom prst="ellipse">
              <a:avLst/>
            </a:prstGeom>
            <a:solidFill>
              <a:srgbClr val="FFFFFF"/>
            </a:solidFill>
            <a:ln w="9525">
              <a:solidFill>
                <a:srgbClr val="000000"/>
              </a:solidFill>
              <a:round/>
              <a:headEnd/>
              <a:tailEnd/>
            </a:ln>
          </xdr:spPr>
        </xdr:sp>
        <xdr:sp macro="" textlink="">
          <xdr:nvSpPr>
            <xdr:cNvPr id="71714" name="Rectangle 7"/>
            <xdr:cNvSpPr>
              <a:spLocks noChangeArrowheads="1"/>
            </xdr:cNvSpPr>
          </xdr:nvSpPr>
          <xdr:spPr bwMode="auto">
            <a:xfrm>
              <a:off x="58" y="145"/>
              <a:ext cx="25" cy="32"/>
            </a:xfrm>
            <a:prstGeom prst="rect">
              <a:avLst/>
            </a:prstGeom>
            <a:solidFill>
              <a:srgbClr val="FFFFFF"/>
            </a:solidFill>
            <a:ln w="9525">
              <a:solidFill>
                <a:srgbClr val="000000"/>
              </a:solidFill>
              <a:miter lim="800000"/>
              <a:headEnd/>
              <a:tailEnd/>
            </a:ln>
          </xdr:spPr>
        </xdr:sp>
        <xdr:sp macro="" textlink="">
          <xdr:nvSpPr>
            <xdr:cNvPr id="71715" name="Oval 9"/>
            <xdr:cNvSpPr>
              <a:spLocks noChangeArrowheads="1"/>
            </xdr:cNvSpPr>
          </xdr:nvSpPr>
          <xdr:spPr bwMode="auto">
            <a:xfrm>
              <a:off x="58" y="140"/>
              <a:ext cx="25" cy="10"/>
            </a:xfrm>
            <a:prstGeom prst="ellipse">
              <a:avLst/>
            </a:prstGeom>
            <a:solidFill>
              <a:srgbClr val="C0C0C0"/>
            </a:solidFill>
            <a:ln w="9525">
              <a:solidFill>
                <a:srgbClr val="000000"/>
              </a:solidFill>
              <a:round/>
              <a:headEnd/>
              <a:tailEnd/>
            </a:ln>
          </xdr:spPr>
        </xdr:sp>
        <xdr:sp macro="" textlink="">
          <xdr:nvSpPr>
            <xdr:cNvPr id="71716" name="Line 11"/>
            <xdr:cNvSpPr>
              <a:spLocks noChangeShapeType="1"/>
            </xdr:cNvSpPr>
          </xdr:nvSpPr>
          <xdr:spPr bwMode="auto">
            <a:xfrm>
              <a:off x="59" y="177"/>
              <a:ext cx="23" cy="0"/>
            </a:xfrm>
            <a:prstGeom prst="line">
              <a:avLst/>
            </a:prstGeom>
            <a:noFill/>
            <a:ln w="9525">
              <a:solidFill>
                <a:srgbClr val="FFFFFF"/>
              </a:solidFill>
              <a:round/>
              <a:headEnd/>
              <a:tailEnd/>
            </a:ln>
          </xdr:spPr>
        </xdr:sp>
      </xdr:grpSp>
    </xdr:grpSp>
    <xdr:clientData/>
  </xdr:twoCellAnchor>
  <xdr:twoCellAnchor>
    <xdr:from>
      <xdr:col>1</xdr:col>
      <xdr:colOff>123825</xdr:colOff>
      <xdr:row>4</xdr:row>
      <xdr:rowOff>38100</xdr:rowOff>
    </xdr:from>
    <xdr:to>
      <xdr:col>1</xdr:col>
      <xdr:colOff>600075</xdr:colOff>
      <xdr:row>7</xdr:row>
      <xdr:rowOff>38100</xdr:rowOff>
    </xdr:to>
    <xdr:sp macro="" textlink="">
      <xdr:nvSpPr>
        <xdr:cNvPr id="71704" name="Oval 5"/>
        <xdr:cNvSpPr>
          <a:spLocks noChangeArrowheads="1"/>
        </xdr:cNvSpPr>
      </xdr:nvSpPr>
      <xdr:spPr bwMode="auto">
        <a:xfrm>
          <a:off x="428625" y="2705100"/>
          <a:ext cx="476250" cy="495300"/>
        </a:xfrm>
        <a:prstGeom prst="ellipse">
          <a:avLst/>
        </a:prstGeom>
        <a:solidFill>
          <a:srgbClr val="FFFFFF"/>
        </a:solidFill>
        <a:ln w="9525">
          <a:solidFill>
            <a:srgbClr val="000000"/>
          </a:solidFill>
          <a:round/>
          <a:headEnd/>
          <a:tailEnd/>
        </a:ln>
      </xdr:spPr>
    </xdr:sp>
    <xdr:clientData/>
  </xdr:twoCellAnchor>
  <xdr:twoCellAnchor>
    <xdr:from>
      <xdr:col>1</xdr:col>
      <xdr:colOff>171450</xdr:colOff>
      <xdr:row>4</xdr:row>
      <xdr:rowOff>85725</xdr:rowOff>
    </xdr:from>
    <xdr:to>
      <xdr:col>1</xdr:col>
      <xdr:colOff>542925</xdr:colOff>
      <xdr:row>6</xdr:row>
      <xdr:rowOff>161925</xdr:rowOff>
    </xdr:to>
    <xdr:sp macro="" textlink="">
      <xdr:nvSpPr>
        <xdr:cNvPr id="71705" name="AutoShape 12"/>
        <xdr:cNvSpPr>
          <a:spLocks noChangeArrowheads="1"/>
        </xdr:cNvSpPr>
      </xdr:nvSpPr>
      <xdr:spPr bwMode="auto">
        <a:xfrm>
          <a:off x="476250" y="2752725"/>
          <a:ext cx="371475" cy="4000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2147483647 h 21600"/>
            <a:gd name="T8" fmla="*/ 2147483647 w 21600"/>
            <a:gd name="T9" fmla="*/ 2147483647 h 21600"/>
            <a:gd name="T10" fmla="*/ 2147483647 w 21600"/>
            <a:gd name="T11" fmla="*/ 2147483647 h 21600"/>
            <a:gd name="T12" fmla="*/ 0 60000 65536"/>
            <a:gd name="T13" fmla="*/ 0 60000 65536"/>
            <a:gd name="T14" fmla="*/ 0 60000 65536"/>
            <a:gd name="T15" fmla="*/ 0 60000 65536"/>
            <a:gd name="T16" fmla="*/ 0 60000 65536"/>
            <a:gd name="T17" fmla="*/ 0 60000 65536"/>
            <a:gd name="T18" fmla="*/ 3163 w 21600"/>
            <a:gd name="T19" fmla="*/ 3163 h 21600"/>
            <a:gd name="T20" fmla="*/ 18437 w 21600"/>
            <a:gd name="T21" fmla="*/ 18437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900" y="10800"/>
              </a:moveTo>
              <a:cubicBezTo>
                <a:pt x="18900" y="6326"/>
                <a:pt x="15273" y="2700"/>
                <a:pt x="10800" y="2700"/>
              </a:cubicBezTo>
              <a:cubicBezTo>
                <a:pt x="6326" y="2700"/>
                <a:pt x="2700" y="6326"/>
                <a:pt x="2700" y="10800"/>
              </a:cubicBezTo>
              <a:cubicBezTo>
                <a:pt x="2700" y="15273"/>
                <a:pt x="6326" y="18900"/>
                <a:pt x="10800" y="18900"/>
              </a:cubicBezTo>
              <a:cubicBezTo>
                <a:pt x="12211" y="18900"/>
                <a:pt x="13597" y="18531"/>
                <a:pt x="14822" y="17830"/>
              </a:cubicBezTo>
              <a:lnTo>
                <a:pt x="16163" y="20174"/>
              </a:lnTo>
              <a:cubicBezTo>
                <a:pt x="14530" y="21108"/>
                <a:pt x="12681" y="21599"/>
                <a:pt x="10800" y="21600"/>
              </a:cubicBezTo>
              <a:cubicBezTo>
                <a:pt x="4835" y="21600"/>
                <a:pt x="0" y="16764"/>
                <a:pt x="0" y="10800"/>
              </a:cubicBezTo>
              <a:cubicBezTo>
                <a:pt x="0" y="4835"/>
                <a:pt x="4835" y="0"/>
                <a:pt x="10800" y="0"/>
              </a:cubicBezTo>
              <a:cubicBezTo>
                <a:pt x="16764" y="-1"/>
                <a:pt x="21599" y="4835"/>
                <a:pt x="21600" y="10799"/>
              </a:cubicBezTo>
              <a:lnTo>
                <a:pt x="21600" y="10800"/>
              </a:lnTo>
              <a:lnTo>
                <a:pt x="24300" y="10800"/>
              </a:lnTo>
              <a:lnTo>
                <a:pt x="20250" y="14850"/>
              </a:lnTo>
              <a:lnTo>
                <a:pt x="16200" y="10800"/>
              </a:lnTo>
              <a:lnTo>
                <a:pt x="18900" y="10800"/>
              </a:lnTo>
              <a:close/>
            </a:path>
          </a:pathLst>
        </a:custGeom>
        <a:solidFill>
          <a:srgbClr val="FFFF99"/>
        </a:solidFill>
        <a:ln w="9525">
          <a:solidFill>
            <a:srgbClr val="000000"/>
          </a:solidFill>
          <a:miter lim="800000"/>
          <a:headEnd/>
          <a:tailEnd/>
        </a:ln>
      </xdr:spPr>
    </xdr:sp>
    <xdr:clientData/>
  </xdr:twoCellAnchor>
  <xdr:twoCellAnchor>
    <xdr:from>
      <xdr:col>1</xdr:col>
      <xdr:colOff>352425</xdr:colOff>
      <xdr:row>5</xdr:row>
      <xdr:rowOff>114300</xdr:rowOff>
    </xdr:from>
    <xdr:to>
      <xdr:col>1</xdr:col>
      <xdr:colOff>381000</xdr:colOff>
      <xdr:row>5</xdr:row>
      <xdr:rowOff>142875</xdr:rowOff>
    </xdr:to>
    <xdr:sp macro="" textlink="">
      <xdr:nvSpPr>
        <xdr:cNvPr id="71706" name="AutoShape 28"/>
        <xdr:cNvSpPr>
          <a:spLocks noChangeArrowheads="1"/>
        </xdr:cNvSpPr>
      </xdr:nvSpPr>
      <xdr:spPr bwMode="auto">
        <a:xfrm>
          <a:off x="657225" y="2952750"/>
          <a:ext cx="28575" cy="28575"/>
        </a:xfrm>
        <a:prstGeom prst="flowChartOr">
          <a:avLst/>
        </a:prstGeom>
        <a:solidFill>
          <a:srgbClr val="FFFFFF"/>
        </a:solidFill>
        <a:ln w="9525">
          <a:solidFill>
            <a:srgbClr val="000000"/>
          </a:solidFill>
          <a:round/>
          <a:headEnd/>
          <a:tailEnd/>
        </a:ln>
      </xdr:spPr>
    </xdr:sp>
    <xdr:clientData/>
  </xdr:twoCellAnchor>
  <xdr:twoCellAnchor>
    <xdr:from>
      <xdr:col>1</xdr:col>
      <xdr:colOff>180975</xdr:colOff>
      <xdr:row>17</xdr:row>
      <xdr:rowOff>76200</xdr:rowOff>
    </xdr:from>
    <xdr:to>
      <xdr:col>1</xdr:col>
      <xdr:colOff>552450</xdr:colOff>
      <xdr:row>21</xdr:row>
      <xdr:rowOff>85725</xdr:rowOff>
    </xdr:to>
    <xdr:grpSp>
      <xdr:nvGrpSpPr>
        <xdr:cNvPr id="71707" name="Group 34"/>
        <xdr:cNvGrpSpPr>
          <a:grpSpLocks/>
        </xdr:cNvGrpSpPr>
      </xdr:nvGrpSpPr>
      <xdr:grpSpPr bwMode="auto">
        <a:xfrm>
          <a:off x="323850" y="2809875"/>
          <a:ext cx="371475" cy="657225"/>
          <a:chOff x="51" y="339"/>
          <a:chExt cx="39" cy="70"/>
        </a:xfrm>
      </xdr:grpSpPr>
      <xdr:sp macro="" textlink="">
        <xdr:nvSpPr>
          <xdr:cNvPr id="71708" name="Rectangle 6"/>
          <xdr:cNvSpPr>
            <a:spLocks noChangeArrowheads="1"/>
          </xdr:cNvSpPr>
        </xdr:nvSpPr>
        <xdr:spPr bwMode="auto">
          <a:xfrm>
            <a:off x="61" y="339"/>
            <a:ext cx="17" cy="70"/>
          </a:xfrm>
          <a:prstGeom prst="rect">
            <a:avLst/>
          </a:prstGeom>
          <a:solidFill>
            <a:srgbClr val="FFFFFF"/>
          </a:solidFill>
          <a:ln w="9525">
            <a:solidFill>
              <a:srgbClr val="000000"/>
            </a:solidFill>
            <a:miter lim="800000"/>
            <a:headEnd/>
            <a:tailEnd/>
          </a:ln>
        </xdr:spPr>
      </xdr:sp>
      <xdr:sp macro="" textlink="">
        <xdr:nvSpPr>
          <xdr:cNvPr id="71709" name="AutoShape 26"/>
          <xdr:cNvSpPr>
            <a:spLocks noChangeArrowheads="1"/>
          </xdr:cNvSpPr>
        </xdr:nvSpPr>
        <xdr:spPr bwMode="auto">
          <a:xfrm>
            <a:off x="68" y="372"/>
            <a:ext cx="3" cy="3"/>
          </a:xfrm>
          <a:prstGeom prst="flowChartOr">
            <a:avLst/>
          </a:prstGeom>
          <a:solidFill>
            <a:srgbClr val="FFFFFF"/>
          </a:solidFill>
          <a:ln w="9525">
            <a:solidFill>
              <a:srgbClr val="000000"/>
            </a:solidFill>
            <a:round/>
            <a:headEnd/>
            <a:tailEnd/>
          </a:ln>
        </xdr:spPr>
      </xdr:sp>
      <xdr:sp macro="" textlink="">
        <xdr:nvSpPr>
          <xdr:cNvPr id="71710" name="AutoShape 33"/>
          <xdr:cNvSpPr>
            <a:spLocks noChangeArrowheads="1"/>
          </xdr:cNvSpPr>
        </xdr:nvSpPr>
        <xdr:spPr bwMode="auto">
          <a:xfrm>
            <a:off x="51" y="352"/>
            <a:ext cx="39" cy="42"/>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323 w 21600"/>
              <a:gd name="T19" fmla="*/ 3086 h 21600"/>
              <a:gd name="T20" fmla="*/ 18277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900" y="10800"/>
                </a:moveTo>
                <a:cubicBezTo>
                  <a:pt x="18900" y="6326"/>
                  <a:pt x="15273" y="2700"/>
                  <a:pt x="10800" y="2700"/>
                </a:cubicBezTo>
                <a:cubicBezTo>
                  <a:pt x="6326" y="2700"/>
                  <a:pt x="2700" y="6326"/>
                  <a:pt x="2700" y="10800"/>
                </a:cubicBezTo>
                <a:cubicBezTo>
                  <a:pt x="2699" y="15192"/>
                  <a:pt x="6201" y="18784"/>
                  <a:pt x="10592" y="18897"/>
                </a:cubicBezTo>
                <a:lnTo>
                  <a:pt x="10523" y="21596"/>
                </a:lnTo>
                <a:cubicBezTo>
                  <a:pt x="4668" y="21446"/>
                  <a:pt x="0" y="16656"/>
                  <a:pt x="0" y="10800"/>
                </a:cubicBezTo>
                <a:cubicBezTo>
                  <a:pt x="0" y="4835"/>
                  <a:pt x="4835" y="0"/>
                  <a:pt x="10800" y="0"/>
                </a:cubicBezTo>
                <a:cubicBezTo>
                  <a:pt x="16764" y="-1"/>
                  <a:pt x="21599" y="4835"/>
                  <a:pt x="21600" y="10799"/>
                </a:cubicBezTo>
                <a:lnTo>
                  <a:pt x="21600" y="10800"/>
                </a:lnTo>
                <a:lnTo>
                  <a:pt x="24300" y="10800"/>
                </a:lnTo>
                <a:lnTo>
                  <a:pt x="20250" y="14850"/>
                </a:lnTo>
                <a:lnTo>
                  <a:pt x="16200" y="10800"/>
                </a:lnTo>
                <a:lnTo>
                  <a:pt x="18900" y="10800"/>
                </a:lnTo>
                <a:close/>
              </a:path>
            </a:pathLst>
          </a:custGeom>
          <a:solidFill>
            <a:srgbClr val="FFFF99"/>
          </a:solidFill>
          <a:ln w="9525">
            <a:solidFill>
              <a:srgbClr val="000000"/>
            </a:solidFill>
            <a:miter lim="800000"/>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129540</xdr:colOff>
      <xdr:row>0</xdr:row>
      <xdr:rowOff>160020</xdr:rowOff>
    </xdr:from>
    <xdr:to>
      <xdr:col>15</xdr:col>
      <xdr:colOff>502920</xdr:colOff>
      <xdr:row>16</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trlProp" Target="../ctrlProps/ctrlProp1.xml"/><Relationship Id="rId2" Type="http://schemas.openxmlformats.org/officeDocument/2006/relationships/printerSettings" Target="../printerSettings/printerSettings2.bin"/><Relationship Id="rId1" Type="http://schemas.openxmlformats.org/officeDocument/2006/relationships/hyperlink" Target="http://runamok.tech/robotica.html" TargetMode="External"/><Relationship Id="rId6" Type="http://schemas.openxmlformats.org/officeDocument/2006/relationships/ctrlProp" Target="../ctrlProps/ctrlProp2.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U32"/>
  <sheetViews>
    <sheetView showRowColHeaders="0" tabSelected="1" zoomScaleNormal="100" workbookViewId="0">
      <selection activeCell="D17" sqref="D17"/>
    </sheetView>
  </sheetViews>
  <sheetFormatPr defaultRowHeight="12.75"/>
  <cols>
    <col min="1" max="1" width="3.5703125" customWidth="1"/>
    <col min="2" max="2" width="58.140625" customWidth="1"/>
    <col min="3" max="3" width="13" customWidth="1"/>
    <col min="4" max="4" width="6.7109375" customWidth="1"/>
    <col min="6" max="6" width="59.5703125" customWidth="1"/>
    <col min="7" max="7" width="9.140625" customWidth="1"/>
  </cols>
  <sheetData>
    <row r="1" spans="1:21" ht="7.5" customHeight="1">
      <c r="A1" s="18"/>
      <c r="B1" s="18"/>
      <c r="C1" s="18"/>
      <c r="D1" s="18"/>
      <c r="E1" s="18"/>
      <c r="F1" s="18"/>
      <c r="G1" s="18"/>
      <c r="H1" s="18"/>
      <c r="I1" s="18"/>
      <c r="J1" s="18"/>
      <c r="K1" s="18"/>
      <c r="L1" s="18"/>
      <c r="M1" s="18"/>
      <c r="N1" s="18"/>
      <c r="O1" s="18"/>
      <c r="P1" s="18"/>
      <c r="Q1" s="18"/>
      <c r="R1" s="18"/>
      <c r="S1" s="18"/>
      <c r="T1" s="18"/>
      <c r="U1" s="18"/>
    </row>
    <row r="2" spans="1:21">
      <c r="A2" s="18"/>
      <c r="B2" s="89" t="s">
        <v>109</v>
      </c>
      <c r="C2" s="18"/>
      <c r="D2" s="18"/>
      <c r="E2" s="18"/>
      <c r="F2" s="18"/>
      <c r="G2" s="18"/>
      <c r="H2" s="18"/>
      <c r="I2" s="18"/>
      <c r="J2" s="18"/>
      <c r="K2" s="18"/>
      <c r="L2" s="18"/>
      <c r="M2" s="18"/>
      <c r="N2" s="18"/>
      <c r="O2" s="18"/>
      <c r="P2" s="18"/>
      <c r="Q2" s="18"/>
      <c r="R2" s="18"/>
      <c r="S2" s="18"/>
      <c r="T2" s="18"/>
      <c r="U2" s="18"/>
    </row>
    <row r="3" spans="1:21" ht="44.25" customHeight="1">
      <c r="A3" s="18"/>
      <c r="B3" s="98" t="s">
        <v>107</v>
      </c>
      <c r="C3" s="99"/>
      <c r="D3" s="99"/>
      <c r="E3" s="99"/>
      <c r="F3" s="100"/>
      <c r="G3" s="18"/>
      <c r="H3" s="18"/>
      <c r="I3" s="18"/>
      <c r="J3" s="18"/>
      <c r="K3" s="18"/>
      <c r="L3" s="18"/>
      <c r="M3" s="18"/>
      <c r="N3" s="18"/>
      <c r="O3" s="18"/>
      <c r="P3" s="18"/>
      <c r="Q3" s="18"/>
      <c r="R3" s="18"/>
      <c r="S3" s="18"/>
      <c r="T3" s="18"/>
      <c r="U3" s="18"/>
    </row>
    <row r="4" spans="1:21" ht="30" customHeight="1">
      <c r="A4" s="18"/>
      <c r="B4" s="101" t="s">
        <v>108</v>
      </c>
      <c r="C4" s="102"/>
      <c r="D4" s="102"/>
      <c r="E4" s="102"/>
      <c r="F4" s="103"/>
      <c r="G4" s="18"/>
      <c r="H4" s="18"/>
      <c r="I4" s="18"/>
      <c r="J4" s="18"/>
      <c r="K4" s="18"/>
      <c r="L4" s="18"/>
      <c r="M4" s="18"/>
      <c r="N4" s="18"/>
      <c r="O4" s="18"/>
      <c r="P4" s="18"/>
      <c r="Q4" s="18"/>
      <c r="R4" s="18"/>
      <c r="S4" s="18"/>
      <c r="T4" s="18"/>
      <c r="U4" s="18"/>
    </row>
    <row r="5" spans="1:21" ht="31.5" customHeight="1">
      <c r="A5" s="18"/>
      <c r="B5" s="104" t="s">
        <v>106</v>
      </c>
      <c r="C5" s="105"/>
      <c r="D5" s="105"/>
      <c r="E5" s="105"/>
      <c r="F5" s="106"/>
      <c r="G5" s="18"/>
      <c r="H5" s="18"/>
      <c r="I5" s="18"/>
      <c r="J5" s="18"/>
      <c r="K5" s="18"/>
      <c r="L5" s="18"/>
      <c r="M5" s="18"/>
      <c r="N5" s="18"/>
      <c r="O5" s="18"/>
      <c r="P5" s="18"/>
      <c r="Q5" s="18"/>
      <c r="R5" s="18"/>
      <c r="S5" s="18"/>
      <c r="T5" s="18"/>
      <c r="U5" s="18"/>
    </row>
    <row r="6" spans="1:21" ht="30" customHeight="1">
      <c r="A6" s="18"/>
      <c r="B6" s="107" t="s">
        <v>104</v>
      </c>
      <c r="C6" s="108"/>
      <c r="D6" s="108"/>
      <c r="E6" s="108"/>
      <c r="F6" s="109"/>
      <c r="G6" s="18"/>
      <c r="H6" s="18"/>
      <c r="I6" s="18"/>
      <c r="J6" s="18"/>
      <c r="K6" s="18"/>
      <c r="L6" s="18"/>
      <c r="M6" s="18"/>
      <c r="N6" s="18"/>
      <c r="O6" s="18"/>
      <c r="P6" s="18"/>
      <c r="Q6" s="18"/>
      <c r="R6" s="18"/>
      <c r="S6" s="18"/>
      <c r="T6" s="18"/>
      <c r="U6" s="18"/>
    </row>
    <row r="7" spans="1:21" ht="30.6" customHeight="1">
      <c r="A7" s="18"/>
      <c r="B7" s="107" t="s">
        <v>105</v>
      </c>
      <c r="C7" s="108"/>
      <c r="D7" s="108"/>
      <c r="E7" s="108"/>
      <c r="F7" s="109"/>
      <c r="G7" s="18"/>
      <c r="H7" s="18"/>
      <c r="I7" s="18"/>
      <c r="J7" s="18"/>
      <c r="K7" s="18"/>
      <c r="L7" s="18"/>
      <c r="M7" s="18"/>
      <c r="N7" s="18"/>
      <c r="O7" s="18"/>
      <c r="P7" s="18"/>
      <c r="Q7" s="18"/>
      <c r="R7" s="18"/>
      <c r="S7" s="18"/>
      <c r="T7" s="18"/>
      <c r="U7" s="18"/>
    </row>
    <row r="8" spans="1:21" ht="34.5" customHeight="1">
      <c r="A8" s="18"/>
      <c r="B8" s="110" t="s">
        <v>97</v>
      </c>
      <c r="C8" s="111"/>
      <c r="D8" s="111"/>
      <c r="E8" s="111"/>
      <c r="F8" s="112"/>
      <c r="G8" s="18"/>
      <c r="H8" s="18"/>
      <c r="I8" s="18"/>
      <c r="J8" s="18"/>
      <c r="K8" s="18"/>
      <c r="L8" s="18"/>
      <c r="M8" s="18"/>
      <c r="N8" s="18"/>
      <c r="O8" s="18"/>
      <c r="P8" s="18"/>
      <c r="Q8" s="18"/>
      <c r="R8" s="18"/>
      <c r="S8" s="18"/>
      <c r="T8" s="18"/>
      <c r="U8" s="18"/>
    </row>
    <row r="9" spans="1:21" ht="15" customHeight="1">
      <c r="A9" s="18"/>
      <c r="B9" s="113" t="s">
        <v>95</v>
      </c>
      <c r="C9" s="114"/>
      <c r="D9" s="114"/>
      <c r="E9" s="114"/>
      <c r="F9" s="115"/>
      <c r="G9" s="18"/>
      <c r="H9" s="18"/>
      <c r="I9" s="18"/>
      <c r="J9" s="18"/>
      <c r="K9" s="18"/>
      <c r="L9" s="18"/>
      <c r="M9" s="18"/>
      <c r="N9" s="18"/>
      <c r="O9" s="18"/>
      <c r="P9" s="18"/>
      <c r="Q9" s="18"/>
      <c r="R9" s="18"/>
      <c r="S9" s="18"/>
      <c r="T9" s="18"/>
      <c r="U9" s="18"/>
    </row>
    <row r="10" spans="1:21" ht="15" customHeight="1">
      <c r="A10" s="18"/>
      <c r="B10" s="116" t="s">
        <v>34</v>
      </c>
      <c r="C10" s="117"/>
      <c r="D10" s="117"/>
      <c r="E10" s="117"/>
      <c r="F10" s="118"/>
      <c r="G10" s="18"/>
      <c r="H10" s="18"/>
      <c r="I10" s="18"/>
      <c r="J10" s="18"/>
      <c r="K10" s="18"/>
      <c r="L10" s="18"/>
      <c r="M10" s="18"/>
      <c r="N10" s="18"/>
      <c r="O10" s="18"/>
      <c r="P10" s="18"/>
      <c r="Q10" s="18"/>
      <c r="R10" s="18"/>
      <c r="S10" s="18"/>
      <c r="T10" s="18"/>
      <c r="U10" s="18"/>
    </row>
    <row r="11" spans="1:21" ht="31.15" customHeight="1">
      <c r="A11" s="18"/>
      <c r="B11" s="107" t="s">
        <v>98</v>
      </c>
      <c r="C11" s="108"/>
      <c r="D11" s="108"/>
      <c r="E11" s="108"/>
      <c r="F11" s="109"/>
      <c r="G11" s="18"/>
      <c r="H11" s="18"/>
      <c r="I11" s="18"/>
      <c r="J11" s="18"/>
      <c r="K11" s="18"/>
      <c r="L11" s="18"/>
      <c r="M11" s="18"/>
      <c r="N11" s="18"/>
      <c r="O11" s="18"/>
      <c r="P11" s="18"/>
      <c r="Q11" s="18"/>
      <c r="R11" s="18"/>
      <c r="S11" s="18"/>
      <c r="T11" s="18"/>
      <c r="U11" s="18"/>
    </row>
    <row r="12" spans="1:21" ht="29.25" customHeight="1">
      <c r="A12" s="18"/>
      <c r="B12" s="110" t="s">
        <v>101</v>
      </c>
      <c r="C12" s="111"/>
      <c r="D12" s="111"/>
      <c r="E12" s="111"/>
      <c r="F12" s="112"/>
      <c r="G12" s="18"/>
      <c r="H12" s="18"/>
      <c r="I12" s="18"/>
      <c r="J12" s="18"/>
      <c r="K12" s="18"/>
      <c r="L12" s="18"/>
      <c r="M12" s="18"/>
      <c r="N12" s="18"/>
      <c r="O12" s="18"/>
      <c r="P12" s="18"/>
      <c r="Q12" s="18"/>
      <c r="R12" s="18"/>
      <c r="S12" s="18"/>
      <c r="T12" s="18"/>
      <c r="U12" s="18"/>
    </row>
    <row r="13" spans="1:21" ht="27.75" customHeight="1">
      <c r="A13" s="18"/>
      <c r="B13" s="104" t="s">
        <v>103</v>
      </c>
      <c r="C13" s="105"/>
      <c r="D13" s="105"/>
      <c r="E13" s="105"/>
      <c r="F13" s="106"/>
      <c r="G13" s="18"/>
      <c r="H13" s="18"/>
      <c r="I13" s="18"/>
      <c r="J13" s="18"/>
      <c r="K13" s="18"/>
      <c r="L13" s="18"/>
      <c r="M13" s="18"/>
      <c r="N13" s="18"/>
      <c r="O13" s="18"/>
      <c r="P13" s="18"/>
      <c r="Q13" s="18"/>
      <c r="R13" s="18"/>
      <c r="S13" s="18"/>
      <c r="T13" s="18"/>
      <c r="U13" s="18"/>
    </row>
    <row r="14" spans="1:21" ht="17.45" customHeight="1">
      <c r="A14" s="18"/>
      <c r="B14" s="119" t="s">
        <v>24</v>
      </c>
      <c r="C14" s="120"/>
      <c r="D14" s="120"/>
      <c r="E14" s="120"/>
      <c r="F14" s="121"/>
      <c r="G14" s="18"/>
      <c r="H14" s="18"/>
      <c r="I14" s="18"/>
      <c r="J14" s="18"/>
      <c r="K14" s="18"/>
      <c r="L14" s="18"/>
      <c r="M14" s="18"/>
      <c r="N14" s="18"/>
      <c r="O14" s="18"/>
      <c r="P14" s="18"/>
      <c r="Q14" s="18"/>
      <c r="R14" s="18"/>
      <c r="S14" s="18"/>
      <c r="T14" s="18"/>
      <c r="U14" s="18"/>
    </row>
    <row r="15" spans="1:21" ht="7.9" customHeight="1">
      <c r="A15" s="18"/>
      <c r="B15" s="18"/>
      <c r="C15" s="18"/>
      <c r="D15" s="18"/>
      <c r="E15" s="18"/>
      <c r="F15" s="18"/>
      <c r="G15" s="18"/>
      <c r="H15" s="18"/>
      <c r="I15" s="18"/>
      <c r="J15" s="18"/>
      <c r="K15" s="18"/>
      <c r="L15" s="18"/>
      <c r="M15" s="18"/>
      <c r="N15" s="18"/>
      <c r="O15" s="18"/>
      <c r="P15" s="18"/>
      <c r="Q15" s="18"/>
      <c r="R15" s="18"/>
      <c r="S15" s="18"/>
      <c r="T15" s="18"/>
      <c r="U15" s="18"/>
    </row>
    <row r="16" spans="1:21">
      <c r="A16" s="18"/>
      <c r="B16" s="18"/>
      <c r="C16" s="95" t="s">
        <v>94</v>
      </c>
      <c r="D16" s="96"/>
      <c r="E16" s="97"/>
      <c r="F16" s="18"/>
      <c r="G16" s="18"/>
      <c r="H16" s="18"/>
      <c r="I16" s="18"/>
      <c r="J16" s="18"/>
      <c r="K16" s="18"/>
      <c r="L16" s="18"/>
      <c r="M16" s="18"/>
      <c r="N16" s="18"/>
      <c r="O16" s="18"/>
      <c r="P16" s="18"/>
      <c r="Q16" s="18"/>
      <c r="R16" s="18"/>
      <c r="S16" s="18"/>
      <c r="T16" s="18"/>
      <c r="U16" s="18"/>
    </row>
    <row r="17" spans="1:21">
      <c r="A17" s="18"/>
      <c r="B17" s="18"/>
      <c r="C17" s="24" t="s">
        <v>58</v>
      </c>
      <c r="D17" s="19">
        <v>192</v>
      </c>
      <c r="E17" s="21" t="s">
        <v>60</v>
      </c>
      <c r="F17" s="18"/>
      <c r="G17" s="18"/>
      <c r="H17" s="18"/>
      <c r="I17" s="18"/>
      <c r="J17" s="18"/>
      <c r="K17" s="18"/>
      <c r="L17" s="18"/>
      <c r="M17" s="18"/>
      <c r="N17" s="18"/>
      <c r="O17" s="18"/>
      <c r="P17" s="18"/>
      <c r="Q17" s="18"/>
      <c r="R17" s="18"/>
      <c r="S17" s="18"/>
      <c r="T17" s="18"/>
      <c r="U17" s="18"/>
    </row>
    <row r="18" spans="1:21">
      <c r="A18" s="18"/>
      <c r="B18" s="18"/>
      <c r="C18" s="25" t="s">
        <v>61</v>
      </c>
      <c r="D18" s="4">
        <v>14.8</v>
      </c>
      <c r="E18" s="22" t="s">
        <v>59</v>
      </c>
      <c r="F18" s="18"/>
      <c r="G18" s="18"/>
      <c r="H18" s="18"/>
      <c r="I18" s="18"/>
      <c r="J18" s="18"/>
      <c r="K18" s="18"/>
      <c r="L18" s="18"/>
      <c r="M18" s="18"/>
      <c r="N18" s="18"/>
      <c r="O18" s="18"/>
      <c r="P18" s="18"/>
      <c r="Q18" s="18"/>
      <c r="R18" s="18"/>
      <c r="S18" s="18"/>
      <c r="T18" s="18"/>
      <c r="U18" s="18"/>
    </row>
    <row r="19" spans="1:21">
      <c r="A19" s="18"/>
      <c r="B19" s="18"/>
      <c r="C19" s="26" t="s">
        <v>47</v>
      </c>
      <c r="D19" s="33">
        <f>1000*D18/D17</f>
        <v>77.083333333333329</v>
      </c>
      <c r="E19" s="23" t="s">
        <v>62</v>
      </c>
      <c r="F19" s="18"/>
      <c r="G19" s="18"/>
      <c r="H19" s="18"/>
      <c r="I19" s="18"/>
      <c r="J19" s="18"/>
      <c r="K19" s="18"/>
      <c r="L19" s="18"/>
      <c r="M19" s="18"/>
      <c r="N19" s="18"/>
      <c r="O19" s="18"/>
      <c r="P19" s="18"/>
      <c r="Q19" s="18"/>
      <c r="R19" s="18"/>
      <c r="S19" s="18"/>
      <c r="T19" s="18"/>
      <c r="U19" s="18"/>
    </row>
    <row r="20" spans="1:21">
      <c r="A20" s="18"/>
      <c r="B20" s="18"/>
      <c r="C20" s="18"/>
      <c r="D20" s="18"/>
      <c r="E20" s="18"/>
      <c r="F20" s="18"/>
      <c r="G20" s="18"/>
      <c r="H20" s="18"/>
      <c r="I20" s="18"/>
      <c r="J20" s="18"/>
      <c r="K20" s="18"/>
      <c r="L20" s="18"/>
      <c r="M20" s="18"/>
      <c r="N20" s="18"/>
      <c r="O20" s="18"/>
      <c r="P20" s="18"/>
      <c r="Q20" s="18"/>
      <c r="R20" s="18"/>
      <c r="S20" s="18"/>
      <c r="T20" s="18"/>
      <c r="U20" s="18"/>
    </row>
    <row r="21" spans="1:21">
      <c r="A21" s="18"/>
      <c r="B21" s="18"/>
      <c r="C21" s="18"/>
      <c r="D21" s="18"/>
      <c r="E21" s="18"/>
      <c r="F21" s="18"/>
      <c r="G21" s="18"/>
      <c r="H21" s="18"/>
      <c r="I21" s="18"/>
      <c r="J21" s="18"/>
      <c r="K21" s="18"/>
      <c r="L21" s="18"/>
      <c r="M21" s="18"/>
      <c r="N21" s="18"/>
      <c r="O21" s="18"/>
      <c r="P21" s="18"/>
      <c r="Q21" s="18"/>
      <c r="R21" s="18"/>
      <c r="S21" s="18"/>
      <c r="T21" s="18"/>
      <c r="U21" s="18"/>
    </row>
    <row r="22" spans="1:21">
      <c r="A22" s="18"/>
      <c r="B22" s="18"/>
      <c r="C22" s="18"/>
      <c r="D22" s="18"/>
      <c r="E22" s="18"/>
      <c r="F22" s="18"/>
      <c r="G22" s="18"/>
      <c r="H22" s="18"/>
      <c r="I22" s="18"/>
      <c r="J22" s="18"/>
      <c r="K22" s="18"/>
      <c r="L22" s="18"/>
      <c r="M22" s="18"/>
      <c r="N22" s="18"/>
      <c r="O22" s="18"/>
      <c r="P22" s="18"/>
      <c r="Q22" s="18"/>
      <c r="R22" s="18"/>
      <c r="S22" s="18"/>
      <c r="T22" s="18"/>
      <c r="U22" s="18"/>
    </row>
    <row r="23" spans="1:21">
      <c r="A23" s="18"/>
      <c r="B23" s="18"/>
      <c r="C23" s="18"/>
      <c r="D23" s="18"/>
      <c r="E23" s="18"/>
      <c r="F23" s="18"/>
      <c r="G23" s="18"/>
      <c r="H23" s="18"/>
      <c r="I23" s="18"/>
      <c r="J23" s="18"/>
      <c r="K23" s="18"/>
      <c r="L23" s="18"/>
      <c r="M23" s="18"/>
      <c r="N23" s="18"/>
      <c r="O23" s="18"/>
      <c r="P23" s="18"/>
      <c r="Q23" s="18"/>
      <c r="R23" s="18"/>
      <c r="S23" s="18"/>
      <c r="T23" s="18"/>
      <c r="U23" s="18"/>
    </row>
    <row r="24" spans="1:21">
      <c r="A24" s="18"/>
      <c r="B24" s="18"/>
      <c r="C24" s="18"/>
      <c r="D24" s="18"/>
      <c r="E24" s="18"/>
      <c r="F24" s="18"/>
      <c r="G24" s="18"/>
      <c r="H24" s="18"/>
      <c r="I24" s="18"/>
      <c r="J24" s="18"/>
      <c r="K24" s="18"/>
      <c r="L24" s="18"/>
      <c r="M24" s="18"/>
      <c r="N24" s="18"/>
      <c r="O24" s="18"/>
      <c r="P24" s="18"/>
      <c r="Q24" s="18"/>
      <c r="R24" s="18"/>
      <c r="S24" s="18"/>
      <c r="T24" s="18"/>
      <c r="U24" s="18"/>
    </row>
    <row r="25" spans="1:21">
      <c r="A25" s="18"/>
      <c r="B25" s="18"/>
      <c r="C25" s="18"/>
      <c r="D25" s="18"/>
      <c r="E25" s="18"/>
      <c r="F25" s="18"/>
      <c r="G25" s="18"/>
      <c r="H25" s="18"/>
      <c r="I25" s="18"/>
      <c r="J25" s="18"/>
      <c r="K25" s="18"/>
      <c r="L25" s="18"/>
      <c r="M25" s="18"/>
      <c r="N25" s="18"/>
      <c r="O25" s="18"/>
      <c r="P25" s="18"/>
      <c r="Q25" s="18"/>
      <c r="R25" s="18"/>
      <c r="S25" s="18"/>
      <c r="T25" s="18"/>
      <c r="U25" s="18"/>
    </row>
    <row r="26" spans="1:21">
      <c r="A26" s="18"/>
      <c r="B26" s="18"/>
      <c r="C26" s="18"/>
      <c r="D26" s="18"/>
      <c r="E26" s="18"/>
      <c r="F26" s="18"/>
      <c r="G26" s="18"/>
      <c r="H26" s="18"/>
      <c r="I26" s="18"/>
      <c r="J26" s="18"/>
      <c r="K26" s="18"/>
      <c r="L26" s="18"/>
      <c r="M26" s="18"/>
      <c r="N26" s="18"/>
      <c r="O26" s="18"/>
      <c r="P26" s="18"/>
      <c r="Q26" s="18"/>
      <c r="R26" s="18"/>
      <c r="S26" s="18"/>
      <c r="T26" s="18"/>
      <c r="U26" s="18"/>
    </row>
    <row r="27" spans="1:21">
      <c r="A27" s="18"/>
      <c r="B27" s="18"/>
      <c r="C27" s="18"/>
      <c r="D27" s="18"/>
      <c r="E27" s="18"/>
      <c r="F27" s="18"/>
      <c r="G27" s="18"/>
      <c r="H27" s="18"/>
      <c r="I27" s="18"/>
      <c r="J27" s="18"/>
      <c r="K27" s="18"/>
      <c r="L27" s="18"/>
      <c r="M27" s="18"/>
      <c r="N27" s="18"/>
      <c r="O27" s="18"/>
      <c r="P27" s="18"/>
      <c r="Q27" s="18"/>
      <c r="R27" s="18"/>
      <c r="S27" s="18"/>
      <c r="T27" s="18"/>
      <c r="U27" s="18"/>
    </row>
    <row r="28" spans="1:21">
      <c r="A28" s="18"/>
      <c r="B28" s="18"/>
      <c r="C28" s="18"/>
      <c r="D28" s="18"/>
      <c r="E28" s="18"/>
      <c r="F28" s="18"/>
      <c r="G28" s="18"/>
      <c r="H28" s="18"/>
      <c r="I28" s="18"/>
      <c r="J28" s="18"/>
      <c r="K28" s="18"/>
      <c r="L28" s="18"/>
      <c r="M28" s="18"/>
      <c r="N28" s="18"/>
      <c r="O28" s="18"/>
      <c r="P28" s="18"/>
      <c r="Q28" s="18"/>
      <c r="R28" s="18"/>
      <c r="S28" s="18"/>
      <c r="T28" s="18"/>
      <c r="U28" s="18"/>
    </row>
    <row r="29" spans="1:21">
      <c r="A29" s="18"/>
      <c r="B29" s="18"/>
      <c r="C29" s="18"/>
      <c r="D29" s="18"/>
      <c r="E29" s="18"/>
      <c r="F29" s="18"/>
      <c r="G29" s="18"/>
      <c r="H29" s="18"/>
      <c r="I29" s="18"/>
      <c r="J29" s="18"/>
      <c r="K29" s="18"/>
      <c r="L29" s="18"/>
      <c r="M29" s="18"/>
      <c r="N29" s="18"/>
      <c r="O29" s="18"/>
      <c r="P29" s="18"/>
      <c r="Q29" s="18"/>
      <c r="R29" s="18"/>
      <c r="S29" s="18"/>
      <c r="T29" s="18"/>
      <c r="U29" s="18"/>
    </row>
    <row r="30" spans="1:21">
      <c r="A30" s="18"/>
      <c r="B30" s="18"/>
      <c r="C30" s="18"/>
      <c r="D30" s="18"/>
      <c r="E30" s="18"/>
      <c r="F30" s="18"/>
      <c r="G30" s="18"/>
      <c r="H30" s="18"/>
      <c r="I30" s="18"/>
      <c r="J30" s="18"/>
      <c r="K30" s="18"/>
      <c r="L30" s="18"/>
      <c r="M30" s="18"/>
      <c r="N30" s="18"/>
      <c r="O30" s="18"/>
      <c r="P30" s="18"/>
      <c r="Q30" s="18"/>
      <c r="R30" s="18"/>
      <c r="S30" s="18"/>
      <c r="T30" s="18"/>
      <c r="U30" s="18"/>
    </row>
    <row r="31" spans="1:21">
      <c r="A31" s="18"/>
      <c r="B31" s="18"/>
      <c r="C31" s="18"/>
      <c r="D31" s="18"/>
      <c r="E31" s="18"/>
      <c r="F31" s="18"/>
      <c r="G31" s="18"/>
      <c r="H31" s="18"/>
      <c r="I31" s="18"/>
      <c r="J31" s="18"/>
      <c r="K31" s="18"/>
      <c r="L31" s="18"/>
      <c r="M31" s="18"/>
      <c r="N31" s="18"/>
      <c r="O31" s="18"/>
      <c r="P31" s="18"/>
      <c r="Q31" s="18"/>
      <c r="R31" s="18"/>
      <c r="S31" s="18"/>
      <c r="T31" s="18"/>
      <c r="U31" s="18"/>
    </row>
    <row r="32" spans="1:21">
      <c r="A32" s="18"/>
      <c r="B32" s="18"/>
      <c r="C32" s="18"/>
      <c r="D32" s="18"/>
      <c r="E32" s="18"/>
      <c r="F32" s="18"/>
      <c r="G32" s="18"/>
      <c r="H32" s="18"/>
      <c r="I32" s="18"/>
      <c r="J32" s="18"/>
      <c r="K32" s="18"/>
      <c r="L32" s="18"/>
      <c r="M32" s="18"/>
      <c r="N32" s="18"/>
      <c r="O32" s="18"/>
      <c r="P32" s="18"/>
      <c r="Q32" s="18"/>
      <c r="R32" s="18"/>
      <c r="S32" s="18"/>
      <c r="T32" s="18"/>
      <c r="U32" s="18"/>
    </row>
  </sheetData>
  <sheetProtection sheet="1" objects="1" scenarios="1" selectLockedCells="1"/>
  <mergeCells count="13">
    <mergeCell ref="C16:E16"/>
    <mergeCell ref="B3:F3"/>
    <mergeCell ref="B4:F4"/>
    <mergeCell ref="B5:F5"/>
    <mergeCell ref="B6:F6"/>
    <mergeCell ref="B8:F8"/>
    <mergeCell ref="B7:F7"/>
    <mergeCell ref="B9:F9"/>
    <mergeCell ref="B10:F10"/>
    <mergeCell ref="B11:F11"/>
    <mergeCell ref="B12:F12"/>
    <mergeCell ref="B14:F14"/>
    <mergeCell ref="B13:F13"/>
  </mergeCells>
  <phoneticPr fontId="0" type="noConversion"/>
  <conditionalFormatting sqref="D19">
    <cfRule type="expression" dxfId="5" priority="1">
      <formula>$G20&lt;D$2</formula>
    </cfRule>
  </conditionalFormatting>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sheetPr>
    <pageSetUpPr autoPageBreaks="0"/>
  </sheetPr>
  <dimension ref="A1:AH68"/>
  <sheetViews>
    <sheetView showRowColHeaders="0" zoomScaleNormal="100" workbookViewId="0">
      <selection activeCell="E4" sqref="E4"/>
    </sheetView>
  </sheetViews>
  <sheetFormatPr defaultRowHeight="12.75"/>
  <cols>
    <col min="1" max="1" width="2.140625" customWidth="1"/>
    <col min="2" max="2" width="10.85546875" customWidth="1"/>
    <col min="3" max="3" width="10.28515625" customWidth="1"/>
    <col min="4" max="4" width="6.28515625" customWidth="1"/>
    <col min="5" max="5" width="7.85546875" customWidth="1"/>
    <col min="6" max="6" width="8.7109375" customWidth="1"/>
    <col min="7" max="7" width="2.140625" customWidth="1"/>
    <col min="8" max="8" width="10.42578125" customWidth="1"/>
    <col min="9" max="9" width="11" customWidth="1"/>
    <col min="10" max="10" width="3.140625" customWidth="1"/>
    <col min="11" max="11" width="4" customWidth="1"/>
    <col min="12" max="12" width="7.85546875" customWidth="1"/>
    <col min="13" max="13" width="11.42578125" customWidth="1"/>
    <col min="14" max="14" width="2.140625" customWidth="1"/>
    <col min="15" max="15" width="13.7109375" customWidth="1"/>
    <col min="16" max="16" width="8.85546875" customWidth="1"/>
    <col min="17" max="17" width="7.28515625" customWidth="1"/>
    <col min="18" max="18" width="8.85546875" customWidth="1"/>
    <col min="21" max="25" width="8.85546875" customWidth="1"/>
    <col min="26" max="26" width="8.28515625" customWidth="1"/>
    <col min="27" max="28" width="8.85546875" customWidth="1"/>
  </cols>
  <sheetData>
    <row r="1" spans="1:34" ht="6" customHeight="1">
      <c r="A1" s="17"/>
      <c r="B1" s="17"/>
      <c r="C1" s="17"/>
      <c r="D1" s="17"/>
      <c r="E1" s="17"/>
      <c r="F1" s="17"/>
      <c r="G1" s="17"/>
      <c r="H1" s="17"/>
      <c r="I1" s="17"/>
      <c r="J1" s="17"/>
      <c r="K1" s="17"/>
      <c r="L1" s="17"/>
      <c r="M1" s="17"/>
      <c r="N1" s="17"/>
      <c r="O1" s="17"/>
      <c r="P1" s="17"/>
      <c r="Q1" s="17"/>
      <c r="R1" s="17"/>
      <c r="S1" s="17"/>
      <c r="T1" s="17"/>
      <c r="U1" s="42"/>
      <c r="V1" s="42"/>
      <c r="W1" s="42"/>
      <c r="X1" s="42"/>
      <c r="Y1" s="42"/>
      <c r="Z1" s="42"/>
      <c r="AA1" s="42"/>
      <c r="AB1" s="42"/>
      <c r="AC1" s="42"/>
      <c r="AD1" s="60"/>
      <c r="AE1" s="60"/>
      <c r="AF1" s="60"/>
      <c r="AG1" s="60"/>
      <c r="AH1" s="1"/>
    </row>
    <row r="2" spans="1:34" ht="21.75" customHeight="1">
      <c r="A2" s="17"/>
      <c r="B2" s="146" t="s">
        <v>88</v>
      </c>
      <c r="C2" s="147"/>
      <c r="D2" s="148"/>
      <c r="E2" s="147"/>
      <c r="F2" s="147"/>
      <c r="G2" s="148"/>
      <c r="H2" s="148"/>
      <c r="I2" s="148"/>
      <c r="J2" s="148"/>
      <c r="K2" s="148"/>
      <c r="L2" s="148"/>
      <c r="M2" s="148"/>
      <c r="N2" s="147"/>
      <c r="O2" s="147"/>
      <c r="P2" s="147"/>
      <c r="Q2" s="147"/>
      <c r="R2" s="147"/>
      <c r="S2" s="147"/>
      <c r="T2" s="149"/>
      <c r="U2" s="42"/>
      <c r="V2" s="42"/>
      <c r="W2" s="42"/>
      <c r="X2" s="42"/>
      <c r="Y2" s="46"/>
      <c r="Z2" s="46"/>
      <c r="AA2" s="46"/>
      <c r="AB2" s="46"/>
      <c r="AC2" s="42"/>
      <c r="AD2" s="42"/>
      <c r="AE2" s="42"/>
      <c r="AF2" s="42"/>
      <c r="AG2" s="42"/>
      <c r="AH2" s="1"/>
    </row>
    <row r="3" spans="1:34" s="1" customFormat="1" ht="9" customHeight="1">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row>
    <row r="4" spans="1:34" s="1" customFormat="1" ht="12.75" customHeight="1">
      <c r="A4" s="42"/>
      <c r="B4" s="156" t="s">
        <v>10</v>
      </c>
      <c r="C4" s="165" t="s">
        <v>20</v>
      </c>
      <c r="D4" s="166"/>
      <c r="E4" s="34">
        <v>4500</v>
      </c>
      <c r="F4" s="43" t="s">
        <v>83</v>
      </c>
      <c r="G4" s="42"/>
      <c r="H4" s="150" t="s">
        <v>91</v>
      </c>
      <c r="I4" s="165" t="s">
        <v>45</v>
      </c>
      <c r="J4" s="170"/>
      <c r="K4" s="166"/>
      <c r="L4" s="37">
        <v>14.8</v>
      </c>
      <c r="M4" s="44" t="s">
        <v>25</v>
      </c>
      <c r="N4" s="42"/>
      <c r="O4" s="45"/>
      <c r="P4" s="45"/>
      <c r="Q4" s="42"/>
      <c r="R4" s="42"/>
      <c r="S4" s="46"/>
      <c r="T4" s="46"/>
      <c r="U4" s="42"/>
      <c r="V4" s="42"/>
      <c r="W4" s="42"/>
      <c r="X4" s="42"/>
      <c r="Y4" s="46"/>
      <c r="Z4" s="46"/>
      <c r="AA4" s="46"/>
      <c r="AB4" s="42"/>
      <c r="AC4" s="42"/>
      <c r="AD4" s="42"/>
      <c r="AE4" s="42"/>
      <c r="AF4" s="42"/>
      <c r="AG4" s="42"/>
    </row>
    <row r="5" spans="1:34" s="1" customFormat="1" ht="12.75" customHeight="1">
      <c r="A5" s="42"/>
      <c r="B5" s="157"/>
      <c r="C5" s="161" t="s">
        <v>5</v>
      </c>
      <c r="D5" s="162"/>
      <c r="E5" s="34">
        <v>0</v>
      </c>
      <c r="F5" s="90" t="s">
        <v>80</v>
      </c>
      <c r="G5" s="42"/>
      <c r="H5" s="151"/>
      <c r="I5" s="161" t="s">
        <v>46</v>
      </c>
      <c r="J5" s="168"/>
      <c r="K5" s="162"/>
      <c r="L5" s="38">
        <v>1000</v>
      </c>
      <c r="M5" s="47" t="s">
        <v>49</v>
      </c>
      <c r="N5" s="42"/>
      <c r="O5" s="45"/>
      <c r="P5" s="45"/>
      <c r="Q5" s="42"/>
      <c r="R5" s="42"/>
      <c r="S5" s="46"/>
      <c r="T5" s="46"/>
      <c r="U5" s="42"/>
      <c r="V5" s="42"/>
      <c r="W5" s="42"/>
      <c r="X5" s="42"/>
      <c r="Y5" s="46"/>
      <c r="Z5" s="46"/>
      <c r="AA5" s="46"/>
      <c r="AB5" s="42"/>
      <c r="AC5" s="42"/>
      <c r="AD5" s="42"/>
      <c r="AE5" s="42"/>
      <c r="AF5" s="42"/>
      <c r="AG5" s="42"/>
    </row>
    <row r="6" spans="1:34" s="1" customFormat="1" ht="12.75" customHeight="1">
      <c r="A6" s="42"/>
      <c r="B6" s="157"/>
      <c r="C6" s="161" t="s">
        <v>4</v>
      </c>
      <c r="D6" s="162"/>
      <c r="E6" s="36">
        <v>0</v>
      </c>
      <c r="F6" s="91" t="s">
        <v>3</v>
      </c>
      <c r="G6" s="42"/>
      <c r="H6" s="151"/>
      <c r="I6" s="161" t="s">
        <v>47</v>
      </c>
      <c r="J6" s="168"/>
      <c r="K6" s="162"/>
      <c r="L6" s="38">
        <v>140</v>
      </c>
      <c r="M6" s="47" t="s">
        <v>89</v>
      </c>
      <c r="N6" s="42"/>
      <c r="O6" s="45"/>
      <c r="P6" s="45"/>
      <c r="Q6" s="42"/>
      <c r="R6" s="42"/>
      <c r="S6" s="46"/>
      <c r="T6" s="46"/>
      <c r="U6" s="42"/>
      <c r="V6" s="42"/>
      <c r="W6" s="42"/>
      <c r="X6" s="42"/>
      <c r="Y6" s="46"/>
      <c r="Z6" s="46"/>
      <c r="AA6" s="46"/>
      <c r="AB6" s="42"/>
      <c r="AC6" s="42"/>
      <c r="AD6" s="42"/>
      <c r="AE6" s="42"/>
      <c r="AF6" s="42"/>
      <c r="AG6" s="42"/>
    </row>
    <row r="7" spans="1:34" s="1" customFormat="1" ht="12.75" customHeight="1">
      <c r="A7" s="42"/>
      <c r="B7" s="157"/>
      <c r="C7" s="161" t="s">
        <v>9</v>
      </c>
      <c r="D7" s="162"/>
      <c r="E7" s="48">
        <f>0.5*E8*(E5^2)</f>
        <v>0</v>
      </c>
      <c r="F7" s="49" t="s">
        <v>82</v>
      </c>
      <c r="G7" s="42"/>
      <c r="H7" s="50"/>
      <c r="I7" s="171" t="s">
        <v>50</v>
      </c>
      <c r="J7" s="168"/>
      <c r="K7" s="162"/>
      <c r="L7" s="38">
        <v>10</v>
      </c>
      <c r="M7" s="47" t="str">
        <f>IF('Data Table'!$A$2=1,"- n/a -","magnets")</f>
        <v>magnets</v>
      </c>
      <c r="N7" s="42"/>
      <c r="O7" s="45"/>
      <c r="P7" s="45"/>
      <c r="Q7" s="42"/>
      <c r="R7" s="42"/>
      <c r="S7" s="46"/>
      <c r="T7" s="46"/>
      <c r="U7" s="42"/>
      <c r="V7" s="42"/>
      <c r="W7" s="42"/>
      <c r="X7" s="42"/>
      <c r="Y7" s="46"/>
      <c r="Z7" s="46"/>
      <c r="AA7" s="46"/>
      <c r="AB7" s="42"/>
      <c r="AC7" s="42"/>
      <c r="AD7" s="42"/>
      <c r="AE7" s="42"/>
      <c r="AF7" s="42"/>
      <c r="AG7" s="42"/>
    </row>
    <row r="8" spans="1:34" s="1" customFormat="1" ht="12.75" customHeight="1">
      <c r="A8" s="42"/>
      <c r="B8" s="158"/>
      <c r="C8" s="163" t="s">
        <v>1</v>
      </c>
      <c r="D8" s="164"/>
      <c r="E8" s="51">
        <f>3.14159*(E5^2)*(E6/1000)*E4</f>
        <v>0</v>
      </c>
      <c r="F8" s="52" t="s">
        <v>81</v>
      </c>
      <c r="G8" s="42"/>
      <c r="H8" s="53"/>
      <c r="I8" s="163" t="s">
        <v>8</v>
      </c>
      <c r="J8" s="169"/>
      <c r="K8" s="164"/>
      <c r="L8" s="39">
        <v>2</v>
      </c>
      <c r="M8" s="52" t="s">
        <v>2</v>
      </c>
      <c r="N8" s="42"/>
      <c r="O8" s="45"/>
      <c r="P8" s="45"/>
      <c r="Q8" s="45"/>
      <c r="R8" s="45"/>
      <c r="S8" s="45"/>
      <c r="T8" s="46"/>
      <c r="U8" s="42"/>
      <c r="V8" s="42"/>
      <c r="W8" s="42"/>
      <c r="X8" s="42"/>
      <c r="Y8" s="46"/>
      <c r="Z8" s="46"/>
      <c r="AA8" s="46"/>
      <c r="AB8" s="42"/>
      <c r="AC8" s="42"/>
      <c r="AD8" s="42"/>
      <c r="AE8" s="42"/>
      <c r="AF8" s="42"/>
      <c r="AG8" s="42"/>
    </row>
    <row r="9" spans="1:34" s="1" customFormat="1" ht="12.75" customHeight="1">
      <c r="A9" s="42"/>
      <c r="B9" s="42"/>
      <c r="C9" s="42"/>
      <c r="D9" s="42"/>
      <c r="E9" s="42"/>
      <c r="F9" s="42"/>
      <c r="G9" s="42"/>
      <c r="H9" s="42"/>
      <c r="I9" s="42"/>
      <c r="J9" s="42"/>
      <c r="K9" s="42"/>
      <c r="L9" s="42"/>
      <c r="M9" s="42"/>
      <c r="N9" s="42"/>
      <c r="O9" s="45"/>
      <c r="P9" s="45"/>
      <c r="Q9" s="45"/>
      <c r="R9" s="45"/>
      <c r="S9" s="45"/>
      <c r="T9" s="46"/>
      <c r="U9" s="42"/>
      <c r="V9" s="42"/>
      <c r="W9" s="42"/>
      <c r="X9" s="42"/>
      <c r="Y9" s="46"/>
      <c r="Z9" s="46"/>
      <c r="AA9" s="46"/>
      <c r="AB9" s="42"/>
      <c r="AC9" s="42"/>
      <c r="AD9" s="42"/>
      <c r="AE9" s="42"/>
      <c r="AF9" s="42"/>
      <c r="AG9" s="42"/>
    </row>
    <row r="10" spans="1:34" s="1" customFormat="1" ht="12.75" customHeight="1">
      <c r="A10" s="42"/>
      <c r="B10" s="153" t="s">
        <v>21</v>
      </c>
      <c r="C10" s="165" t="s">
        <v>20</v>
      </c>
      <c r="D10" s="166"/>
      <c r="E10" s="2">
        <v>4500</v>
      </c>
      <c r="F10" s="43" t="s">
        <v>83</v>
      </c>
      <c r="G10" s="54"/>
      <c r="H10" s="55" t="s">
        <v>74</v>
      </c>
      <c r="I10" s="165" t="s">
        <v>72</v>
      </c>
      <c r="J10" s="170"/>
      <c r="K10" s="166"/>
      <c r="L10" s="38">
        <v>1024</v>
      </c>
      <c r="M10" s="56" t="str">
        <f>IF('Data Table'!$A$2=1,"- n/a -","μ-sec")</f>
        <v>μ-sec</v>
      </c>
      <c r="N10" s="42"/>
      <c r="O10" s="45"/>
      <c r="P10" s="45"/>
      <c r="Q10" s="45"/>
      <c r="R10" s="45"/>
      <c r="S10" s="45"/>
      <c r="T10" s="46"/>
      <c r="U10" s="42"/>
      <c r="V10" s="42"/>
      <c r="W10" s="42"/>
      <c r="X10" s="42"/>
      <c r="Y10" s="46"/>
      <c r="Z10" s="46"/>
      <c r="AA10" s="46"/>
      <c r="AB10" s="42"/>
      <c r="AC10" s="42"/>
      <c r="AD10" s="42"/>
      <c r="AE10" s="42"/>
      <c r="AF10" s="42"/>
      <c r="AG10" s="42"/>
    </row>
    <row r="11" spans="1:34" s="1" customFormat="1" ht="12.75" customHeight="1">
      <c r="A11" s="42"/>
      <c r="B11" s="154"/>
      <c r="C11" s="161" t="s">
        <v>33</v>
      </c>
      <c r="D11" s="162"/>
      <c r="E11" s="3">
        <v>0</v>
      </c>
      <c r="F11" s="90" t="s">
        <v>80</v>
      </c>
      <c r="G11" s="42"/>
      <c r="H11" s="57" t="s">
        <v>75</v>
      </c>
      <c r="I11" s="163" t="s">
        <v>73</v>
      </c>
      <c r="J11" s="169"/>
      <c r="K11" s="164"/>
      <c r="L11" s="41">
        <v>0.25</v>
      </c>
      <c r="M11" s="58" t="str">
        <f>IF('Data Table'!$A$2=1,"- n/a -","pulse")</f>
        <v>pulse</v>
      </c>
      <c r="N11" s="42"/>
      <c r="O11" s="45"/>
      <c r="P11" s="45"/>
      <c r="Q11" s="45"/>
      <c r="R11" s="45"/>
      <c r="S11" s="45"/>
      <c r="T11" s="46"/>
      <c r="U11" s="42"/>
      <c r="V11" s="42"/>
      <c r="W11" s="42"/>
      <c r="X11" s="42"/>
      <c r="Y11" s="46"/>
      <c r="Z11" s="46"/>
      <c r="AA11" s="46"/>
      <c r="AB11" s="42"/>
      <c r="AC11" s="42"/>
      <c r="AD11" s="42"/>
      <c r="AE11" s="42"/>
      <c r="AF11" s="42"/>
      <c r="AG11" s="42"/>
    </row>
    <row r="12" spans="1:34" s="1" customFormat="1" ht="12.75" customHeight="1">
      <c r="A12" s="42"/>
      <c r="B12" s="154"/>
      <c r="C12" s="161" t="s">
        <v>23</v>
      </c>
      <c r="D12" s="162"/>
      <c r="E12" s="3">
        <v>0</v>
      </c>
      <c r="F12" s="90" t="s">
        <v>80</v>
      </c>
      <c r="G12" s="42"/>
      <c r="H12" s="45"/>
      <c r="I12" s="45"/>
      <c r="J12" s="45"/>
      <c r="K12" s="45"/>
      <c r="L12" s="45"/>
      <c r="M12" s="45"/>
      <c r="N12" s="42"/>
      <c r="O12" s="59"/>
      <c r="P12" s="59"/>
      <c r="Q12" s="59"/>
      <c r="R12" s="59"/>
      <c r="S12" s="59"/>
      <c r="T12" s="59"/>
      <c r="U12" s="42"/>
      <c r="V12" s="42"/>
      <c r="W12" s="42"/>
      <c r="X12" s="42"/>
      <c r="Y12" s="46"/>
      <c r="Z12" s="46"/>
      <c r="AA12" s="46"/>
      <c r="AB12" s="42"/>
      <c r="AC12" s="42"/>
      <c r="AD12" s="42"/>
      <c r="AE12" s="42"/>
      <c r="AF12" s="42"/>
      <c r="AG12" s="42"/>
    </row>
    <row r="13" spans="1:34" s="1" customFormat="1" ht="12.75" customHeight="1">
      <c r="A13" s="42"/>
      <c r="B13" s="154"/>
      <c r="C13" s="161" t="s">
        <v>32</v>
      </c>
      <c r="D13" s="162"/>
      <c r="E13" s="4">
        <v>0</v>
      </c>
      <c r="F13" s="91" t="s">
        <v>3</v>
      </c>
      <c r="G13" s="42"/>
      <c r="H13" s="150" t="s">
        <v>64</v>
      </c>
      <c r="I13" s="165" t="s">
        <v>65</v>
      </c>
      <c r="J13" s="170"/>
      <c r="K13" s="166"/>
      <c r="L13" s="32">
        <v>0.95</v>
      </c>
      <c r="M13" s="68" t="s">
        <v>79</v>
      </c>
      <c r="N13" s="60"/>
      <c r="O13" s="60"/>
      <c r="P13" s="61"/>
      <c r="Q13" s="60"/>
      <c r="R13" s="60"/>
      <c r="S13" s="42"/>
      <c r="T13" s="42"/>
      <c r="U13" s="42"/>
      <c r="V13" s="42"/>
      <c r="W13" s="42"/>
      <c r="X13" s="42"/>
      <c r="Y13" s="46"/>
      <c r="Z13" s="46"/>
      <c r="AA13" s="42"/>
      <c r="AB13" s="42"/>
      <c r="AC13" s="42"/>
      <c r="AD13" s="42"/>
      <c r="AE13" s="42"/>
      <c r="AF13" s="42"/>
      <c r="AG13" s="42"/>
    </row>
    <row r="14" spans="1:34" s="1" customFormat="1" ht="12.75" customHeight="1">
      <c r="A14" s="42"/>
      <c r="B14" s="154"/>
      <c r="C14" s="161" t="s">
        <v>9</v>
      </c>
      <c r="D14" s="162"/>
      <c r="E14" s="62">
        <f>0.5*E15*(E12^2+(E12-(E13/1000))^2)</f>
        <v>0</v>
      </c>
      <c r="F14" s="49" t="s">
        <v>82</v>
      </c>
      <c r="G14" s="42"/>
      <c r="H14" s="151"/>
      <c r="I14" s="161" t="s">
        <v>70</v>
      </c>
      <c r="J14" s="168"/>
      <c r="K14" s="162"/>
      <c r="L14" s="69">
        <f>VLOOKUP($L$13,'Data Table'!$F$6:$I$24,3,FALSE)</f>
        <v>7030</v>
      </c>
      <c r="M14" s="63" t="s">
        <v>0</v>
      </c>
      <c r="N14" s="60"/>
      <c r="O14" s="60"/>
      <c r="P14" s="61"/>
      <c r="Q14" s="60"/>
      <c r="R14" s="60"/>
      <c r="S14" s="64"/>
      <c r="T14" s="42"/>
      <c r="U14" s="42"/>
      <c r="V14" s="42"/>
      <c r="W14" s="42"/>
      <c r="X14" s="42"/>
      <c r="Y14" s="46"/>
      <c r="Z14" s="46"/>
      <c r="AA14" s="42"/>
      <c r="AB14" s="42"/>
      <c r="AC14" s="42"/>
      <c r="AD14" s="42"/>
      <c r="AE14" s="42"/>
      <c r="AF14" s="42"/>
      <c r="AG14" s="42"/>
    </row>
    <row r="15" spans="1:34" s="1" customFormat="1" ht="12.75" customHeight="1">
      <c r="A15" s="42"/>
      <c r="B15" s="155"/>
      <c r="C15" s="163" t="s">
        <v>1</v>
      </c>
      <c r="D15" s="164"/>
      <c r="E15" s="65">
        <f>3.14159*E10*E11*(E12^2-((E12-(E13/1000))^2))</f>
        <v>0</v>
      </c>
      <c r="F15" s="52" t="s">
        <v>81</v>
      </c>
      <c r="G15" s="42"/>
      <c r="H15" s="151"/>
      <c r="I15" s="161" t="s">
        <v>68</v>
      </c>
      <c r="J15" s="168"/>
      <c r="K15" s="162"/>
      <c r="L15" s="70">
        <f>ROUND(MAX($E$12,$E$5,$E$25,($E$18/2))*(2*3.14159)*(L14/60),0)</f>
        <v>88</v>
      </c>
      <c r="M15" s="71" t="s">
        <v>66</v>
      </c>
      <c r="N15" s="60"/>
      <c r="O15" s="60"/>
      <c r="P15" s="60"/>
      <c r="Q15" s="60"/>
      <c r="R15" s="60"/>
      <c r="S15" s="66"/>
      <c r="T15" s="42"/>
      <c r="U15" s="42"/>
      <c r="V15" s="42"/>
      <c r="W15" s="42"/>
      <c r="X15" s="42"/>
      <c r="Y15" s="46"/>
      <c r="Z15" s="46"/>
      <c r="AA15" s="42"/>
      <c r="AB15" s="42"/>
      <c r="AC15" s="42"/>
      <c r="AD15" s="42"/>
      <c r="AE15" s="42"/>
      <c r="AF15" s="42"/>
      <c r="AG15" s="42"/>
    </row>
    <row r="16" spans="1:34" s="1" customFormat="1" ht="12.75" customHeight="1">
      <c r="A16" s="42"/>
      <c r="B16" s="42"/>
      <c r="C16" s="42"/>
      <c r="D16" s="42"/>
      <c r="E16" s="42"/>
      <c r="F16" s="42"/>
      <c r="G16" s="67"/>
      <c r="H16" s="151"/>
      <c r="I16" s="161" t="s">
        <v>67</v>
      </c>
      <c r="J16" s="168"/>
      <c r="K16" s="162"/>
      <c r="L16" s="69">
        <f>VLOOKUP($L$13,'Data Table'!$F$6:$I$24,4,FALSE)</f>
        <v>1239.5512130602747</v>
      </c>
      <c r="M16" s="47" t="s">
        <v>85</v>
      </c>
      <c r="N16" s="67"/>
      <c r="O16" s="42"/>
      <c r="P16" s="42"/>
      <c r="Q16" s="60"/>
      <c r="R16" s="60"/>
      <c r="S16" s="42"/>
      <c r="T16" s="42"/>
      <c r="U16" s="42"/>
      <c r="V16" s="42"/>
      <c r="W16" s="42"/>
      <c r="X16" s="42"/>
      <c r="Y16" s="46"/>
      <c r="Z16" s="46"/>
      <c r="AA16" s="42"/>
      <c r="AB16" s="42"/>
      <c r="AC16" s="42"/>
      <c r="AD16" s="42"/>
      <c r="AE16" s="42"/>
      <c r="AF16" s="42"/>
      <c r="AG16" s="42"/>
    </row>
    <row r="17" spans="1:33" s="1" customFormat="1" ht="12.75" customHeight="1">
      <c r="A17" s="42"/>
      <c r="B17" s="156" t="s">
        <v>22</v>
      </c>
      <c r="C17" s="165" t="s">
        <v>20</v>
      </c>
      <c r="D17" s="166"/>
      <c r="E17" s="34">
        <v>7800</v>
      </c>
      <c r="F17" s="43" t="s">
        <v>84</v>
      </c>
      <c r="G17" s="42"/>
      <c r="H17" s="152"/>
      <c r="I17" s="163" t="s">
        <v>69</v>
      </c>
      <c r="J17" s="169"/>
      <c r="K17" s="164"/>
      <c r="L17" s="73">
        <f>VLOOKUP($L$13,'Data Table'!$F$6:$I$24,2,FALSE)</f>
        <v>7.4949669836025823</v>
      </c>
      <c r="M17" s="74" t="s">
        <v>86</v>
      </c>
      <c r="N17" s="60"/>
      <c r="O17" s="60"/>
      <c r="P17" s="60"/>
      <c r="Q17" s="60"/>
      <c r="R17" s="60"/>
      <c r="S17" s="60"/>
      <c r="T17" s="42"/>
      <c r="U17" s="42"/>
      <c r="V17" s="42"/>
      <c r="W17" s="42"/>
      <c r="X17" s="42"/>
      <c r="Y17" s="42"/>
      <c r="Z17" s="42"/>
      <c r="AA17" s="42"/>
      <c r="AB17" s="42"/>
      <c r="AC17" s="42"/>
      <c r="AD17" s="42"/>
      <c r="AE17" s="42"/>
      <c r="AF17" s="42"/>
      <c r="AG17" s="42"/>
    </row>
    <row r="18" spans="1:33" s="1" customFormat="1" ht="12.75" customHeight="1">
      <c r="A18" s="42"/>
      <c r="B18" s="157"/>
      <c r="C18" s="161" t="s">
        <v>6</v>
      </c>
      <c r="D18" s="162"/>
      <c r="E18" s="35">
        <v>0.24</v>
      </c>
      <c r="F18" s="90" t="s">
        <v>80</v>
      </c>
      <c r="G18" s="42"/>
      <c r="H18" s="42"/>
      <c r="I18" s="42"/>
      <c r="J18" s="42"/>
      <c r="K18" s="42"/>
      <c r="L18" s="42"/>
      <c r="M18" s="42"/>
      <c r="N18" s="60"/>
      <c r="O18" s="60"/>
      <c r="P18" s="60"/>
      <c r="Q18" s="60"/>
      <c r="R18" s="60"/>
      <c r="S18" s="60"/>
      <c r="T18" s="42"/>
      <c r="U18" s="42"/>
      <c r="V18" s="42"/>
      <c r="W18" s="42"/>
      <c r="X18" s="42"/>
      <c r="Y18" s="42"/>
      <c r="Z18" s="42"/>
      <c r="AA18" s="42"/>
      <c r="AB18" s="42"/>
      <c r="AC18" s="42"/>
      <c r="AD18" s="42"/>
      <c r="AE18" s="42"/>
      <c r="AF18" s="42"/>
      <c r="AG18" s="42"/>
    </row>
    <row r="19" spans="1:33" s="1" customFormat="1" ht="12.75" customHeight="1">
      <c r="A19" s="42"/>
      <c r="B19" s="157"/>
      <c r="C19" s="161" t="s">
        <v>7</v>
      </c>
      <c r="D19" s="162"/>
      <c r="E19" s="35">
        <v>4.1000000000000002E-2</v>
      </c>
      <c r="F19" s="90" t="s">
        <v>80</v>
      </c>
      <c r="G19" s="42"/>
      <c r="H19" s="150" t="s">
        <v>100</v>
      </c>
      <c r="I19" s="173" t="s">
        <v>99</v>
      </c>
      <c r="J19" s="170"/>
      <c r="K19" s="166"/>
      <c r="L19" s="34">
        <v>8</v>
      </c>
      <c r="M19" s="56" t="s">
        <v>89</v>
      </c>
      <c r="N19" s="42"/>
      <c r="O19" s="60"/>
      <c r="P19" s="60"/>
      <c r="Q19" s="60"/>
      <c r="R19" s="60"/>
      <c r="S19" s="60"/>
      <c r="T19" s="60"/>
      <c r="U19" s="42"/>
      <c r="V19" s="42"/>
      <c r="W19" s="42"/>
      <c r="X19" s="42"/>
      <c r="Y19" s="42"/>
      <c r="Z19" s="42"/>
      <c r="AA19" s="42"/>
      <c r="AB19" s="42"/>
      <c r="AC19" s="42"/>
      <c r="AD19" s="42"/>
      <c r="AE19" s="42"/>
      <c r="AF19" s="42"/>
      <c r="AG19" s="42"/>
    </row>
    <row r="20" spans="1:33" s="1" customFormat="1" ht="12.75" customHeight="1">
      <c r="A20" s="42"/>
      <c r="B20" s="157"/>
      <c r="C20" s="161" t="s">
        <v>4</v>
      </c>
      <c r="D20" s="162"/>
      <c r="E20" s="36">
        <v>12</v>
      </c>
      <c r="F20" s="91" t="s">
        <v>3</v>
      </c>
      <c r="G20" s="42"/>
      <c r="H20" s="151"/>
      <c r="I20" s="161" t="s">
        <v>30</v>
      </c>
      <c r="J20" s="168"/>
      <c r="K20" s="162"/>
      <c r="L20" s="34">
        <v>3</v>
      </c>
      <c r="M20" s="63" t="s">
        <v>26</v>
      </c>
      <c r="N20" s="42"/>
      <c r="O20" s="42"/>
      <c r="P20" s="60"/>
      <c r="Q20" s="60"/>
      <c r="R20" s="60"/>
      <c r="S20" s="60"/>
      <c r="T20" s="60"/>
      <c r="U20" s="42"/>
      <c r="V20" s="42"/>
      <c r="W20" s="42"/>
      <c r="X20" s="42"/>
      <c r="Y20" s="42"/>
      <c r="Z20" s="42"/>
      <c r="AA20" s="42"/>
      <c r="AB20" s="46"/>
      <c r="AC20" s="42"/>
      <c r="AD20" s="42"/>
      <c r="AE20" s="42"/>
      <c r="AF20" s="42"/>
      <c r="AG20" s="42"/>
    </row>
    <row r="21" spans="1:33" s="1" customFormat="1" ht="12.75" customHeight="1">
      <c r="A21" s="42"/>
      <c r="B21" s="157"/>
      <c r="C21" s="161" t="s">
        <v>9</v>
      </c>
      <c r="D21" s="162"/>
      <c r="E21" s="72">
        <f>(E22/12)*(E18^2+E19^2)</f>
        <v>4.5499353120000002E-3</v>
      </c>
      <c r="F21" s="49" t="s">
        <v>82</v>
      </c>
      <c r="G21" s="42"/>
      <c r="H21" s="151"/>
      <c r="I21" s="161" t="s">
        <v>28</v>
      </c>
      <c r="J21" s="168"/>
      <c r="K21" s="162"/>
      <c r="L21" s="34">
        <v>6</v>
      </c>
      <c r="M21" s="63" t="s">
        <v>29</v>
      </c>
      <c r="N21" s="42"/>
      <c r="O21" s="42"/>
      <c r="P21" s="60"/>
      <c r="Q21" s="60"/>
      <c r="R21" s="60"/>
      <c r="S21" s="60"/>
      <c r="T21" s="60"/>
      <c r="U21" s="42"/>
      <c r="V21" s="42"/>
      <c r="W21" s="42"/>
      <c r="X21" s="42"/>
      <c r="Y21" s="42"/>
      <c r="Z21" s="42"/>
      <c r="AA21" s="42"/>
      <c r="AB21" s="46"/>
      <c r="AC21" s="42"/>
      <c r="AD21" s="42"/>
      <c r="AE21" s="42"/>
      <c r="AF21" s="42"/>
      <c r="AG21" s="42"/>
    </row>
    <row r="22" spans="1:33" s="1" customFormat="1" ht="12.75" customHeight="1">
      <c r="A22" s="42"/>
      <c r="B22" s="158"/>
      <c r="C22" s="163" t="s">
        <v>1</v>
      </c>
      <c r="D22" s="164"/>
      <c r="E22" s="51">
        <f>E18*E19*(E20/1000)*E17</f>
        <v>0.92102399999999995</v>
      </c>
      <c r="F22" s="52" t="s">
        <v>81</v>
      </c>
      <c r="G22" s="42"/>
      <c r="H22" s="159"/>
      <c r="I22" s="163" t="s">
        <v>31</v>
      </c>
      <c r="J22" s="169"/>
      <c r="K22" s="164"/>
      <c r="L22" s="51">
        <f>('Data Table'!I24/(1800*L4))*L21+('Data Table'!$G$2*0.05)*(L20/60)</f>
        <v>0.49429448020946898</v>
      </c>
      <c r="M22" s="93" t="s">
        <v>27</v>
      </c>
      <c r="N22" s="42"/>
      <c r="O22" s="60"/>
      <c r="P22" s="60"/>
      <c r="Q22" s="60"/>
      <c r="R22" s="60"/>
      <c r="S22" s="60"/>
      <c r="T22" s="60"/>
      <c r="U22" s="42"/>
      <c r="V22" s="42"/>
      <c r="W22" s="42"/>
      <c r="X22" s="42"/>
      <c r="Y22" s="46"/>
      <c r="Z22" s="46"/>
      <c r="AA22" s="46"/>
      <c r="AB22" s="42"/>
      <c r="AC22" s="42"/>
      <c r="AD22" s="42"/>
      <c r="AE22" s="42"/>
      <c r="AF22" s="42"/>
      <c r="AG22" s="42"/>
    </row>
    <row r="23" spans="1:33" s="1" customFormat="1" ht="12.75" customHeight="1">
      <c r="A23" s="42"/>
      <c r="B23" s="42"/>
      <c r="C23" s="42"/>
      <c r="D23" s="42"/>
      <c r="E23" s="42"/>
      <c r="F23" s="42"/>
      <c r="G23" s="42"/>
      <c r="H23" s="42"/>
      <c r="I23" s="42"/>
      <c r="J23" s="42"/>
      <c r="K23" s="42"/>
      <c r="L23" s="42"/>
      <c r="M23" s="42"/>
      <c r="N23" s="42"/>
      <c r="O23" s="60"/>
      <c r="P23" s="60"/>
      <c r="Q23" s="60"/>
      <c r="R23" s="60"/>
      <c r="S23" s="60"/>
      <c r="T23" s="60"/>
      <c r="U23" s="42"/>
      <c r="V23" s="42"/>
      <c r="W23" s="42"/>
      <c r="X23" s="42"/>
      <c r="Y23" s="46"/>
      <c r="Z23" s="46"/>
      <c r="AA23" s="46"/>
      <c r="AB23" s="42"/>
      <c r="AC23" s="42"/>
      <c r="AD23" s="42"/>
      <c r="AE23" s="42"/>
      <c r="AF23" s="42"/>
      <c r="AG23" s="42"/>
    </row>
    <row r="24" spans="1:33" s="1" customFormat="1" ht="12.75" customHeight="1">
      <c r="A24" s="42"/>
      <c r="B24" s="160" t="s">
        <v>36</v>
      </c>
      <c r="C24" s="165" t="s">
        <v>35</v>
      </c>
      <c r="D24" s="166"/>
      <c r="E24" s="3">
        <v>0</v>
      </c>
      <c r="F24" s="76" t="s">
        <v>82</v>
      </c>
      <c r="G24" s="42"/>
      <c r="H24" s="136" t="s">
        <v>18</v>
      </c>
      <c r="I24" s="167"/>
      <c r="J24" s="42"/>
      <c r="K24" s="136" t="s">
        <v>78</v>
      </c>
      <c r="L24" s="137"/>
      <c r="M24" s="75" t="s">
        <v>19</v>
      </c>
      <c r="N24" s="42"/>
      <c r="O24" s="60"/>
      <c r="P24" s="60"/>
      <c r="Q24" s="60"/>
      <c r="R24" s="60"/>
      <c r="S24" s="60"/>
      <c r="T24" s="60"/>
      <c r="U24" s="42"/>
      <c r="V24" s="42"/>
      <c r="W24" s="42"/>
      <c r="X24" s="42"/>
      <c r="Y24" s="46"/>
      <c r="Z24" s="46"/>
      <c r="AA24" s="46"/>
      <c r="AB24" s="42"/>
      <c r="AC24" s="42"/>
      <c r="AD24" s="42"/>
      <c r="AE24" s="42"/>
      <c r="AF24" s="42"/>
      <c r="AG24" s="42"/>
    </row>
    <row r="25" spans="1:33" s="1" customFormat="1" ht="12.75" customHeight="1" thickBot="1">
      <c r="A25" s="42"/>
      <c r="B25" s="152"/>
      <c r="C25" s="172" t="s">
        <v>93</v>
      </c>
      <c r="D25" s="164"/>
      <c r="E25" s="3">
        <v>0</v>
      </c>
      <c r="F25" s="92" t="s">
        <v>80</v>
      </c>
      <c r="G25" s="42"/>
      <c r="H25" s="144" t="s">
        <v>87</v>
      </c>
      <c r="I25" s="145"/>
      <c r="J25" s="42"/>
      <c r="K25" s="138" t="s">
        <v>51</v>
      </c>
      <c r="L25" s="139"/>
      <c r="M25" s="77">
        <v>7800</v>
      </c>
      <c r="N25" s="42"/>
      <c r="O25" s="60"/>
      <c r="P25" s="42"/>
      <c r="Q25" s="42"/>
      <c r="R25" s="42"/>
      <c r="S25" s="42"/>
      <c r="T25" s="42"/>
      <c r="U25" s="42"/>
      <c r="V25" s="42"/>
      <c r="W25" s="42"/>
      <c r="X25" s="42"/>
      <c r="Y25" s="46"/>
      <c r="Z25" s="46"/>
      <c r="AA25" s="46"/>
      <c r="AB25" s="42"/>
      <c r="AC25" s="42"/>
      <c r="AD25" s="42"/>
      <c r="AE25" s="42"/>
      <c r="AF25" s="42"/>
      <c r="AG25" s="42"/>
    </row>
    <row r="26" spans="1:33" s="1" customFormat="1" ht="12.75" customHeight="1">
      <c r="A26" s="42"/>
      <c r="B26" s="42"/>
      <c r="C26" s="42"/>
      <c r="D26" s="42"/>
      <c r="E26" s="42"/>
      <c r="F26" s="42"/>
      <c r="G26" s="42"/>
      <c r="H26" s="40">
        <v>1370</v>
      </c>
      <c r="I26" s="78">
        <f>H26/141.69</f>
        <v>9.6689956948267337</v>
      </c>
      <c r="J26" s="42"/>
      <c r="K26" s="140" t="s">
        <v>52</v>
      </c>
      <c r="L26" s="141"/>
      <c r="M26" s="79">
        <v>4500</v>
      </c>
      <c r="N26" s="42"/>
      <c r="O26" s="60"/>
      <c r="P26" s="122" t="s">
        <v>71</v>
      </c>
      <c r="Q26" s="123"/>
      <c r="R26" s="123"/>
      <c r="S26" s="123"/>
      <c r="T26" s="124"/>
      <c r="U26" s="42"/>
      <c r="V26" s="42"/>
      <c r="W26" s="42"/>
      <c r="X26" s="42"/>
      <c r="Y26" s="46"/>
      <c r="Z26" s="46"/>
      <c r="AA26" s="46"/>
      <c r="AB26" s="46"/>
      <c r="AC26" s="42"/>
      <c r="AD26" s="42"/>
      <c r="AE26" s="42"/>
      <c r="AF26" s="42"/>
      <c r="AG26" s="42"/>
    </row>
    <row r="27" spans="1:33" s="1" customFormat="1" ht="12.75" customHeight="1">
      <c r="A27" s="42"/>
      <c r="B27" s="150" t="s">
        <v>11</v>
      </c>
      <c r="C27" s="165" t="s">
        <v>1</v>
      </c>
      <c r="D27" s="166"/>
      <c r="E27" s="73">
        <f>$E$15+$E$8+$E$22</f>
        <v>0.92102399999999995</v>
      </c>
      <c r="F27" s="56" t="s">
        <v>81</v>
      </c>
      <c r="G27" s="42"/>
      <c r="H27" s="144" t="s">
        <v>77</v>
      </c>
      <c r="I27" s="145"/>
      <c r="J27" s="42"/>
      <c r="K27" s="134" t="s">
        <v>53</v>
      </c>
      <c r="L27" s="135"/>
      <c r="M27" s="80">
        <v>2760</v>
      </c>
      <c r="N27" s="42"/>
      <c r="O27" s="42"/>
      <c r="P27" s="125"/>
      <c r="Q27" s="126"/>
      <c r="R27" s="126"/>
      <c r="S27" s="126"/>
      <c r="T27" s="127"/>
      <c r="U27" s="42"/>
      <c r="V27" s="42"/>
      <c r="W27" s="42"/>
      <c r="X27" s="42"/>
      <c r="Y27" s="46"/>
      <c r="Z27" s="46"/>
      <c r="AA27" s="46"/>
      <c r="AB27" s="46"/>
      <c r="AC27" s="42"/>
      <c r="AD27" s="42"/>
      <c r="AE27" s="42"/>
      <c r="AF27" s="42"/>
      <c r="AG27" s="42"/>
    </row>
    <row r="28" spans="1:33" s="1" customFormat="1" ht="12.75" customHeight="1">
      <c r="A28" s="42"/>
      <c r="B28" s="159"/>
      <c r="C28" s="163" t="s">
        <v>9</v>
      </c>
      <c r="D28" s="164"/>
      <c r="E28" s="82">
        <f>$E$14+$E$7+$E$21+$E$24</f>
        <v>4.5499353120000002E-3</v>
      </c>
      <c r="F28" s="88" t="s">
        <v>82</v>
      </c>
      <c r="G28" s="42"/>
      <c r="H28" s="40">
        <v>16</v>
      </c>
      <c r="I28" s="81">
        <f>H28/39.37</f>
        <v>0.40640081280162565</v>
      </c>
      <c r="J28" s="42"/>
      <c r="K28" s="140" t="s">
        <v>54</v>
      </c>
      <c r="L28" s="141"/>
      <c r="M28" s="79">
        <v>1770</v>
      </c>
      <c r="N28" s="42"/>
      <c r="O28" s="42"/>
      <c r="P28" s="128" t="s">
        <v>96</v>
      </c>
      <c r="Q28" s="129"/>
      <c r="R28" s="129"/>
      <c r="S28" s="129"/>
      <c r="T28" s="130"/>
      <c r="U28" s="42"/>
      <c r="V28" s="42"/>
      <c r="W28" s="42"/>
      <c r="X28" s="42"/>
      <c r="Y28" s="46"/>
      <c r="Z28" s="46"/>
      <c r="AA28" s="46"/>
      <c r="AB28" s="46"/>
      <c r="AC28" s="42"/>
      <c r="AD28" s="42"/>
      <c r="AE28" s="42"/>
      <c r="AF28" s="42"/>
      <c r="AG28" s="42"/>
    </row>
    <row r="29" spans="1:33" s="1" customFormat="1" ht="12.75" customHeight="1">
      <c r="A29" s="42"/>
      <c r="B29" s="67"/>
      <c r="C29" s="67"/>
      <c r="D29" s="67"/>
      <c r="E29" s="67"/>
      <c r="F29" s="67"/>
      <c r="G29" s="42"/>
      <c r="H29" s="144" t="s">
        <v>76</v>
      </c>
      <c r="I29" s="145"/>
      <c r="J29" s="42"/>
      <c r="K29" s="134" t="s">
        <v>55</v>
      </c>
      <c r="L29" s="135"/>
      <c r="M29" s="80">
        <v>1600</v>
      </c>
      <c r="N29" s="42"/>
      <c r="O29" s="42"/>
      <c r="P29" s="131" t="s">
        <v>90</v>
      </c>
      <c r="Q29" s="132"/>
      <c r="R29" s="132"/>
      <c r="S29" s="132"/>
      <c r="T29" s="133"/>
      <c r="U29" s="42"/>
      <c r="V29" s="42"/>
      <c r="W29" s="42"/>
      <c r="X29" s="42"/>
      <c r="Y29" s="46"/>
      <c r="Z29" s="46"/>
      <c r="AA29" s="46"/>
      <c r="AB29" s="42"/>
      <c r="AC29" s="42"/>
      <c r="AD29" s="42"/>
      <c r="AE29" s="42"/>
      <c r="AF29" s="42"/>
      <c r="AG29" s="42"/>
    </row>
    <row r="30" spans="1:33" s="1" customFormat="1" ht="12.75" customHeight="1" thickBot="1">
      <c r="A30" s="42"/>
      <c r="B30" s="67"/>
      <c r="C30" s="67"/>
      <c r="D30" s="67"/>
      <c r="E30" s="67"/>
      <c r="F30" s="67"/>
      <c r="G30" s="42"/>
      <c r="H30" s="40">
        <v>0.38</v>
      </c>
      <c r="I30" s="78">
        <f>H30/0.4536</f>
        <v>0.83774250440917108</v>
      </c>
      <c r="J30" s="42"/>
      <c r="K30" s="142" t="s">
        <v>56</v>
      </c>
      <c r="L30" s="143"/>
      <c r="M30" s="83">
        <v>1200</v>
      </c>
      <c r="N30" s="42"/>
      <c r="O30" s="42"/>
      <c r="P30" s="84"/>
      <c r="Q30" s="85"/>
      <c r="R30" s="85"/>
      <c r="S30" s="85"/>
      <c r="T30" s="86"/>
      <c r="U30" s="42"/>
      <c r="V30" s="42"/>
      <c r="W30" s="42"/>
      <c r="X30" s="42"/>
      <c r="Y30" s="46"/>
      <c r="Z30" s="46"/>
      <c r="AA30" s="46"/>
      <c r="AB30" s="42"/>
      <c r="AC30" s="42"/>
      <c r="AD30" s="42"/>
      <c r="AE30" s="42"/>
      <c r="AF30" s="42"/>
      <c r="AG30" s="42"/>
    </row>
    <row r="31" spans="1:33" s="1" customFormat="1" ht="12.75" customHeight="1">
      <c r="A31" s="42"/>
      <c r="B31" s="67"/>
      <c r="C31" s="67"/>
      <c r="D31" s="67"/>
      <c r="E31" s="67"/>
      <c r="F31" s="67"/>
      <c r="G31" s="42"/>
      <c r="H31" s="42"/>
      <c r="I31" s="42"/>
      <c r="J31" s="42"/>
      <c r="K31" s="42"/>
      <c r="L31" s="42"/>
      <c r="M31" s="42"/>
      <c r="N31" s="42"/>
      <c r="O31" s="42"/>
      <c r="P31" s="42"/>
      <c r="Q31" s="42"/>
      <c r="R31" s="42"/>
      <c r="S31" s="42"/>
      <c r="T31" s="42"/>
      <c r="U31" s="42"/>
      <c r="V31" s="42"/>
      <c r="W31" s="42"/>
      <c r="X31" s="42"/>
      <c r="Y31" s="46"/>
      <c r="Z31" s="46"/>
      <c r="AA31" s="46"/>
      <c r="AB31" s="42"/>
      <c r="AC31" s="42"/>
      <c r="AD31" s="42"/>
      <c r="AE31" s="42"/>
      <c r="AF31" s="42"/>
      <c r="AG31" s="42"/>
    </row>
    <row r="32" spans="1:33" s="1" customFormat="1" ht="13.15" customHeight="1">
      <c r="A32" s="42"/>
      <c r="B32" s="67"/>
      <c r="C32" s="67"/>
      <c r="D32" s="67"/>
      <c r="E32" s="67"/>
      <c r="F32" s="67"/>
      <c r="G32" s="45"/>
      <c r="H32" s="42"/>
      <c r="I32" s="42"/>
      <c r="J32" s="42"/>
      <c r="K32" s="42"/>
      <c r="L32" s="87"/>
      <c r="M32" s="87"/>
      <c r="N32" s="42"/>
      <c r="O32" s="42"/>
      <c r="P32" s="42"/>
      <c r="Q32" s="42"/>
      <c r="R32" s="42"/>
      <c r="S32" s="42"/>
      <c r="T32" s="42"/>
      <c r="U32" s="42"/>
      <c r="V32" s="42"/>
      <c r="W32" s="42"/>
      <c r="X32" s="42"/>
      <c r="Y32" s="46"/>
      <c r="Z32" s="46"/>
      <c r="AA32" s="46"/>
      <c r="AB32" s="42"/>
      <c r="AC32" s="42"/>
      <c r="AD32" s="42"/>
      <c r="AE32" s="42"/>
      <c r="AF32" s="42"/>
      <c r="AG32" s="42"/>
    </row>
    <row r="33" spans="1:33" s="1" customFormat="1">
      <c r="A33" s="42"/>
      <c r="B33" s="67"/>
      <c r="C33" s="67"/>
      <c r="D33" s="67"/>
      <c r="E33" s="67"/>
      <c r="F33" s="67"/>
      <c r="G33" s="45"/>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row>
    <row r="34" spans="1:33" s="1" customFormat="1">
      <c r="A34" s="42"/>
      <c r="B34" s="67"/>
      <c r="C34" s="67"/>
      <c r="D34" s="67"/>
      <c r="E34" s="67"/>
      <c r="F34" s="67"/>
      <c r="G34" s="45"/>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1:33" s="1" customFormat="1">
      <c r="A35" s="42"/>
      <c r="B35" s="67"/>
      <c r="C35" s="67"/>
      <c r="D35" s="67"/>
      <c r="E35" s="67"/>
      <c r="F35" s="67"/>
      <c r="G35" s="45"/>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row>
    <row r="36" spans="1:33" s="1" customFormat="1" ht="12" customHeight="1">
      <c r="A36" s="42"/>
      <c r="B36" s="67"/>
      <c r="C36" s="67"/>
      <c r="D36" s="67"/>
      <c r="E36" s="67"/>
      <c r="F36" s="67"/>
      <c r="G36" s="45"/>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row>
    <row r="37" spans="1:33">
      <c r="A37" s="42"/>
      <c r="B37" s="67"/>
      <c r="C37" s="67"/>
      <c r="D37" s="67"/>
      <c r="E37" s="67"/>
      <c r="F37" s="67"/>
      <c r="G37" s="45"/>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row>
    <row r="38" spans="1:33">
      <c r="A38" s="42"/>
      <c r="B38" s="67"/>
      <c r="C38" s="67"/>
      <c r="D38" s="67"/>
      <c r="E38" s="67"/>
      <c r="F38" s="67"/>
      <c r="G38" s="45"/>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row>
    <row r="39" spans="1:33" ht="13.15" customHeight="1">
      <c r="A39" s="42"/>
      <c r="B39" s="67"/>
      <c r="C39" s="67"/>
      <c r="D39" s="67"/>
      <c r="E39" s="67"/>
      <c r="F39" s="67"/>
      <c r="G39" s="45"/>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row>
    <row r="40" spans="1:33" ht="12.6" customHeight="1">
      <c r="A40" s="42"/>
      <c r="B40" s="67"/>
      <c r="C40" s="67"/>
      <c r="D40" s="67"/>
      <c r="E40" s="67"/>
      <c r="F40" s="67"/>
      <c r="G40" s="45"/>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row>
    <row r="41" spans="1:33">
      <c r="A41" s="42"/>
      <c r="B41" s="67"/>
      <c r="C41" s="67"/>
      <c r="D41" s="67"/>
      <c r="E41" s="67"/>
      <c r="F41" s="67"/>
      <c r="G41" s="45"/>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row>
    <row r="42" spans="1:33">
      <c r="A42" s="42"/>
      <c r="B42" s="67"/>
      <c r="C42" s="67"/>
      <c r="D42" s="67"/>
      <c r="E42" s="67"/>
      <c r="F42" s="67"/>
      <c r="G42" s="45"/>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row>
    <row r="43" spans="1:33">
      <c r="A43" s="42"/>
      <c r="B43" s="67"/>
      <c r="C43" s="67"/>
      <c r="D43" s="67"/>
      <c r="E43" s="67"/>
      <c r="F43" s="67"/>
      <c r="G43" s="45"/>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row>
    <row r="44" spans="1:33">
      <c r="A44" s="42"/>
      <c r="B44" s="67"/>
      <c r="C44" s="67"/>
      <c r="D44" s="67"/>
      <c r="E44" s="67"/>
      <c r="F44" s="67"/>
      <c r="G44" s="45"/>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row>
    <row r="45" spans="1:33">
      <c r="A45" s="42"/>
      <c r="B45" s="67"/>
      <c r="C45" s="67"/>
      <c r="D45" s="67"/>
      <c r="E45" s="67"/>
      <c r="F45" s="67"/>
      <c r="G45" s="45"/>
      <c r="H45" s="42"/>
      <c r="I45" s="42"/>
      <c r="J45" s="42"/>
      <c r="K45" s="42"/>
      <c r="L45" s="42"/>
      <c r="M45" s="42"/>
      <c r="N45" s="59"/>
      <c r="O45" s="42"/>
      <c r="P45" s="42"/>
      <c r="Q45" s="42"/>
      <c r="R45" s="42"/>
      <c r="S45" s="42"/>
      <c r="T45" s="42"/>
      <c r="U45" s="42"/>
      <c r="V45" s="42"/>
      <c r="W45" s="42"/>
      <c r="X45" s="42"/>
      <c r="Y45" s="42"/>
      <c r="Z45" s="42"/>
      <c r="AA45" s="42"/>
      <c r="AB45" s="42"/>
      <c r="AC45" s="42"/>
      <c r="AD45" s="42"/>
      <c r="AE45" s="42"/>
      <c r="AF45" s="42"/>
      <c r="AG45" s="42"/>
    </row>
    <row r="46" spans="1:33">
      <c r="A46" s="42"/>
      <c r="B46" s="67"/>
      <c r="C46" s="67"/>
      <c r="D46" s="67"/>
      <c r="E46" s="67"/>
      <c r="F46" s="67"/>
      <c r="G46" s="45"/>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1:33" ht="13.15" customHeight="1">
      <c r="A47" s="42"/>
      <c r="B47" s="67"/>
      <c r="C47" s="67"/>
      <c r="D47" s="67"/>
      <c r="E47" s="67"/>
      <c r="F47" s="67"/>
      <c r="G47" s="45"/>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row>
    <row r="48" spans="1:33">
      <c r="A48" s="42"/>
      <c r="B48" s="67"/>
      <c r="C48" s="67"/>
      <c r="D48" s="67"/>
      <c r="E48" s="67"/>
      <c r="F48" s="67"/>
      <c r="G48" s="45"/>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row>
    <row r="49" spans="1:33">
      <c r="A49" s="42"/>
      <c r="B49" s="67"/>
      <c r="C49" s="67"/>
      <c r="D49" s="67"/>
      <c r="E49" s="67"/>
      <c r="F49" s="67"/>
      <c r="G49" s="45"/>
      <c r="H49" s="87"/>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row>
    <row r="50" spans="1:33">
      <c r="A50" s="42"/>
      <c r="B50" s="67"/>
      <c r="C50" s="67"/>
      <c r="D50" s="67"/>
      <c r="E50" s="67"/>
      <c r="F50" s="67"/>
      <c r="G50" s="45"/>
      <c r="H50" s="87"/>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row>
    <row r="51" spans="1:33">
      <c r="A51" s="42"/>
      <c r="B51" s="67"/>
      <c r="C51" s="67"/>
      <c r="D51" s="67"/>
      <c r="E51" s="67"/>
      <c r="F51" s="67"/>
      <c r="G51" s="45"/>
      <c r="H51" s="87"/>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row>
    <row r="52" spans="1:33">
      <c r="A52" s="42"/>
      <c r="B52" s="67"/>
      <c r="C52" s="67"/>
      <c r="D52" s="67"/>
      <c r="E52" s="67"/>
      <c r="F52" s="67"/>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row>
    <row r="53" spans="1:33">
      <c r="A53" s="42"/>
      <c r="B53" s="67"/>
      <c r="C53" s="67"/>
      <c r="D53" s="67"/>
      <c r="E53" s="67"/>
      <c r="F53" s="67"/>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row>
    <row r="54" spans="1:33">
      <c r="A54" s="42"/>
      <c r="B54" s="67"/>
      <c r="C54" s="67"/>
      <c r="D54" s="67"/>
      <c r="E54" s="67"/>
      <c r="F54" s="67"/>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row>
    <row r="55" spans="1:33">
      <c r="A55" s="42"/>
      <c r="B55" s="67"/>
      <c r="C55" s="67"/>
      <c r="D55" s="67"/>
      <c r="E55" s="67"/>
      <c r="F55" s="67"/>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row>
    <row r="56" spans="1:33">
      <c r="A56" s="42"/>
      <c r="B56" s="67"/>
      <c r="C56" s="67"/>
      <c r="D56" s="67"/>
      <c r="E56" s="67"/>
      <c r="F56" s="67"/>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row>
    <row r="57" spans="1:33">
      <c r="A57" s="42"/>
      <c r="B57" s="67"/>
      <c r="C57" s="67"/>
      <c r="D57" s="67"/>
      <c r="E57" s="67"/>
      <c r="F57" s="67"/>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row>
    <row r="58" spans="1:33">
      <c r="A58" s="42"/>
      <c r="B58" s="67"/>
      <c r="C58" s="67"/>
      <c r="D58" s="67"/>
      <c r="E58" s="67"/>
      <c r="F58" s="67"/>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row>
    <row r="59" spans="1:33">
      <c r="A59" s="42"/>
      <c r="B59" s="67"/>
      <c r="C59" s="67"/>
      <c r="D59" s="67"/>
      <c r="E59" s="67"/>
      <c r="F59" s="67"/>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row>
    <row r="60" spans="1:33">
      <c r="A60" s="42"/>
      <c r="B60" s="67"/>
      <c r="C60" s="67"/>
      <c r="D60" s="67"/>
      <c r="E60" s="67"/>
      <c r="F60" s="67"/>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row>
    <row r="61" spans="1:33">
      <c r="A61" s="42"/>
      <c r="B61" s="67"/>
      <c r="C61" s="67"/>
      <c r="D61" s="67"/>
      <c r="E61" s="67"/>
      <c r="F61" s="67"/>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row>
    <row r="62" spans="1:33">
      <c r="A62" s="42"/>
      <c r="B62" s="67"/>
      <c r="C62" s="67"/>
      <c r="D62" s="67"/>
      <c r="E62" s="67"/>
      <c r="F62" s="67"/>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row>
    <row r="63" spans="1:33">
      <c r="A63" s="42"/>
      <c r="B63" s="67"/>
      <c r="C63" s="67"/>
      <c r="D63" s="67"/>
      <c r="E63" s="67"/>
      <c r="F63" s="67"/>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row>
    <row r="64" spans="1:33">
      <c r="A64" s="42"/>
      <c r="B64" s="67"/>
      <c r="C64" s="67"/>
      <c r="D64" s="67"/>
      <c r="E64" s="67"/>
      <c r="F64" s="67"/>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row>
    <row r="65" spans="1:33">
      <c r="A65" s="42"/>
      <c r="B65" s="67"/>
      <c r="C65" s="67"/>
      <c r="D65" s="67"/>
      <c r="E65" s="67"/>
      <c r="F65" s="67"/>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row>
    <row r="66" spans="1:33">
      <c r="A66" s="42"/>
      <c r="B66" s="67"/>
      <c r="C66" s="67"/>
      <c r="D66" s="67"/>
      <c r="E66" s="67"/>
      <c r="F66" s="67"/>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row>
    <row r="67" spans="1:33">
      <c r="A67" s="42"/>
      <c r="B67" s="67"/>
      <c r="C67" s="67"/>
      <c r="D67" s="67"/>
      <c r="E67" s="67"/>
      <c r="F67" s="67"/>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row>
    <row r="68" spans="1:33">
      <c r="H68" s="42"/>
      <c r="I68" s="42"/>
      <c r="J68" s="42"/>
      <c r="K68" s="42"/>
      <c r="L68" s="42"/>
      <c r="M68" s="42"/>
    </row>
  </sheetData>
  <sheetProtection sheet="1" objects="1" scenarios="1" selectLockedCells="1"/>
  <mergeCells count="60">
    <mergeCell ref="H29:I29"/>
    <mergeCell ref="C7:D7"/>
    <mergeCell ref="I17:K17"/>
    <mergeCell ref="C28:D28"/>
    <mergeCell ref="C27:D27"/>
    <mergeCell ref="C24:D24"/>
    <mergeCell ref="C25:D25"/>
    <mergeCell ref="H27:I27"/>
    <mergeCell ref="I8:K8"/>
    <mergeCell ref="I16:K16"/>
    <mergeCell ref="C13:D13"/>
    <mergeCell ref="C14:D14"/>
    <mergeCell ref="C15:D15"/>
    <mergeCell ref="H19:H22"/>
    <mergeCell ref="I19:K19"/>
    <mergeCell ref="C20:D20"/>
    <mergeCell ref="H4:H6"/>
    <mergeCell ref="I4:K4"/>
    <mergeCell ref="I5:K5"/>
    <mergeCell ref="I6:K6"/>
    <mergeCell ref="I7:K7"/>
    <mergeCell ref="I20:K20"/>
    <mergeCell ref="I21:K21"/>
    <mergeCell ref="I22:K22"/>
    <mergeCell ref="C10:D10"/>
    <mergeCell ref="C11:D11"/>
    <mergeCell ref="C12:D12"/>
    <mergeCell ref="C18:D18"/>
    <mergeCell ref="C19:D19"/>
    <mergeCell ref="C17:D17"/>
    <mergeCell ref="I13:K13"/>
    <mergeCell ref="I14:K14"/>
    <mergeCell ref="I15:K15"/>
    <mergeCell ref="I10:K10"/>
    <mergeCell ref="I11:K11"/>
    <mergeCell ref="K30:L30"/>
    <mergeCell ref="H25:I25"/>
    <mergeCell ref="B2:T2"/>
    <mergeCell ref="H13:H17"/>
    <mergeCell ref="B10:B15"/>
    <mergeCell ref="B4:B8"/>
    <mergeCell ref="B17:B22"/>
    <mergeCell ref="B27:B28"/>
    <mergeCell ref="B24:B25"/>
    <mergeCell ref="C21:D21"/>
    <mergeCell ref="C22:D22"/>
    <mergeCell ref="C4:D4"/>
    <mergeCell ref="C5:D5"/>
    <mergeCell ref="C6:D6"/>
    <mergeCell ref="H24:I24"/>
    <mergeCell ref="C8:D8"/>
    <mergeCell ref="P26:T27"/>
    <mergeCell ref="P28:T28"/>
    <mergeCell ref="P29:T29"/>
    <mergeCell ref="K29:L29"/>
    <mergeCell ref="K24:L24"/>
    <mergeCell ref="K25:L25"/>
    <mergeCell ref="K26:L26"/>
    <mergeCell ref="K27:L27"/>
    <mergeCell ref="K28:L28"/>
  </mergeCells>
  <phoneticPr fontId="0" type="noConversion"/>
  <hyperlinks>
    <hyperlink ref="P26:S27" r:id="rId1" display="Run Amok Combat Robotics"/>
  </hyperlinks>
  <printOptions horizontalCentered="1" verticalCentered="1"/>
  <pageMargins left="0.5" right="0.5" top="1" bottom="1" header="0.5" footer="0.5"/>
  <pageSetup orientation="landscape" r:id="rId2"/>
  <headerFooter alignWithMargins="0"/>
  <drawing r:id="rId3"/>
  <legacyDrawing r:id="rId4"/>
  <extLst xmlns:x14="http://schemas.microsoft.com/office/spreadsheetml/2009/9/main">
    <ext uri="{78C0D931-6437-407d-A8EE-F0AAD7539E65}">
      <x14:conditionalFormattings>
        <x14:conditionalFormatting xmlns:xm="http://schemas.microsoft.com/office/excel/2006/main">
          <x14:cfRule type="expression" priority="4" id="{ED985250-5720-4C99-9B1F-74315CD9B5EE}">
            <xm:f>'Data Table'!$A$2=1</xm:f>
            <x14:dxf>
              <font>
                <strike val="0"/>
                <color theme="2" tint="-9.9948118533890809E-2"/>
              </font>
              <fill>
                <patternFill>
                  <fgColor theme="0" tint="-0.14990691854609822"/>
                  <bgColor theme="2" tint="-9.9948118533890809E-2"/>
                </patternFill>
              </fill>
            </x14:dxf>
          </x14:cfRule>
          <xm:sqref>L7</xm:sqref>
        </x14:conditionalFormatting>
        <x14:conditionalFormatting xmlns:xm="http://schemas.microsoft.com/office/excel/2006/main">
          <x14:cfRule type="expression" priority="1" id="{4A9279FA-A4B1-42BB-943A-C7F59F226A5C}">
            <xm:f>'Data Table'!$A$2=1</xm:f>
            <x14:dxf>
              <font>
                <strike val="0"/>
                <color theme="2" tint="-9.9948118533890809E-2"/>
              </font>
              <fill>
                <patternFill>
                  <fgColor theme="0" tint="-0.14990691854609822"/>
                  <bgColor theme="2" tint="-9.9948118533890809E-2"/>
                </patternFill>
              </fill>
            </x14:dxf>
          </x14:cfRule>
          <xm:sqref>L10:L11</xm:sqref>
        </x14:conditionalFormatting>
      </x14:conditionalFormattings>
    </ext>
    <ext uri="{CCE6A557-97BC-4b89-ADB6-D9C93CAAB3DF}">
      <x14:dataValidations xmlns:xm="http://schemas.microsoft.com/office/excel/2006/main" count="1">
        <x14:dataValidation type="list" allowBlank="1" showInputMessage="1" showErrorMessage="1">
          <x14:formula1>
            <xm:f>'Data Table'!$F$6:$F$24</xm:f>
          </x14:formula1>
          <xm:sqref>L13</xm:sqref>
        </x14:dataValidation>
      </x14:dataValidations>
    </ext>
  </extLst>
</worksheet>
</file>

<file path=xl/worksheets/sheet3.xml><?xml version="1.0" encoding="utf-8"?>
<worksheet xmlns="http://schemas.openxmlformats.org/spreadsheetml/2006/main" xmlns:r="http://schemas.openxmlformats.org/officeDocument/2006/relationships">
  <dimension ref="A1:O27"/>
  <sheetViews>
    <sheetView workbookViewId="0">
      <selection activeCell="G13" sqref="G13"/>
    </sheetView>
  </sheetViews>
  <sheetFormatPr defaultRowHeight="12.75"/>
  <cols>
    <col min="1" max="1" width="4.28515625" customWidth="1"/>
    <col min="2" max="2" width="13.140625" bestFit="1" customWidth="1"/>
    <col min="3" max="3" width="9.5703125" customWidth="1"/>
    <col min="6" max="6" width="9.140625" customWidth="1"/>
    <col min="10" max="10" width="9.28515625" customWidth="1"/>
    <col min="13" max="13" width="12.140625" customWidth="1"/>
    <col min="14" max="14" width="6.5703125" customWidth="1"/>
  </cols>
  <sheetData>
    <row r="1" spans="1:10">
      <c r="A1" s="8" t="s">
        <v>92</v>
      </c>
      <c r="B1" s="7" t="s">
        <v>13</v>
      </c>
      <c r="C1" s="9" t="s">
        <v>44</v>
      </c>
      <c r="D1" s="7" t="s">
        <v>14</v>
      </c>
      <c r="E1" s="7" t="s">
        <v>16</v>
      </c>
      <c r="F1" s="9" t="s">
        <v>48</v>
      </c>
      <c r="G1" s="20" t="s">
        <v>57</v>
      </c>
      <c r="H1" s="8" t="s">
        <v>37</v>
      </c>
      <c r="I1" s="8" t="s">
        <v>38</v>
      </c>
      <c r="J1" s="8" t="s">
        <v>102</v>
      </c>
    </row>
    <row r="2" spans="1:10">
      <c r="A2" s="6">
        <v>2</v>
      </c>
      <c r="B2" s="5">
        <f>((((Calculations!L4*Calculations!L5)/Calculations!$L$8)*0.105)/($F$2*Calculations!$L$8))*Calculations!$E$28</f>
        <v>2.1516925096068227</v>
      </c>
      <c r="C2" s="5">
        <f>B2*(1/Calculations!$L$11)</f>
        <v>8.6067700384272907</v>
      </c>
      <c r="D2" s="6">
        <f>(Calculations!L4*Calculations!L5)/Calculations!L8</f>
        <v>7400</v>
      </c>
      <c r="E2" s="94">
        <f>Calculations!$E$28</f>
        <v>4.5499353120000002E-3</v>
      </c>
      <c r="F2" s="5">
        <f>((1352/Calculations!$L$5)*(Calculations!$L$4/(J2/1000)))/(141.61)</f>
        <v>0.82151602090904774</v>
      </c>
      <c r="G2" s="6">
        <f>1000*Calculations!L4/J2</f>
        <v>86.04651162790698</v>
      </c>
      <c r="H2" s="6">
        <f>Calculations!L8</f>
        <v>2</v>
      </c>
      <c r="I2" s="6">
        <f>IF(A2=1,0,(60/(Calculations!L7*3*(Calculations!L10/1000000)))/$H$2)</f>
        <v>976.56250000000011</v>
      </c>
      <c r="J2" s="6">
        <f>Calculations!L6+(Calculations!L19*Calculations!L4/3.7)</f>
        <v>172</v>
      </c>
    </row>
    <row r="4" spans="1:10">
      <c r="B4" s="9" t="s">
        <v>40</v>
      </c>
      <c r="C4" s="7" t="s">
        <v>41</v>
      </c>
      <c r="D4" s="9" t="s">
        <v>42</v>
      </c>
      <c r="E4" s="14" t="s">
        <v>43</v>
      </c>
      <c r="F4" s="12" t="s">
        <v>15</v>
      </c>
      <c r="G4" s="7" t="s">
        <v>12</v>
      </c>
      <c r="H4" s="7" t="s">
        <v>0</v>
      </c>
      <c r="I4" s="7" t="s">
        <v>17</v>
      </c>
      <c r="J4" s="7" t="s">
        <v>57</v>
      </c>
    </row>
    <row r="5" spans="1:10">
      <c r="B5" s="5">
        <v>0</v>
      </c>
      <c r="C5" s="10" t="s">
        <v>39</v>
      </c>
      <c r="D5" s="5">
        <v>0</v>
      </c>
      <c r="E5" s="15" t="s">
        <v>39</v>
      </c>
      <c r="F5" s="13">
        <v>0</v>
      </c>
      <c r="G5" s="5">
        <v>0</v>
      </c>
      <c r="H5" s="6">
        <v>0</v>
      </c>
      <c r="I5" s="6">
        <v>0</v>
      </c>
      <c r="J5" s="6">
        <f>IF(H5&lt;$I$2,(1-F5)*$G$2/(1/Calculations!$L$11),(1-F5)*$G$2)</f>
        <v>21.511627906976745</v>
      </c>
    </row>
    <row r="6" spans="1:10">
      <c r="B6" s="5">
        <f t="shared" ref="B6:B26" si="0">-($B$2*LN(1-F6))</f>
        <v>0.11036739732675026</v>
      </c>
      <c r="C6" s="11">
        <f t="shared" ref="C6:C24" si="1">B6-B5</f>
        <v>0.11036739732675026</v>
      </c>
      <c r="D6" s="5">
        <f t="shared" ref="D6:D26" si="2">-($C$2*LN(1-F6))</f>
        <v>0.44146958930700103</v>
      </c>
      <c r="E6" s="16">
        <f>D6-D5</f>
        <v>0.44146958930700103</v>
      </c>
      <c r="F6" s="13">
        <v>0.05</v>
      </c>
      <c r="G6" s="5">
        <f t="shared" ref="G6:G24" si="3">IF(H5&lt;$I$2,G5+E6,G5+C6)</f>
        <v>0.44146958930700103</v>
      </c>
      <c r="H6" s="6">
        <f t="shared" ref="H6:H26" si="4">$D$2*$F6</f>
        <v>370</v>
      </c>
      <c r="I6" s="6">
        <f t="shared" ref="I6:I26" si="5">0.5*$E$2*(H6*0.105)^2</f>
        <v>3.4336598699730607</v>
      </c>
      <c r="J6" s="6">
        <f>IF(H6&lt;$I$2,(1-F6)*$G$2/(1/Calculations!$L$11),(1-F6)*$G$2)</f>
        <v>20.436046511627907</v>
      </c>
    </row>
    <row r="7" spans="1:10">
      <c r="B7" s="5">
        <f t="shared" si="0"/>
        <v>0.22670343234925716</v>
      </c>
      <c r="C7" s="11">
        <f t="shared" si="1"/>
        <v>0.1163360350225069</v>
      </c>
      <c r="D7" s="5">
        <f t="shared" si="2"/>
        <v>0.90681372939702864</v>
      </c>
      <c r="E7" s="16">
        <f t="shared" ref="E7:E24" si="6">D7-D6</f>
        <v>0.46534414009002761</v>
      </c>
      <c r="F7" s="13">
        <v>0.1</v>
      </c>
      <c r="G7" s="5">
        <f t="shared" si="3"/>
        <v>0.90681372939702864</v>
      </c>
      <c r="H7" s="6">
        <f t="shared" si="4"/>
        <v>740</v>
      </c>
      <c r="I7" s="6">
        <f t="shared" si="5"/>
        <v>13.734639479892243</v>
      </c>
      <c r="J7" s="6">
        <f>IF(H7&lt;$I$2,(1-F7)*$G$2/(1/Calculations!$L$11),(1-F7)*$G$2)</f>
        <v>19.36046511627907</v>
      </c>
    </row>
    <row r="8" spans="1:10">
      <c r="B8" s="5">
        <f t="shared" si="0"/>
        <v>0.34969076326968163</v>
      </c>
      <c r="C8" s="11">
        <f t="shared" si="1"/>
        <v>0.12298733092042446</v>
      </c>
      <c r="D8" s="5">
        <f t="shared" si="2"/>
        <v>1.3987630530787265</v>
      </c>
      <c r="E8" s="16">
        <f t="shared" si="6"/>
        <v>0.49194932368169786</v>
      </c>
      <c r="F8" s="13">
        <v>0.15</v>
      </c>
      <c r="G8" s="5">
        <f t="shared" si="3"/>
        <v>1.3987630530787265</v>
      </c>
      <c r="H8" s="6">
        <f t="shared" si="4"/>
        <v>1110</v>
      </c>
      <c r="I8" s="6">
        <f t="shared" si="5"/>
        <v>30.902938829757542</v>
      </c>
      <c r="J8" s="6">
        <f>IF(H8&lt;$I$2,(1-F8)*$G$2/(1/Calculations!$L$11),(1-F8)*$G$2)</f>
        <v>73.139534883720927</v>
      </c>
    </row>
    <row r="9" spans="1:10">
      <c r="B9" s="5">
        <f t="shared" si="0"/>
        <v>0.48013630792985068</v>
      </c>
      <c r="C9" s="11">
        <f t="shared" si="1"/>
        <v>0.13044554466016905</v>
      </c>
      <c r="D9" s="5">
        <f t="shared" si="2"/>
        <v>1.9205452317194027</v>
      </c>
      <c r="E9" s="16">
        <f t="shared" si="6"/>
        <v>0.52178217864067622</v>
      </c>
      <c r="F9" s="13">
        <v>0.2</v>
      </c>
      <c r="G9" s="5">
        <f t="shared" si="3"/>
        <v>1.5292085977388956</v>
      </c>
      <c r="H9" s="6">
        <f t="shared" si="4"/>
        <v>1480</v>
      </c>
      <c r="I9" s="6">
        <f t="shared" si="5"/>
        <v>54.938557919568971</v>
      </c>
      <c r="J9" s="6">
        <f>IF(H9&lt;$I$2,(1-F9)*$G$2/(1/Calculations!$L$11),(1-F9)*$G$2)</f>
        <v>68.83720930232559</v>
      </c>
    </row>
    <row r="10" spans="1:10">
      <c r="B10" s="5">
        <f t="shared" si="0"/>
        <v>0.61900336044266424</v>
      </c>
      <c r="C10" s="11">
        <f t="shared" si="1"/>
        <v>0.13886705251281356</v>
      </c>
      <c r="D10" s="5">
        <f t="shared" si="2"/>
        <v>2.476013441770657</v>
      </c>
      <c r="E10" s="16">
        <f t="shared" si="6"/>
        <v>0.55546821005125424</v>
      </c>
      <c r="F10" s="13">
        <v>0.25</v>
      </c>
      <c r="G10" s="5">
        <f t="shared" si="3"/>
        <v>1.6680756502517091</v>
      </c>
      <c r="H10" s="6">
        <f t="shared" si="4"/>
        <v>1850</v>
      </c>
      <c r="I10" s="6">
        <f t="shared" si="5"/>
        <v>85.84149674932651</v>
      </c>
      <c r="J10" s="6">
        <f>IF(H10&lt;$I$2,(1-F10)*$G$2/(1/Calculations!$L$11),(1-F10)*$G$2)</f>
        <v>64.534883720930239</v>
      </c>
    </row>
    <row r="11" spans="1:10">
      <c r="B11" s="5">
        <f t="shared" si="0"/>
        <v>0.76745480523740406</v>
      </c>
      <c r="C11" s="11">
        <f t="shared" si="1"/>
        <v>0.14845144479473982</v>
      </c>
      <c r="D11" s="5">
        <f t="shared" si="2"/>
        <v>3.0698192209496162</v>
      </c>
      <c r="E11" s="16">
        <f t="shared" si="6"/>
        <v>0.59380577917895927</v>
      </c>
      <c r="F11" s="13">
        <v>0.3</v>
      </c>
      <c r="G11" s="5">
        <f t="shared" si="3"/>
        <v>1.8165270950464489</v>
      </c>
      <c r="H11" s="6">
        <f t="shared" si="4"/>
        <v>2220</v>
      </c>
      <c r="I11" s="6">
        <f t="shared" si="5"/>
        <v>123.61175531903017</v>
      </c>
      <c r="J11" s="6">
        <f>IF(H11&lt;$I$2,(1-F11)*$G$2/(1/Calculations!$L$11),(1-F11)*$G$2)</f>
        <v>60.232558139534881</v>
      </c>
    </row>
    <row r="12" spans="1:10">
      <c r="B12" s="5">
        <f t="shared" si="0"/>
        <v>0.92691237382271818</v>
      </c>
      <c r="C12" s="11">
        <f t="shared" si="1"/>
        <v>0.15945756858531412</v>
      </c>
      <c r="D12" s="5">
        <f t="shared" si="2"/>
        <v>3.7076494952908727</v>
      </c>
      <c r="E12" s="16">
        <f t="shared" si="6"/>
        <v>0.6378302743412565</v>
      </c>
      <c r="F12" s="13">
        <v>0.35</v>
      </c>
      <c r="G12" s="5">
        <f t="shared" si="3"/>
        <v>1.9759846636317631</v>
      </c>
      <c r="H12" s="6">
        <f t="shared" si="4"/>
        <v>2590</v>
      </c>
      <c r="I12" s="6">
        <f t="shared" si="5"/>
        <v>168.24933362867992</v>
      </c>
      <c r="J12" s="6">
        <f>IF(H12&lt;$I$2,(1-F12)*$G$2/(1/Calculations!$L$11),(1-F12)*$G$2)</f>
        <v>55.930232558139537</v>
      </c>
    </row>
    <row r="13" spans="1:10">
      <c r="B13" s="5">
        <f t="shared" si="0"/>
        <v>1.0991396683725152</v>
      </c>
      <c r="C13" s="11">
        <f t="shared" si="1"/>
        <v>0.17222729454979702</v>
      </c>
      <c r="D13" s="5">
        <f t="shared" si="2"/>
        <v>4.3965586734900608</v>
      </c>
      <c r="E13" s="16">
        <f t="shared" si="6"/>
        <v>0.68890917819918807</v>
      </c>
      <c r="F13" s="13">
        <v>0.4</v>
      </c>
      <c r="G13" s="5">
        <f t="shared" si="3"/>
        <v>2.1482119581815602</v>
      </c>
      <c r="H13" s="6">
        <f t="shared" si="4"/>
        <v>2960</v>
      </c>
      <c r="I13" s="6">
        <f t="shared" si="5"/>
        <v>219.75423167827589</v>
      </c>
      <c r="J13" s="6">
        <f>IF(H13&lt;$I$2,(1-F13)*$G$2/(1/Calculations!$L$11),(1-F13)*$G$2)</f>
        <v>51.627906976744185</v>
      </c>
    </row>
    <row r="14" spans="1:10">
      <c r="B14" s="5">
        <f t="shared" si="0"/>
        <v>1.2863613964916769</v>
      </c>
      <c r="C14" s="11">
        <f t="shared" si="1"/>
        <v>0.18722172811916171</v>
      </c>
      <c r="D14" s="5">
        <f t="shared" si="2"/>
        <v>5.1454455859667076</v>
      </c>
      <c r="E14" s="16">
        <f t="shared" si="6"/>
        <v>0.74888691247664685</v>
      </c>
      <c r="F14" s="13">
        <v>0.45</v>
      </c>
      <c r="G14" s="5">
        <f t="shared" si="3"/>
        <v>2.3354336863007221</v>
      </c>
      <c r="H14" s="6">
        <f t="shared" si="4"/>
        <v>3330</v>
      </c>
      <c r="I14" s="6">
        <f t="shared" si="5"/>
        <v>278.12644946781785</v>
      </c>
      <c r="J14" s="6">
        <f>IF(H14&lt;$I$2,(1-F14)*$G$2/(1/Calculations!$L$11),(1-F14)*$G$2)</f>
        <v>47.325581395348841</v>
      </c>
    </row>
    <row r="15" spans="1:10">
      <c r="B15" s="5">
        <f t="shared" si="0"/>
        <v>1.4914395964659222</v>
      </c>
      <c r="C15" s="11">
        <f t="shared" si="1"/>
        <v>0.20507819997424526</v>
      </c>
      <c r="D15" s="5">
        <f t="shared" si="2"/>
        <v>5.9657583858636887</v>
      </c>
      <c r="E15" s="16">
        <f t="shared" si="6"/>
        <v>0.82031279989698103</v>
      </c>
      <c r="F15" s="13">
        <v>0.5</v>
      </c>
      <c r="G15" s="5">
        <f t="shared" si="3"/>
        <v>2.5405118862749676</v>
      </c>
      <c r="H15" s="6">
        <f t="shared" si="4"/>
        <v>3700</v>
      </c>
      <c r="I15" s="6">
        <f t="shared" si="5"/>
        <v>343.36598699730604</v>
      </c>
      <c r="J15" s="6">
        <f>IF(H15&lt;$I$2,(1-F15)*$G$2/(1/Calculations!$L$11),(1-F15)*$G$2)</f>
        <v>43.02325581395349</v>
      </c>
    </row>
    <row r="16" spans="1:10">
      <c r="B16" s="5">
        <f t="shared" si="0"/>
        <v>1.7181430288151796</v>
      </c>
      <c r="C16" s="11">
        <f t="shared" si="1"/>
        <v>0.22670343234925738</v>
      </c>
      <c r="D16" s="5">
        <f t="shared" si="2"/>
        <v>6.8725721152607182</v>
      </c>
      <c r="E16" s="16">
        <f t="shared" si="6"/>
        <v>0.90681372939702953</v>
      </c>
      <c r="F16" s="13">
        <v>0.55000000000000004</v>
      </c>
      <c r="G16" s="5">
        <f t="shared" si="3"/>
        <v>2.767215318624225</v>
      </c>
      <c r="H16" s="6">
        <f t="shared" si="4"/>
        <v>4070.0000000000005</v>
      </c>
      <c r="I16" s="6">
        <f t="shared" si="5"/>
        <v>415.47284426674031</v>
      </c>
      <c r="J16" s="6">
        <f>IF(H16&lt;$I$2,(1-F16)*$G$2/(1/Calculations!$L$11),(1-F16)*$G$2)</f>
        <v>38.720930232558139</v>
      </c>
    </row>
    <row r="17" spans="2:15">
      <c r="B17" s="5">
        <f t="shared" si="0"/>
        <v>1.9715759043957728</v>
      </c>
      <c r="C17" s="11">
        <f t="shared" si="1"/>
        <v>0.25343287558059324</v>
      </c>
      <c r="D17" s="5">
        <f t="shared" si="2"/>
        <v>7.8863036175830912</v>
      </c>
      <c r="E17" s="16">
        <f t="shared" si="6"/>
        <v>1.013731502322373</v>
      </c>
      <c r="F17" s="13">
        <v>0.6</v>
      </c>
      <c r="G17" s="5">
        <f t="shared" si="3"/>
        <v>3.020648194204818</v>
      </c>
      <c r="H17" s="6">
        <f t="shared" si="4"/>
        <v>4440</v>
      </c>
      <c r="I17" s="6">
        <f t="shared" si="5"/>
        <v>494.44702127612067</v>
      </c>
      <c r="J17" s="6">
        <f>IF(H17&lt;$I$2,(1-F17)*$G$2/(1/Calculations!$L$11),(1-F17)*$G$2)</f>
        <v>34.418604651162795</v>
      </c>
    </row>
    <row r="18" spans="2:15">
      <c r="B18" s="5">
        <f t="shared" si="0"/>
        <v>2.2588944017033263</v>
      </c>
      <c r="C18" s="11">
        <f t="shared" si="1"/>
        <v>0.28731849730755354</v>
      </c>
      <c r="D18" s="5">
        <f t="shared" si="2"/>
        <v>9.0355776068133054</v>
      </c>
      <c r="E18" s="16">
        <f t="shared" si="6"/>
        <v>1.1492739892302142</v>
      </c>
      <c r="F18" s="13">
        <v>0.65</v>
      </c>
      <c r="G18" s="5">
        <f t="shared" si="3"/>
        <v>3.3079666915123713</v>
      </c>
      <c r="H18" s="6">
        <f t="shared" si="4"/>
        <v>4810</v>
      </c>
      <c r="I18" s="6">
        <f t="shared" si="5"/>
        <v>580.28851802544705</v>
      </c>
      <c r="J18" s="6">
        <f>IF(H18&lt;$I$2,(1-F18)*$G$2/(1/Calculations!$L$11),(1-F18)*$G$2)</f>
        <v>30.11627906976744</v>
      </c>
    </row>
    <row r="19" spans="2:15">
      <c r="B19" s="5">
        <f t="shared" si="0"/>
        <v>2.5905792648384369</v>
      </c>
      <c r="C19" s="11">
        <f t="shared" si="1"/>
        <v>0.33168486313511059</v>
      </c>
      <c r="D19" s="5">
        <f t="shared" si="2"/>
        <v>10.362317059353748</v>
      </c>
      <c r="E19" s="16">
        <f t="shared" si="6"/>
        <v>1.3267394525404423</v>
      </c>
      <c r="F19" s="13">
        <v>0.7</v>
      </c>
      <c r="G19" s="5">
        <f t="shared" si="3"/>
        <v>3.6396515546474819</v>
      </c>
      <c r="H19" s="6">
        <f t="shared" si="4"/>
        <v>5180</v>
      </c>
      <c r="I19" s="6">
        <f t="shared" si="5"/>
        <v>672.99733451471968</v>
      </c>
      <c r="J19" s="6">
        <f>IF(H19&lt;$I$2,(1-F19)*$G$2/(1/Calculations!$L$11),(1-F19)*$G$2)</f>
        <v>25.813953488372096</v>
      </c>
      <c r="M19" s="174" t="s">
        <v>63</v>
      </c>
      <c r="N19" s="175"/>
      <c r="O19" s="176"/>
    </row>
    <row r="20" spans="2:15">
      <c r="B20" s="5">
        <f t="shared" si="0"/>
        <v>2.9828791929318443</v>
      </c>
      <c r="C20" s="11">
        <f t="shared" si="1"/>
        <v>0.39229992809340741</v>
      </c>
      <c r="D20" s="5">
        <f t="shared" si="2"/>
        <v>11.931516771727377</v>
      </c>
      <c r="E20" s="16">
        <f t="shared" si="6"/>
        <v>1.5691997123736297</v>
      </c>
      <c r="F20" s="13">
        <v>0.75</v>
      </c>
      <c r="G20" s="5">
        <f t="shared" si="3"/>
        <v>4.0319514827408893</v>
      </c>
      <c r="H20" s="6">
        <f t="shared" si="4"/>
        <v>5550</v>
      </c>
      <c r="I20" s="6">
        <f t="shared" si="5"/>
        <v>772.57347074393851</v>
      </c>
      <c r="J20" s="6">
        <f>IF(H20&lt;$I$2,(1-F20)*$G$2/(1/Calculations!$L$11),(1-F20)*$G$2)</f>
        <v>21.511627906976745</v>
      </c>
      <c r="M20" s="24" t="s">
        <v>58</v>
      </c>
      <c r="N20" s="19">
        <v>192</v>
      </c>
      <c r="O20" s="21" t="s">
        <v>60</v>
      </c>
    </row>
    <row r="21" spans="2:15">
      <c r="B21" s="5">
        <f t="shared" si="0"/>
        <v>3.4630155008616956</v>
      </c>
      <c r="C21" s="11">
        <f t="shared" si="1"/>
        <v>0.48013630792985129</v>
      </c>
      <c r="D21" s="5">
        <f t="shared" si="2"/>
        <v>13.852062003446783</v>
      </c>
      <c r="E21" s="16">
        <f t="shared" si="6"/>
        <v>1.9205452317194052</v>
      </c>
      <c r="F21" s="13">
        <v>0.8</v>
      </c>
      <c r="G21" s="5">
        <f t="shared" si="3"/>
        <v>4.5120877906707406</v>
      </c>
      <c r="H21" s="6">
        <f t="shared" si="4"/>
        <v>5920</v>
      </c>
      <c r="I21" s="6">
        <f t="shared" si="5"/>
        <v>879.01692671310354</v>
      </c>
      <c r="J21" s="6">
        <f>IF(H21&lt;$I$2,(1-F21)*$G$2/(1/Calculations!$L$11),(1-F21)*$G$2)</f>
        <v>17.209302325581394</v>
      </c>
      <c r="M21" s="25" t="s">
        <v>61</v>
      </c>
      <c r="N21" s="4">
        <v>14.8</v>
      </c>
      <c r="O21" s="22" t="s">
        <v>59</v>
      </c>
    </row>
    <row r="22" spans="2:15">
      <c r="B22" s="5">
        <f t="shared" si="0"/>
        <v>4.0820188613043591</v>
      </c>
      <c r="C22" s="11">
        <f t="shared" si="1"/>
        <v>0.61900336044266346</v>
      </c>
      <c r="D22" s="5">
        <f t="shared" si="2"/>
        <v>16.328075445217436</v>
      </c>
      <c r="E22" s="16">
        <f t="shared" si="6"/>
        <v>2.4760134417706539</v>
      </c>
      <c r="F22" s="13">
        <v>0.85</v>
      </c>
      <c r="G22" s="5">
        <f t="shared" si="3"/>
        <v>5.1310911511134041</v>
      </c>
      <c r="H22" s="6">
        <f t="shared" si="4"/>
        <v>6290</v>
      </c>
      <c r="I22" s="6">
        <f t="shared" si="5"/>
        <v>992.3277024222142</v>
      </c>
      <c r="J22" s="6">
        <f>IF(H22&lt;$I$2,(1-F22)*$G$2/(1/Calculations!$L$11),(1-F22)*$G$2)</f>
        <v>12.906976744186048</v>
      </c>
      <c r="M22" s="26" t="s">
        <v>47</v>
      </c>
      <c r="N22" s="33">
        <f>1000*N21/N20</f>
        <v>77.083333333333329</v>
      </c>
      <c r="O22" s="23" t="s">
        <v>62</v>
      </c>
    </row>
    <row r="23" spans="2:15">
      <c r="B23" s="5">
        <f t="shared" si="0"/>
        <v>4.9544550973276182</v>
      </c>
      <c r="C23" s="11">
        <f t="shared" si="1"/>
        <v>0.87243623602325915</v>
      </c>
      <c r="D23" s="5">
        <f t="shared" si="2"/>
        <v>19.817820389310473</v>
      </c>
      <c r="E23" s="16">
        <f t="shared" si="6"/>
        <v>3.4897449440930366</v>
      </c>
      <c r="F23" s="13">
        <v>0.9</v>
      </c>
      <c r="G23" s="5">
        <f t="shared" si="3"/>
        <v>6.0035273871366632</v>
      </c>
      <c r="H23" s="6">
        <f t="shared" si="4"/>
        <v>6660</v>
      </c>
      <c r="I23" s="6">
        <f t="shared" si="5"/>
        <v>1112.5057978712714</v>
      </c>
      <c r="J23" s="6">
        <f>IF(H23&lt;$I$2,(1-F23)*$G$2/(1/Calculations!$L$11),(1-F23)*$G$2)</f>
        <v>8.604651162790697</v>
      </c>
    </row>
    <row r="24" spans="2:15">
      <c r="B24" s="5">
        <f t="shared" si="0"/>
        <v>6.4458946937935373</v>
      </c>
      <c r="C24" s="11">
        <f t="shared" si="1"/>
        <v>1.4914395964659191</v>
      </c>
      <c r="D24" s="5">
        <f t="shared" si="2"/>
        <v>25.783578775174149</v>
      </c>
      <c r="E24" s="16">
        <f t="shared" si="6"/>
        <v>5.9657583858636762</v>
      </c>
      <c r="F24" s="13">
        <v>0.95</v>
      </c>
      <c r="G24" s="5">
        <f t="shared" si="3"/>
        <v>7.4949669836025823</v>
      </c>
      <c r="H24" s="6">
        <f t="shared" si="4"/>
        <v>7030</v>
      </c>
      <c r="I24" s="6">
        <f t="shared" si="5"/>
        <v>1239.5512130602747</v>
      </c>
      <c r="J24" s="6">
        <f>IF(H24&lt;$I$2,(1-F24)*$G$2/(1/Calculations!$L$11),(1-F24)*$G$2)</f>
        <v>4.3023255813953529</v>
      </c>
    </row>
    <row r="26" spans="2:15">
      <c r="B26" s="27">
        <f t="shared" si="0"/>
        <v>2.152157203778347</v>
      </c>
      <c r="C26" s="28">
        <f>B26-B$17</f>
        <v>0.18058129938257417</v>
      </c>
      <c r="D26" s="27">
        <f t="shared" si="2"/>
        <v>8.6086288151133878</v>
      </c>
      <c r="E26" s="29">
        <f>D26-D$17</f>
        <v>0.72232519753029667</v>
      </c>
      <c r="F26" s="30">
        <v>0.63219999999999998</v>
      </c>
      <c r="G26" s="27">
        <f>IF(H17&lt;$I$2,G$17+E26,G$17+C26)</f>
        <v>3.2012294935873919</v>
      </c>
      <c r="H26" s="31">
        <f t="shared" si="4"/>
        <v>4678.28</v>
      </c>
      <c r="I26" s="31">
        <f t="shared" si="5"/>
        <v>548.94173058625734</v>
      </c>
      <c r="J26" s="31">
        <f>IF(H26&lt;$I$2,(1-F26)*$G$2/(1/Calculations!$L$11),(1-F26)*$G$2)</f>
        <v>31.647906976744189</v>
      </c>
    </row>
    <row r="27" spans="2:15" ht="12.75" customHeight="1"/>
  </sheetData>
  <mergeCells count="1">
    <mergeCell ref="M19:O19"/>
  </mergeCells>
  <phoneticPr fontId="0" type="noConversion"/>
  <conditionalFormatting sqref="I5:I24 I26">
    <cfRule type="expression" dxfId="4" priority="12">
      <formula>$H5&lt;I$2</formula>
    </cfRule>
  </conditionalFormatting>
  <conditionalFormatting sqref="H5:H24 H26">
    <cfRule type="cellIs" dxfId="3" priority="28" operator="lessThan">
      <formula>$I$2</formula>
    </cfRule>
  </conditionalFormatting>
  <conditionalFormatting sqref="J5:J24 J26">
    <cfRule type="expression" dxfId="2" priority="30">
      <formula>$H5&lt;I$2</formula>
    </cfRule>
  </conditionalFormatting>
  <conditionalFormatting sqref="G5:G24 G26">
    <cfRule type="expression" dxfId="1" priority="31">
      <formula>$H5&lt;I$2</formula>
    </cfRule>
  </conditionalFormatting>
  <conditionalFormatting sqref="N22">
    <cfRule type="expression" dxfId="0" priority="36">
      <formula>$H23&lt;M$2</formula>
    </cfRule>
  </conditionalFormatting>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Instructions</vt:lpstr>
      <vt:lpstr>Calculations</vt:lpstr>
      <vt:lpstr>Data Table</vt:lpstr>
      <vt:lpstr>Calculations!Print_Area</vt:lpstr>
      <vt:lpstr>seconds</vt:lpstr>
    </vt:vector>
  </TitlesOfParts>
  <Company>ODOT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odot26b</dc:creator>
  <cp:lastModifiedBy>Windows User</cp:lastModifiedBy>
  <cp:lastPrinted>2007-02-09T00:44:08Z</cp:lastPrinted>
  <dcterms:created xsi:type="dcterms:W3CDTF">2006-05-16T21:03:43Z</dcterms:created>
  <dcterms:modified xsi:type="dcterms:W3CDTF">2023-12-26T20:15:26Z</dcterms:modified>
</cp:coreProperties>
</file>