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K" sheetId="1" r:id="rId4"/>
  </sheets>
  <definedNames/>
  <calcPr/>
</workbook>
</file>

<file path=xl/sharedStrings.xml><?xml version="1.0" encoding="utf-8"?>
<sst xmlns="http://schemas.openxmlformats.org/spreadsheetml/2006/main" count="63" uniqueCount="54">
  <si>
    <t>Year</t>
  </si>
  <si>
    <t>Month</t>
  </si>
  <si>
    <t>Month No.</t>
  </si>
  <si>
    <t>ASSETS</t>
  </si>
  <si>
    <t>Insuarance</t>
  </si>
  <si>
    <t>Short-term investment in U.S. Treasury Bills</t>
  </si>
  <si>
    <t>FIxed Maturity Securities</t>
  </si>
  <si>
    <t>Equity Securities</t>
  </si>
  <si>
    <t>Equity Method Investments</t>
  </si>
  <si>
    <t>Loans Receiveables</t>
  </si>
  <si>
    <t>Property, Plant and Equipment</t>
  </si>
  <si>
    <t>Equipment held for lease/ Service model</t>
  </si>
  <si>
    <t>Goodwill</t>
  </si>
  <si>
    <t>LIABILITIES</t>
  </si>
  <si>
    <t>Insuarance and Others</t>
  </si>
  <si>
    <t>Unpaid Losses</t>
  </si>
  <si>
    <t>Unearned Premiums</t>
  </si>
  <si>
    <t>Life, Annuity and Insuarance Benefits</t>
  </si>
  <si>
    <t>Notes payable and other borrowings</t>
  </si>
  <si>
    <t>Accounts payable</t>
  </si>
  <si>
    <t>SHAREHOLDER'S EQUITY</t>
  </si>
  <si>
    <t>Capital in excess of par value</t>
  </si>
  <si>
    <t>Retained earnings</t>
  </si>
  <si>
    <t>Treasury stock, at cost</t>
  </si>
  <si>
    <t>EXTERNAL FACTORS</t>
  </si>
  <si>
    <t>10-Year Treasury Constant Maturity Rate</t>
  </si>
  <si>
    <t>10-Year Breakeven Inflation Rate</t>
  </si>
  <si>
    <t>GDP based Recession Indicator</t>
  </si>
  <si>
    <t>Unemployment Rate</t>
  </si>
  <si>
    <t xml:space="preserve">Equity Market Volatility Tracker: Business Investment </t>
  </si>
  <si>
    <t>Gold Price</t>
  </si>
  <si>
    <t>INCOME STATEMENT</t>
  </si>
  <si>
    <t>Total Revenue</t>
  </si>
  <si>
    <t>Investment and derivative contract gains</t>
  </si>
  <si>
    <t>Cost of Sales and Services</t>
  </si>
  <si>
    <t>Selling, general and administrative expenses</t>
  </si>
  <si>
    <t>Total Costs and Expense</t>
  </si>
  <si>
    <t>Net Earnings per class A share</t>
  </si>
  <si>
    <t>Net Earnings per class B share</t>
  </si>
  <si>
    <t>Comprehensive income - BH shareholders</t>
  </si>
  <si>
    <t>RATIOS</t>
  </si>
  <si>
    <t>P/E Ratio</t>
  </si>
  <si>
    <t>Diluted EPS</t>
  </si>
  <si>
    <t>D/E ratio</t>
  </si>
  <si>
    <t>ROE (%)</t>
  </si>
  <si>
    <t>ROA (%)</t>
  </si>
  <si>
    <t>ROCE (%) (A)</t>
  </si>
  <si>
    <t>ROIC (%)</t>
  </si>
  <si>
    <t>Operating Margin</t>
  </si>
  <si>
    <t>BRK-A</t>
  </si>
  <si>
    <t>BRK-B</t>
  </si>
  <si>
    <t>Month +1</t>
  </si>
  <si>
    <t>Month +2</t>
  </si>
  <si>
    <t>Month +3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</si>
</sst>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TimesNewRomanPSMT"/>
    </font>
    <font>
      <color rgb="FF000000"/>
      <name val="Arial"/>
      <scheme val="minor"/>
    </font>
    <font>
      <sz val="10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Calibri"/>
    </font>
    <font>
      <sz val="8.0"/>
      <color rgb="FF000000"/>
      <name val="&quot;Helvetica Neue&quot;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3" fontId="2" numFmtId="0" xfId="0" applyAlignment="1" applyFill="1" applyFont="1">
      <alignment readingOrder="0" vertical="bottom"/>
    </xf>
    <xf borderId="0" fillId="3" fontId="1" numFmtId="0" xfId="0" applyFont="1"/>
    <xf borderId="0" fillId="3" fontId="1" numFmtId="164" xfId="0" applyAlignment="1" applyFont="1" applyNumberFormat="1">
      <alignment readingOrder="0"/>
    </xf>
    <xf borderId="0" fillId="4" fontId="2" numFmtId="0" xfId="0" applyAlignment="1" applyFill="1" applyFont="1">
      <alignment readingOrder="0" vertical="bottom"/>
    </xf>
    <xf borderId="0" fillId="4" fontId="1" numFmtId="0" xfId="0" applyFont="1"/>
    <xf borderId="0" fillId="4" fontId="1" numFmtId="0" xfId="0" applyAlignment="1" applyFont="1">
      <alignment readingOrder="0"/>
    </xf>
    <xf borderId="0" fillId="5" fontId="2" numFmtId="0" xfId="0" applyAlignment="1" applyFill="1" applyFont="1">
      <alignment vertical="bottom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6" fontId="3" numFmtId="0" xfId="0" applyAlignment="1" applyFill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vertical="top"/>
    </xf>
    <xf borderId="0" fillId="0" fontId="3" numFmtId="0" xfId="0" applyAlignment="1" applyFont="1">
      <alignment shrinkToFit="0" vertical="top" wrapText="0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right" vertical="top"/>
    </xf>
    <xf borderId="0" fillId="0" fontId="5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6" numFmtId="0" xfId="0" applyFont="1"/>
    <xf borderId="0" fillId="7" fontId="6" numFmtId="0" xfId="0" applyFill="1" applyFont="1"/>
    <xf borderId="0" fillId="8" fontId="6" numFmtId="0" xfId="0" applyFill="1" applyFont="1"/>
    <xf borderId="0" fillId="0" fontId="3" numFmtId="0" xfId="0" applyAlignment="1" applyFont="1">
      <alignment shrinkToFit="0" vertical="bottom" wrapText="0"/>
    </xf>
    <xf borderId="0" fillId="7" fontId="3" numFmtId="0" xfId="0" applyAlignment="1" applyFont="1">
      <alignment readingOrder="0" vertical="bottom"/>
    </xf>
    <xf borderId="0" fillId="7" fontId="1" numFmtId="0" xfId="0" applyFont="1"/>
    <xf borderId="0" fillId="7" fontId="6" numFmtId="0" xfId="0" applyAlignment="1" applyFont="1">
      <alignment readingOrder="0"/>
    </xf>
    <xf borderId="0" fillId="7" fontId="0" numFmtId="0" xfId="0" applyAlignment="1" applyFont="1">
      <alignment readingOrder="0" vertical="top"/>
    </xf>
    <xf borderId="0" fillId="7" fontId="7" numFmtId="0" xfId="0" applyAlignment="1" applyFont="1">
      <alignment readingOrder="0"/>
    </xf>
    <xf borderId="0" fillId="0" fontId="0" numFmtId="0" xfId="0" applyAlignment="1" applyFont="1">
      <alignment readingOrder="0" vertical="top"/>
    </xf>
    <xf borderId="0" fillId="7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4" fontId="6" numFmtId="0" xfId="0" applyAlignment="1" applyFont="1">
      <alignment readingOrder="0"/>
    </xf>
    <xf borderId="0" fillId="0" fontId="8" numFmtId="0" xfId="0" applyAlignment="1" applyFont="1">
      <alignment horizontal="right" readingOrder="0" shrinkToFit="0" vertical="bottom" wrapText="0"/>
    </xf>
    <xf borderId="0" fillId="8" fontId="6" numFmtId="0" xfId="0" applyAlignment="1" applyFont="1">
      <alignment readingOrder="0"/>
    </xf>
    <xf borderId="0" fillId="8" fontId="1" numFmtId="0" xfId="0" applyFont="1"/>
    <xf borderId="0" fillId="8" fontId="0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D1" s="2">
        <v>2023.0</v>
      </c>
      <c r="H1" s="3">
        <v>2022.0</v>
      </c>
      <c r="L1" s="3">
        <v>2021.0</v>
      </c>
      <c r="P1" s="3">
        <v>2020.0</v>
      </c>
      <c r="T1" s="3">
        <v>2019.0</v>
      </c>
      <c r="AB1" s="3">
        <v>2017.0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>
      <c r="A2" s="4" t="s">
        <v>1</v>
      </c>
      <c r="B2" s="5"/>
      <c r="C2" s="5"/>
      <c r="D2" s="6">
        <v>45657.0</v>
      </c>
      <c r="E2" s="6">
        <v>45565.0</v>
      </c>
      <c r="F2" s="6">
        <v>45473.0</v>
      </c>
      <c r="G2" s="6">
        <v>45382.0</v>
      </c>
      <c r="H2" s="6">
        <v>46022.0</v>
      </c>
      <c r="I2" s="6">
        <v>45930.0</v>
      </c>
      <c r="J2" s="6">
        <v>45838.0</v>
      </c>
      <c r="K2" s="6">
        <v>45747.0</v>
      </c>
      <c r="L2" s="6">
        <v>46387.0</v>
      </c>
      <c r="M2" s="6">
        <v>46295.0</v>
      </c>
      <c r="N2" s="6">
        <v>46203.0</v>
      </c>
      <c r="O2" s="6">
        <v>46112.0</v>
      </c>
      <c r="P2" s="6">
        <v>46752.0</v>
      </c>
      <c r="Q2" s="6">
        <v>46660.0</v>
      </c>
      <c r="R2" s="6">
        <v>46568.0</v>
      </c>
      <c r="S2" s="6">
        <v>46477.0</v>
      </c>
      <c r="T2" s="6">
        <v>47118.0</v>
      </c>
      <c r="U2" s="6">
        <v>47026.0</v>
      </c>
      <c r="V2" s="6">
        <v>46934.0</v>
      </c>
      <c r="W2" s="6">
        <v>46843.0</v>
      </c>
      <c r="AB2" s="6">
        <v>47573.0</v>
      </c>
      <c r="AC2" s="6">
        <v>47664.0</v>
      </c>
      <c r="AD2" s="6">
        <v>47756.0</v>
      </c>
      <c r="AE2" s="6">
        <v>47848.0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</row>
    <row r="3">
      <c r="A3" s="7" t="s">
        <v>2</v>
      </c>
      <c r="B3" s="8"/>
      <c r="C3" s="8"/>
      <c r="D3" s="9">
        <v>12.0</v>
      </c>
      <c r="E3" s="9">
        <v>9.0</v>
      </c>
      <c r="F3" s="9">
        <v>6.0</v>
      </c>
      <c r="G3" s="9">
        <v>3.0</v>
      </c>
      <c r="H3" s="9">
        <v>12.0</v>
      </c>
      <c r="I3" s="9">
        <v>9.0</v>
      </c>
      <c r="J3" s="9">
        <v>6.0</v>
      </c>
      <c r="K3" s="9">
        <v>3.0</v>
      </c>
      <c r="L3" s="9">
        <v>12.0</v>
      </c>
      <c r="M3" s="9">
        <v>9.0</v>
      </c>
      <c r="N3" s="9">
        <v>6.0</v>
      </c>
      <c r="O3" s="9">
        <v>3.0</v>
      </c>
      <c r="P3" s="9">
        <v>12.0</v>
      </c>
      <c r="Q3" s="9">
        <v>9.0</v>
      </c>
      <c r="R3" s="9">
        <v>6.0</v>
      </c>
      <c r="S3" s="9">
        <v>3.0</v>
      </c>
      <c r="T3" s="9">
        <v>12.0</v>
      </c>
      <c r="U3" s="9">
        <v>9.0</v>
      </c>
      <c r="V3" s="9">
        <v>6.0</v>
      </c>
      <c r="W3" s="9">
        <v>3.0</v>
      </c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</row>
    <row r="4">
      <c r="A4" s="10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AB4" s="11">
        <v>2018.0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>
      <c r="A5" s="12" t="s">
        <v>4</v>
      </c>
      <c r="AB5" s="13">
        <v>47208.0</v>
      </c>
      <c r="AC5" s="13">
        <v>47299.0</v>
      </c>
      <c r="AD5" s="13">
        <v>47391.0</v>
      </c>
      <c r="AE5" s="13">
        <v>47483.0</v>
      </c>
    </row>
    <row r="6">
      <c r="A6" s="14" t="s">
        <v>5</v>
      </c>
      <c r="D6" s="15">
        <v>129619.0</v>
      </c>
      <c r="E6" s="15">
        <v>126401.0</v>
      </c>
      <c r="F6" s="15">
        <v>97322.0</v>
      </c>
      <c r="G6" s="15">
        <v>103869.0</v>
      </c>
      <c r="H6" s="15">
        <v>92774.0</v>
      </c>
      <c r="I6" s="15">
        <v>76332.0</v>
      </c>
      <c r="J6" s="15">
        <v>74803.0</v>
      </c>
      <c r="K6" s="15">
        <v>67145.0</v>
      </c>
      <c r="L6" s="15">
        <v>58535.0</v>
      </c>
      <c r="M6" s="15">
        <v>79209.0</v>
      </c>
      <c r="N6" s="15">
        <v>101760.0</v>
      </c>
      <c r="O6" s="15">
        <v>85385.0</v>
      </c>
      <c r="P6" s="15">
        <v>63822.0</v>
      </c>
      <c r="Q6" s="15">
        <v>118906.0</v>
      </c>
      <c r="R6" s="15">
        <v>110518.0</v>
      </c>
      <c r="S6" s="15">
        <v>94623.0</v>
      </c>
      <c r="T6" s="15">
        <v>81506.0</v>
      </c>
      <c r="U6" s="15">
        <v>53378.0</v>
      </c>
      <c r="V6" s="15">
        <v>77745.0</v>
      </c>
      <c r="W6" s="16">
        <v>88029.0</v>
      </c>
    </row>
    <row r="7">
      <c r="A7" s="14" t="s">
        <v>6</v>
      </c>
      <c r="D7" s="15">
        <v>23758.0</v>
      </c>
      <c r="E7" s="15">
        <v>22435.0</v>
      </c>
      <c r="F7" s="15">
        <v>22353.0</v>
      </c>
      <c r="G7" s="15">
        <v>22566.0</v>
      </c>
      <c r="H7" s="15">
        <v>25128.0</v>
      </c>
      <c r="I7" s="15">
        <v>18602.0</v>
      </c>
      <c r="J7" s="15">
        <v>21136.0</v>
      </c>
      <c r="K7" s="15">
        <v>21718.0</v>
      </c>
      <c r="L7" s="15">
        <v>16434.0</v>
      </c>
      <c r="M7" s="15">
        <v>18125.0</v>
      </c>
      <c r="N7" s="15">
        <v>20460.0</v>
      </c>
      <c r="O7" s="15">
        <v>20027.0</v>
      </c>
      <c r="P7" s="15">
        <v>18685.0</v>
      </c>
      <c r="Q7" s="15">
        <v>19435.0</v>
      </c>
      <c r="R7" s="15">
        <v>19210.0</v>
      </c>
      <c r="S7" s="15">
        <v>17923.0</v>
      </c>
      <c r="T7" s="15">
        <v>19898.0</v>
      </c>
      <c r="U7" s="15">
        <v>19172.0</v>
      </c>
      <c r="V7" s="15">
        <v>19962.0</v>
      </c>
      <c r="W7" s="16">
        <v>19415.0</v>
      </c>
    </row>
    <row r="8">
      <c r="A8" s="14" t="s">
        <v>7</v>
      </c>
      <c r="D8" s="15">
        <v>353842.0</v>
      </c>
      <c r="E8" s="15">
        <v>318621.0</v>
      </c>
      <c r="F8" s="15">
        <v>353409.0</v>
      </c>
      <c r="G8" s="15">
        <v>328161.0</v>
      </c>
      <c r="H8" s="15">
        <v>308793.0</v>
      </c>
      <c r="I8" s="15">
        <v>306167.0</v>
      </c>
      <c r="J8" s="15">
        <v>327662.0</v>
      </c>
      <c r="K8" s="15">
        <v>390538.0</v>
      </c>
      <c r="L8" s="15">
        <v>350719.0</v>
      </c>
      <c r="M8" s="15">
        <v>310739.0</v>
      </c>
      <c r="N8" s="15">
        <v>307942.0</v>
      </c>
      <c r="O8" s="15">
        <v>282097.0</v>
      </c>
      <c r="P8" s="15">
        <v>248027.0</v>
      </c>
      <c r="Q8" s="15">
        <v>245317.0</v>
      </c>
      <c r="R8" s="15">
        <v>207454.0</v>
      </c>
      <c r="S8" s="15">
        <v>180782.0</v>
      </c>
      <c r="T8" s="15">
        <v>172757.0</v>
      </c>
      <c r="U8" s="15">
        <v>220051.0</v>
      </c>
      <c r="V8" s="15">
        <v>200516.0</v>
      </c>
      <c r="W8" s="16">
        <v>191771.0</v>
      </c>
    </row>
    <row r="9">
      <c r="A9" s="14" t="s">
        <v>8</v>
      </c>
      <c r="D9" s="15">
        <v>29066.0</v>
      </c>
      <c r="E9" s="15">
        <v>27496.0</v>
      </c>
      <c r="F9" s="15">
        <v>27493.0</v>
      </c>
      <c r="G9" s="15">
        <v>26403.0</v>
      </c>
      <c r="H9" s="15">
        <v>28050.0</v>
      </c>
      <c r="I9" s="15">
        <v>28714.0</v>
      </c>
      <c r="J9" s="15">
        <v>17494.0</v>
      </c>
      <c r="K9" s="15">
        <v>17596.0</v>
      </c>
      <c r="L9" s="15">
        <v>17375.0</v>
      </c>
      <c r="M9" s="15">
        <v>16658.0</v>
      </c>
      <c r="N9" s="15">
        <v>16542.0</v>
      </c>
      <c r="O9" s="15">
        <v>16533.0</v>
      </c>
      <c r="P9" s="17">
        <v>17505.0</v>
      </c>
      <c r="Q9" s="15">
        <v>17152.0</v>
      </c>
      <c r="R9" s="15">
        <v>17132.0</v>
      </c>
      <c r="S9" s="15">
        <v>17583.0</v>
      </c>
      <c r="T9" s="15">
        <v>17325.0</v>
      </c>
      <c r="U9" s="15">
        <v>17535.0</v>
      </c>
      <c r="V9" s="15">
        <v>17208.0</v>
      </c>
      <c r="W9" s="16">
        <v>17308.0</v>
      </c>
    </row>
    <row r="10">
      <c r="A10" s="14" t="s">
        <v>9</v>
      </c>
      <c r="D10" s="15">
        <v>24681.0</v>
      </c>
      <c r="E10" s="15">
        <v>24009.0</v>
      </c>
      <c r="F10" s="15">
        <v>23530.0</v>
      </c>
      <c r="G10" s="15">
        <v>23144.0</v>
      </c>
      <c r="H10" s="15">
        <v>23208.0</v>
      </c>
      <c r="I10" s="15">
        <v>22094.0</v>
      </c>
      <c r="J10" s="15">
        <v>21877.0</v>
      </c>
      <c r="K10" s="15">
        <v>21265.0</v>
      </c>
      <c r="L10" s="15">
        <v>20751.0</v>
      </c>
      <c r="M10" s="15">
        <v>20397.0</v>
      </c>
      <c r="N10" s="15">
        <v>19900.0</v>
      </c>
      <c r="O10" s="15">
        <v>19449.0</v>
      </c>
      <c r="P10" s="17">
        <v>17527.0</v>
      </c>
      <c r="Q10" s="15">
        <v>18584.0</v>
      </c>
      <c r="R10" s="15">
        <v>18175.0</v>
      </c>
      <c r="S10" s="15">
        <v>17660.0</v>
      </c>
      <c r="T10" s="15">
        <v>16280.0</v>
      </c>
      <c r="U10" s="15">
        <v>17135.0</v>
      </c>
      <c r="V10" s="15">
        <v>16807.0</v>
      </c>
      <c r="W10" s="16">
        <v>16432.0</v>
      </c>
    </row>
    <row r="11">
      <c r="A11" s="14" t="s">
        <v>10</v>
      </c>
      <c r="D11" s="18">
        <f>22030+177616</f>
        <v>199646</v>
      </c>
      <c r="E11" s="18">
        <f>21758+173456</f>
        <v>195214</v>
      </c>
      <c r="F11" s="18">
        <f>21413+171747</f>
        <v>193160</v>
      </c>
      <c r="G11" s="18">
        <f>21208+168973</f>
        <v>190181</v>
      </c>
      <c r="H11" s="18">
        <f>21113+160268</f>
        <v>181381</v>
      </c>
      <c r="I11" s="18">
        <f>20378+157472</f>
        <v>177850</v>
      </c>
      <c r="J11" s="18">
        <f>20517+156771</f>
        <v>177288</v>
      </c>
      <c r="K11" s="18">
        <f>20707+156015</f>
        <v>176722</v>
      </c>
      <c r="L11" s="18">
        <f>20834+155530</f>
        <v>176364</v>
      </c>
      <c r="M11" s="18">
        <f>20722+153401</f>
        <v>174123</v>
      </c>
      <c r="N11" s="18">
        <f>20865+152787</f>
        <v>173652</v>
      </c>
      <c r="O11" s="18">
        <f>20990+151799</f>
        <v>172789</v>
      </c>
      <c r="P11" s="18">
        <f>21438+137838</f>
        <v>159276</v>
      </c>
      <c r="Q11" s="18">
        <f>21141+140398</f>
        <v>161539</v>
      </c>
      <c r="R11" s="18">
        <f>21122+138780</f>
        <v>159902</v>
      </c>
      <c r="S11" s="18">
        <f>21258+137264</f>
        <v>158522</v>
      </c>
      <c r="T11" s="18">
        <f>20628+131780</f>
        <v>152408</v>
      </c>
      <c r="U11" s="18">
        <f>21230+135326</f>
        <v>156556</v>
      </c>
      <c r="V11" s="18">
        <f>21204+133515</f>
        <v>154719</v>
      </c>
      <c r="W11" s="16">
        <f>14429+132170</f>
        <v>146599</v>
      </c>
    </row>
    <row r="12">
      <c r="A12" s="14" t="s">
        <v>11</v>
      </c>
      <c r="D12" s="15">
        <v>16947.0</v>
      </c>
      <c r="E12" s="15">
        <v>16284.0</v>
      </c>
      <c r="F12" s="15">
        <v>16028.0</v>
      </c>
      <c r="G12" s="15">
        <v>15674.0</v>
      </c>
      <c r="H12" s="15">
        <v>15584.0</v>
      </c>
      <c r="I12" s="15">
        <v>15139.0</v>
      </c>
      <c r="J12" s="15">
        <v>15125.0</v>
      </c>
      <c r="K12" s="18">
        <f>15038</f>
        <v>15038</v>
      </c>
      <c r="L12" s="15">
        <v>14918.0</v>
      </c>
      <c r="M12" s="15">
        <v>14752.0</v>
      </c>
      <c r="N12" s="15">
        <v>14659.0</v>
      </c>
      <c r="O12" s="15">
        <v>14567.0</v>
      </c>
      <c r="P12" s="15">
        <v>15065.0</v>
      </c>
      <c r="Q12" s="15">
        <v>14714.0</v>
      </c>
      <c r="R12" s="15">
        <v>14887.0</v>
      </c>
      <c r="S12" s="15">
        <v>14899.0</v>
      </c>
      <c r="T12" s="15">
        <v>14298.0</v>
      </c>
      <c r="U12" s="15">
        <v>14934.0</v>
      </c>
      <c r="V12" s="15">
        <v>14741.0</v>
      </c>
      <c r="W12" s="16">
        <v>14429.0</v>
      </c>
    </row>
    <row r="13">
      <c r="A13" s="14" t="s">
        <v>12</v>
      </c>
      <c r="D13" s="18">
        <f>50868+33758</f>
        <v>84626</v>
      </c>
      <c r="E13" s="18">
        <f>50939+34713</f>
        <v>85652</v>
      </c>
      <c r="F13" s="18">
        <f>50982+34871</f>
        <v>85853</v>
      </c>
      <c r="G13" s="18">
        <f>50997+32505</f>
        <v>83502</v>
      </c>
      <c r="H13" s="18">
        <f>51522+26597</f>
        <v>78119</v>
      </c>
      <c r="I13" s="18">
        <f>46882+26513</f>
        <v>73395</v>
      </c>
      <c r="J13" s="18">
        <f>46951+26667</f>
        <v>73618</v>
      </c>
      <c r="K13" s="18">
        <f>47064+26758</f>
        <v>73822</v>
      </c>
      <c r="L13" s="18">
        <f>47117+26758</f>
        <v>73875</v>
      </c>
      <c r="M13" s="18">
        <f>47090+26680</f>
        <v>73770</v>
      </c>
      <c r="N13" s="18">
        <f>47080+26678</f>
        <v>73758</v>
      </c>
      <c r="O13" s="18">
        <f>47054+26641</f>
        <v>73695</v>
      </c>
      <c r="P13" s="18">
        <f>57052+24830</f>
        <v>81882</v>
      </c>
      <c r="Q13" s="18">
        <f>47091+24774</f>
        <v>71865</v>
      </c>
      <c r="R13" s="18">
        <f>47034+24719</f>
        <v>71753</v>
      </c>
      <c r="S13" s="18">
        <f>56990+24669</f>
        <v>81659</v>
      </c>
      <c r="T13" s="18">
        <f>56323+24702</f>
        <v>81025</v>
      </c>
      <c r="U13" s="18">
        <f>56478+24750</f>
        <v>81228</v>
      </c>
      <c r="V13" s="18">
        <f>56487+24782</f>
        <v>81269</v>
      </c>
      <c r="W13" s="16">
        <f>56449+24771</f>
        <v>81220</v>
      </c>
    </row>
    <row r="14">
      <c r="A14" s="19" t="s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</row>
    <row r="15">
      <c r="A15" s="12" t="s">
        <v>14</v>
      </c>
    </row>
    <row r="16">
      <c r="A16" s="20" t="s">
        <v>15</v>
      </c>
      <c r="D16" s="18">
        <f>111082+34647</f>
        <v>145729</v>
      </c>
      <c r="E16" s="18">
        <f>109824+33919</f>
        <v>143743</v>
      </c>
      <c r="F16" s="18">
        <f>109030+34421</f>
        <v>143451</v>
      </c>
      <c r="G16" s="18">
        <f>107957+35063</f>
        <v>143020</v>
      </c>
      <c r="H16" s="18">
        <f>107472+35415</f>
        <v>142887</v>
      </c>
      <c r="I16" s="18">
        <f>91642+36666</f>
        <v>128308</v>
      </c>
      <c r="J16" s="18">
        <f>88560+37234</f>
        <v>125794</v>
      </c>
      <c r="K16" s="18">
        <f>87667+37702</f>
        <v>125369</v>
      </c>
      <c r="L16" s="15">
        <f>86664+38256</f>
        <v>124920</v>
      </c>
      <c r="M16" s="18">
        <f>85754+39721</f>
        <v>125475</v>
      </c>
      <c r="N16" s="15">
        <f>82958+40237</f>
        <v>123195</v>
      </c>
      <c r="O16" s="18">
        <f>80961+40685</f>
        <v>121646</v>
      </c>
      <c r="P16" s="18">
        <f>73019+42441</f>
        <v>115460</v>
      </c>
      <c r="Q16" s="18">
        <f>78041+41786</f>
        <v>119827</v>
      </c>
      <c r="R16" s="18">
        <f>75669+41837</f>
        <v>117506</v>
      </c>
      <c r="S16" s="18">
        <f>73362+42269</f>
        <v>115631</v>
      </c>
      <c r="T16" s="18">
        <f>68458+41834</f>
        <v>110292</v>
      </c>
      <c r="U16" s="18">
        <f>71997+41364</f>
        <v>113361</v>
      </c>
      <c r="V16" s="18">
        <f>70781+41549</f>
        <v>112330</v>
      </c>
      <c r="W16" s="18">
        <f>69535+41633</f>
        <v>111168</v>
      </c>
    </row>
    <row r="17">
      <c r="A17" s="14" t="s">
        <v>16</v>
      </c>
      <c r="D17" s="15">
        <v>30507.0</v>
      </c>
      <c r="E17" s="15">
        <v>31914.0</v>
      </c>
      <c r="F17" s="15">
        <v>31173.0</v>
      </c>
      <c r="G17" s="15">
        <v>30359.0</v>
      </c>
      <c r="H17" s="15">
        <v>28657.0</v>
      </c>
      <c r="I17" s="15">
        <v>26878.0</v>
      </c>
      <c r="J17" s="15">
        <v>25727.0</v>
      </c>
      <c r="K17" s="15">
        <v>25368.0</v>
      </c>
      <c r="L17" s="15">
        <v>23512.0</v>
      </c>
      <c r="M17" s="15">
        <v>25239.0</v>
      </c>
      <c r="N17" s="15">
        <v>23732.0</v>
      </c>
      <c r="O17" s="15">
        <v>23756.0</v>
      </c>
      <c r="P17" s="15">
        <v>19782.0</v>
      </c>
      <c r="Q17" s="15">
        <v>22018.0</v>
      </c>
      <c r="R17" s="15">
        <v>20992.0</v>
      </c>
      <c r="S17" s="15">
        <v>21718.0</v>
      </c>
      <c r="T17" s="15">
        <v>18093.0</v>
      </c>
      <c r="U17" s="15">
        <v>20764.0</v>
      </c>
      <c r="V17" s="15">
        <v>20113.0</v>
      </c>
      <c r="W17" s="15">
        <v>20172.0</v>
      </c>
    </row>
    <row r="18">
      <c r="A18" s="14" t="s">
        <v>17</v>
      </c>
      <c r="D18" s="15">
        <v>20213.0</v>
      </c>
      <c r="E18" s="15">
        <v>18556.0</v>
      </c>
      <c r="F18" s="15">
        <v>19635.0</v>
      </c>
      <c r="G18" s="15">
        <v>19937.0</v>
      </c>
      <c r="H18" s="15">
        <v>22421.0</v>
      </c>
      <c r="I18" s="15">
        <v>22305.0</v>
      </c>
      <c r="J18" s="15">
        <v>22562.0</v>
      </c>
      <c r="K18" s="15">
        <v>22673.0</v>
      </c>
      <c r="L18" s="15">
        <v>22452.0</v>
      </c>
      <c r="M18" s="15">
        <v>22409.0</v>
      </c>
      <c r="N18" s="15">
        <v>22106.0</v>
      </c>
      <c r="O18" s="15">
        <v>21709.0</v>
      </c>
      <c r="P18" s="15">
        <v>20155.0</v>
      </c>
      <c r="Q18" s="15">
        <v>20975.0</v>
      </c>
      <c r="R18" s="15">
        <v>20642.0</v>
      </c>
      <c r="S18" s="15">
        <v>20193.0</v>
      </c>
      <c r="T18" s="15">
        <v>18632.0</v>
      </c>
      <c r="U18" s="15">
        <v>19422.0</v>
      </c>
      <c r="V18" s="15">
        <v>19155.0</v>
      </c>
      <c r="W18" s="15">
        <v>18918.0</v>
      </c>
    </row>
    <row r="19">
      <c r="A19" s="20" t="s">
        <v>18</v>
      </c>
      <c r="D19" s="18">
        <f>42692+85579</f>
        <v>128271</v>
      </c>
      <c r="E19" s="18">
        <f>40941+83840</f>
        <v>124781</v>
      </c>
      <c r="F19" s="18">
        <f>41389+83958</f>
        <v>125347</v>
      </c>
      <c r="G19" s="15">
        <f>41436+82188</f>
        <v>123624</v>
      </c>
      <c r="H19" s="18">
        <f>46538+76206</f>
        <v>122744</v>
      </c>
      <c r="I19" s="18">
        <f>41535+74961</f>
        <v>116496</v>
      </c>
      <c r="J19" s="18">
        <f>42640+76441</f>
        <v>119081</v>
      </c>
      <c r="K19" s="18">
        <f>44890+74771</f>
        <v>119661</v>
      </c>
      <c r="L19" s="18">
        <f>39272+74990</f>
        <v>114262</v>
      </c>
      <c r="M19" s="18">
        <f>39645+75320</f>
        <v>114965</v>
      </c>
      <c r="N19" s="18">
        <f>40561+74662</f>
        <v>115223</v>
      </c>
      <c r="O19" s="18">
        <f>39556+74975</f>
        <v>114531</v>
      </c>
      <c r="P19" s="18">
        <f>37590+65778</f>
        <v>103368</v>
      </c>
      <c r="Q19" s="18">
        <f>38891+68800</f>
        <v>107691</v>
      </c>
      <c r="R19" s="18">
        <f>38243+68446</f>
        <v>106689</v>
      </c>
      <c r="S19" s="18">
        <f>37486+66747</f>
        <v>104233</v>
      </c>
      <c r="T19" s="18">
        <f>34975+62515</f>
        <v>97490</v>
      </c>
      <c r="U19" s="18">
        <f>37176+65018</f>
        <v>102194</v>
      </c>
      <c r="V19" s="15">
        <f>63882+26025</f>
        <v>89907</v>
      </c>
      <c r="W19" s="18">
        <f>33847+63346</f>
        <v>97193</v>
      </c>
    </row>
    <row r="20">
      <c r="A20" s="21" t="s">
        <v>19</v>
      </c>
      <c r="D20" s="18">
        <f>32402+22461</f>
        <v>54863</v>
      </c>
      <c r="E20" s="18">
        <f>32259+22818</f>
        <v>55077</v>
      </c>
      <c r="F20" s="18">
        <f>31999+20234</f>
        <v>52233</v>
      </c>
      <c r="G20" s="18">
        <f>32842+19683</f>
        <v>52525</v>
      </c>
      <c r="H20" s="18">
        <f>33501+16615</f>
        <v>50116</v>
      </c>
      <c r="I20" s="18">
        <f>31100+16871</f>
        <v>47971</v>
      </c>
      <c r="J20" s="18">
        <f>31387+16193</f>
        <v>47580</v>
      </c>
      <c r="K20" s="18">
        <f>30929+15076</f>
        <v>46005</v>
      </c>
      <c r="L20" s="18">
        <f>30376+15696</f>
        <v>46072</v>
      </c>
      <c r="M20" s="18">
        <f>32154+15978</f>
        <v>48132</v>
      </c>
      <c r="N20" s="18">
        <f>29816+15728</f>
        <v>45544</v>
      </c>
      <c r="O20" s="18">
        <f>28486+15207</f>
        <v>43693</v>
      </c>
      <c r="P20" s="18">
        <f>14708+27611</f>
        <v>42319</v>
      </c>
      <c r="Q20" s="18">
        <f>15050+28976</f>
        <v>44026</v>
      </c>
      <c r="R20" s="18">
        <f>26197+14468</f>
        <v>40665</v>
      </c>
      <c r="S20" s="18">
        <f>25565+14049</f>
        <v>39614</v>
      </c>
      <c r="T20" s="18">
        <f>11410+25776</f>
        <v>37186</v>
      </c>
      <c r="U20" s="18">
        <f>15309+25880</f>
        <v>41189</v>
      </c>
      <c r="V20" s="18">
        <f>25468+15120</f>
        <v>40588</v>
      </c>
      <c r="W20" s="18">
        <f>14643+25164</f>
        <v>39807</v>
      </c>
    </row>
    <row r="21">
      <c r="A21" s="19" t="s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</row>
    <row r="22">
      <c r="A22" s="20" t="s">
        <v>21</v>
      </c>
      <c r="D22" s="15">
        <v>34480.0</v>
      </c>
      <c r="E22" s="15">
        <v>34473.0</v>
      </c>
      <c r="F22" s="18">
        <f>35140</f>
        <v>35140</v>
      </c>
      <c r="G22" s="15">
        <v>35156.0</v>
      </c>
      <c r="H22" s="15">
        <v>35167.0</v>
      </c>
      <c r="I22" s="15">
        <v>35190.0</v>
      </c>
      <c r="J22" s="15">
        <v>35204.0</v>
      </c>
      <c r="K22" s="15">
        <v>35586.0</v>
      </c>
      <c r="L22" s="15">
        <v>35592.0</v>
      </c>
      <c r="M22" s="15">
        <v>35603.0</v>
      </c>
      <c r="N22" s="15">
        <v>35635.0</v>
      </c>
      <c r="O22" s="15">
        <v>35630.0</v>
      </c>
      <c r="P22" s="15">
        <v>35658.0</v>
      </c>
      <c r="Q22" s="15">
        <v>35621.0</v>
      </c>
      <c r="R22" s="15">
        <v>35615.0</v>
      </c>
      <c r="S22" s="15">
        <v>35619.0</v>
      </c>
      <c r="T22" s="15">
        <v>35707.0</v>
      </c>
      <c r="U22" s="15">
        <v>35612.0</v>
      </c>
      <c r="V22" s="15">
        <f>35610</f>
        <v>35610</v>
      </c>
      <c r="W22" s="15">
        <v>35622.0</v>
      </c>
    </row>
    <row r="23">
      <c r="A23" s="20" t="s">
        <v>22</v>
      </c>
      <c r="D23" s="15">
        <v>607350.0</v>
      </c>
      <c r="E23" s="15">
        <v>569776.0</v>
      </c>
      <c r="F23" s="15">
        <v>582543.0</v>
      </c>
      <c r="G23" s="15">
        <v>546631.0</v>
      </c>
      <c r="H23" s="15">
        <v>511602.0</v>
      </c>
      <c r="I23" s="15">
        <v>493438.0</v>
      </c>
      <c r="J23" s="15">
        <v>496126.0</v>
      </c>
      <c r="K23" s="15">
        <v>539881.0</v>
      </c>
      <c r="L23" s="15">
        <v>534421.0</v>
      </c>
      <c r="M23" s="15">
        <v>494775.0</v>
      </c>
      <c r="N23" s="15">
        <v>484431.0</v>
      </c>
      <c r="O23" s="15">
        <v>456337.0</v>
      </c>
      <c r="P23" s="15">
        <v>402493.0</v>
      </c>
      <c r="Q23" s="15">
        <v>408791.0</v>
      </c>
      <c r="R23" s="15">
        <v>738654.0</v>
      </c>
      <c r="S23" s="15">
        <v>352359.0</v>
      </c>
      <c r="T23" s="15">
        <v>321112.0</v>
      </c>
      <c r="U23" s="15">
        <v>373334.0</v>
      </c>
      <c r="V23" s="15">
        <v>356846.0</v>
      </c>
      <c r="W23" s="15">
        <v>342773.0</v>
      </c>
    </row>
    <row r="24">
      <c r="A24" s="20" t="s">
        <v>23</v>
      </c>
      <c r="D24" s="15">
        <v>-76802.0</v>
      </c>
      <c r="E24" s="15">
        <v>-74655.0</v>
      </c>
      <c r="F24" s="15">
        <v>-73568.0</v>
      </c>
      <c r="G24" s="15">
        <v>-72265.0</v>
      </c>
      <c r="H24" s="15">
        <v>-67826.0</v>
      </c>
      <c r="I24" s="15">
        <v>-64972.0</v>
      </c>
      <c r="J24" s="15">
        <v>-63934.0</v>
      </c>
      <c r="K24" s="15">
        <v>-62906.0</v>
      </c>
      <c r="L24" s="15">
        <v>-59795.0</v>
      </c>
      <c r="M24" s="15">
        <v>-53072.0</v>
      </c>
      <c r="N24" s="15">
        <v>-45446.0</v>
      </c>
      <c r="O24" s="15">
        <v>-39418.0</v>
      </c>
      <c r="P24" s="15">
        <v>-8125.0</v>
      </c>
      <c r="Q24" s="15">
        <v>-24075.0</v>
      </c>
      <c r="R24" s="15">
        <v>-14815.0</v>
      </c>
      <c r="S24" s="15">
        <v>-9700.0</v>
      </c>
      <c r="T24" s="15">
        <v>-3109.0</v>
      </c>
      <c r="U24" s="15">
        <v>-5937.0</v>
      </c>
      <c r="V24" s="15">
        <v>-5252.0</v>
      </c>
      <c r="W24" s="15">
        <v>-4799.0</v>
      </c>
    </row>
    <row r="25">
      <c r="A25" s="22" t="s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</row>
    <row r="26">
      <c r="A26" s="21" t="s">
        <v>25</v>
      </c>
      <c r="D26" s="15">
        <v>3.88</v>
      </c>
      <c r="E26" s="15">
        <v>4.59</v>
      </c>
      <c r="F26" s="15">
        <v>3.81</v>
      </c>
      <c r="G26" s="15">
        <v>3.48</v>
      </c>
      <c r="H26" s="15">
        <v>3.88</v>
      </c>
      <c r="I26" s="15">
        <v>3.83</v>
      </c>
      <c r="J26" s="15">
        <v>2.98</v>
      </c>
      <c r="K26" s="15">
        <v>2.32</v>
      </c>
      <c r="L26" s="15">
        <v>1.52</v>
      </c>
      <c r="M26" s="15">
        <v>1.52</v>
      </c>
      <c r="N26" s="15">
        <v>1.45</v>
      </c>
      <c r="O26" s="15">
        <v>1.74</v>
      </c>
      <c r="P26" s="15">
        <v>0.93</v>
      </c>
      <c r="Q26" s="15">
        <v>0.69</v>
      </c>
      <c r="R26" s="15">
        <v>0.66</v>
      </c>
      <c r="S26" s="15">
        <v>0.7</v>
      </c>
      <c r="T26" s="15">
        <v>1.92</v>
      </c>
      <c r="U26" s="15">
        <v>1.68</v>
      </c>
      <c r="V26" s="15">
        <v>2.0</v>
      </c>
      <c r="W26" s="15">
        <v>2.41</v>
      </c>
    </row>
    <row r="27">
      <c r="A27" s="21" t="s">
        <v>26</v>
      </c>
      <c r="D27" s="15">
        <v>2.16</v>
      </c>
      <c r="E27" s="15">
        <v>2.35</v>
      </c>
      <c r="F27" s="15">
        <v>2.22</v>
      </c>
      <c r="G27" s="15">
        <v>2.32</v>
      </c>
      <c r="H27" s="15">
        <v>2.3</v>
      </c>
      <c r="I27" s="15">
        <v>2.15</v>
      </c>
      <c r="J27" s="15">
        <v>2.33</v>
      </c>
      <c r="K27" s="15">
        <v>2.84</v>
      </c>
      <c r="L27" s="15">
        <v>2.56</v>
      </c>
      <c r="M27" s="15">
        <v>2.37</v>
      </c>
      <c r="N27" s="15">
        <v>2.32</v>
      </c>
      <c r="O27" s="15">
        <v>2.37</v>
      </c>
      <c r="P27" s="15">
        <v>1.99</v>
      </c>
      <c r="Q27" s="15">
        <v>1.63</v>
      </c>
      <c r="R27" s="15">
        <v>1.34</v>
      </c>
      <c r="S27" s="15">
        <v>0.87</v>
      </c>
      <c r="T27" s="15">
        <v>1.77</v>
      </c>
      <c r="U27" s="15">
        <v>1.53</v>
      </c>
      <c r="V27" s="15">
        <v>1.69</v>
      </c>
      <c r="W27" s="15">
        <v>1.88</v>
      </c>
    </row>
    <row r="28">
      <c r="A28" s="21" t="s">
        <v>27</v>
      </c>
      <c r="D28" s="15">
        <v>2.0</v>
      </c>
      <c r="E28" s="15">
        <v>2.0</v>
      </c>
      <c r="F28" s="15">
        <v>0.9</v>
      </c>
      <c r="G28" s="15">
        <v>3.0</v>
      </c>
      <c r="H28" s="15">
        <v>4.9</v>
      </c>
      <c r="I28" s="15">
        <v>7.6</v>
      </c>
      <c r="J28" s="15">
        <v>8.3</v>
      </c>
      <c r="K28" s="15">
        <v>29.2</v>
      </c>
      <c r="L28" s="15">
        <v>37.4</v>
      </c>
      <c r="M28" s="15">
        <v>1.2</v>
      </c>
      <c r="N28" s="15">
        <v>1.2</v>
      </c>
      <c r="O28" s="15">
        <v>0.3</v>
      </c>
      <c r="P28" s="15">
        <v>0.2</v>
      </c>
      <c r="Q28" s="15">
        <v>0.4</v>
      </c>
      <c r="R28" s="15">
        <v>0.0</v>
      </c>
      <c r="S28" s="15">
        <v>100.0</v>
      </c>
      <c r="T28" s="15">
        <v>97.1</v>
      </c>
      <c r="U28" s="15">
        <v>32.5</v>
      </c>
      <c r="V28" s="15">
        <v>3.8</v>
      </c>
      <c r="W28" s="15">
        <v>3.9</v>
      </c>
    </row>
    <row r="29">
      <c r="A29" s="21" t="s">
        <v>28</v>
      </c>
      <c r="D29" s="15">
        <v>3.7</v>
      </c>
      <c r="E29" s="15">
        <v>3.8</v>
      </c>
      <c r="F29" s="15">
        <v>3.5</v>
      </c>
      <c r="G29" s="15">
        <v>3.4</v>
      </c>
      <c r="H29" s="15">
        <v>3.4</v>
      </c>
      <c r="I29" s="15">
        <v>3.6</v>
      </c>
      <c r="J29" s="15">
        <v>3.5</v>
      </c>
      <c r="K29" s="15">
        <v>3.7</v>
      </c>
      <c r="L29" s="15">
        <v>4.0</v>
      </c>
      <c r="M29" s="15">
        <v>4.5</v>
      </c>
      <c r="N29" s="15">
        <v>5.4</v>
      </c>
      <c r="O29" s="15">
        <v>6.1</v>
      </c>
      <c r="P29" s="15">
        <v>6.4</v>
      </c>
      <c r="Q29" s="15">
        <v>6.8</v>
      </c>
      <c r="R29" s="15">
        <v>10.2</v>
      </c>
      <c r="S29" s="15">
        <v>14.8</v>
      </c>
      <c r="T29" s="15">
        <v>3.6</v>
      </c>
      <c r="U29" s="15">
        <v>3.6</v>
      </c>
      <c r="V29" s="15">
        <v>3.7</v>
      </c>
      <c r="W29" s="15">
        <v>3.7</v>
      </c>
    </row>
    <row r="30">
      <c r="A30" s="21" t="s">
        <v>29</v>
      </c>
      <c r="D30" s="15">
        <v>0.53117</v>
      </c>
      <c r="E30" s="15">
        <v>0.0</v>
      </c>
      <c r="F30" s="15">
        <v>0.34819</v>
      </c>
      <c r="G30" s="15">
        <v>0.15942</v>
      </c>
      <c r="H30" s="15">
        <v>1.05738</v>
      </c>
      <c r="I30" s="15">
        <v>0.2898</v>
      </c>
      <c r="J30" s="15">
        <v>0.79661</v>
      </c>
      <c r="K30" s="15">
        <v>0.0</v>
      </c>
      <c r="L30" s="15">
        <v>0.0</v>
      </c>
      <c r="M30" s="15">
        <v>0.0</v>
      </c>
      <c r="N30" s="15">
        <v>0.12134</v>
      </c>
      <c r="O30" s="15">
        <v>0.16128</v>
      </c>
      <c r="P30" s="15">
        <v>0.0</v>
      </c>
      <c r="Q30" s="15">
        <v>0.3439</v>
      </c>
      <c r="R30" s="15">
        <v>0.15555</v>
      </c>
      <c r="S30" s="15">
        <v>0.35154</v>
      </c>
      <c r="T30" s="15">
        <v>0.52741</v>
      </c>
      <c r="U30" s="15">
        <v>1.38185</v>
      </c>
      <c r="V30" s="15">
        <v>1.36189</v>
      </c>
      <c r="W30" s="15">
        <v>1.088</v>
      </c>
    </row>
    <row r="31">
      <c r="A31" s="21" t="s">
        <v>30</v>
      </c>
      <c r="D31" s="15">
        <v>2062.66</v>
      </c>
      <c r="E31" s="15">
        <v>1848.46</v>
      </c>
      <c r="F31" s="15">
        <v>1919.31</v>
      </c>
      <c r="G31" s="15">
        <v>1969.3</v>
      </c>
      <c r="H31" s="15">
        <v>1823.58</v>
      </c>
      <c r="I31" s="15">
        <v>1660.73</v>
      </c>
      <c r="J31" s="15">
        <v>1807.18</v>
      </c>
      <c r="K31" s="15">
        <v>1936.41</v>
      </c>
      <c r="L31" s="15">
        <v>1828.0</v>
      </c>
      <c r="M31" s="15">
        <v>1756.5</v>
      </c>
      <c r="N31" s="15">
        <v>1769.41</v>
      </c>
      <c r="O31" s="15">
        <v>1707.52</v>
      </c>
      <c r="P31" s="15">
        <v>1898.07</v>
      </c>
      <c r="Q31" s="15">
        <v>1885.33</v>
      </c>
      <c r="R31" s="15">
        <v>1781.93</v>
      </c>
      <c r="S31" s="15">
        <v>1574.74</v>
      </c>
      <c r="T31" s="15">
        <v>1517.7</v>
      </c>
      <c r="U31" s="15">
        <v>1472.2</v>
      </c>
      <c r="V31" s="15">
        <v>1409.51</v>
      </c>
      <c r="W31" s="15">
        <v>1292.4</v>
      </c>
    </row>
    <row r="32">
      <c r="A32" s="23" t="s">
        <v>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>
      <c r="A33" s="25" t="s">
        <v>32</v>
      </c>
      <c r="B33" s="25"/>
      <c r="C33" s="25"/>
      <c r="D33" s="26">
        <v>93466.0</v>
      </c>
      <c r="E33" s="26">
        <v>93120.0</v>
      </c>
      <c r="F33" s="26">
        <v>92503.0</v>
      </c>
      <c r="G33" s="26">
        <v>85393.0</v>
      </c>
      <c r="H33" s="26">
        <v>78165.0</v>
      </c>
      <c r="I33" s="26">
        <v>76934.0</v>
      </c>
      <c r="J33" s="26">
        <v>76180.0</v>
      </c>
      <c r="K33" s="26">
        <v>70810.0</v>
      </c>
      <c r="L33" s="26">
        <v>71907.0</v>
      </c>
      <c r="M33" s="26">
        <v>70583.0</v>
      </c>
      <c r="N33" s="26">
        <v>69114.0</v>
      </c>
      <c r="O33" s="26">
        <v>64599.0</v>
      </c>
      <c r="P33" s="26">
        <v>64450.0</v>
      </c>
      <c r="Q33" s="26">
        <v>63024.0</v>
      </c>
      <c r="R33" s="26">
        <v>56840.0</v>
      </c>
      <c r="S33" s="26">
        <v>61265.0</v>
      </c>
      <c r="T33" s="26">
        <v>65368.0</v>
      </c>
      <c r="U33" s="26">
        <v>64972.0</v>
      </c>
      <c r="V33" s="26">
        <v>63598.0</v>
      </c>
      <c r="W33" s="26">
        <v>60678.0</v>
      </c>
    </row>
    <row r="34">
      <c r="A34" s="27" t="s">
        <v>33</v>
      </c>
      <c r="B34" s="25"/>
      <c r="C34" s="25"/>
      <c r="D34" s="26">
        <v>36814.0</v>
      </c>
      <c r="E34" s="26">
        <v>-29778.0</v>
      </c>
      <c r="F34" s="26">
        <v>33061.0</v>
      </c>
      <c r="G34" s="26">
        <v>34758.0</v>
      </c>
      <c r="H34" s="26">
        <v>14473.0</v>
      </c>
      <c r="I34" s="26">
        <v>-13465.0</v>
      </c>
      <c r="J34" s="26">
        <v>-66919.0</v>
      </c>
      <c r="K34" s="26">
        <v>-1978.0</v>
      </c>
      <c r="L34" s="26">
        <v>40527.0</v>
      </c>
      <c r="M34" s="26">
        <v>4921.0</v>
      </c>
      <c r="N34" s="26">
        <v>27394.0</v>
      </c>
      <c r="O34" s="26">
        <v>5700.0</v>
      </c>
      <c r="P34" s="26">
        <v>-101196.0</v>
      </c>
      <c r="Q34" s="26">
        <v>31582.0</v>
      </c>
      <c r="R34" s="26">
        <v>40085.0</v>
      </c>
      <c r="S34" s="26">
        <v>70275.0</v>
      </c>
      <c r="T34" s="26">
        <v>31311.0</v>
      </c>
      <c r="U34" s="26">
        <v>10926.0</v>
      </c>
      <c r="V34" s="26">
        <v>10048.0</v>
      </c>
      <c r="W34" s="26">
        <v>20322.0</v>
      </c>
    </row>
    <row r="35">
      <c r="A35" s="28" t="s">
        <v>34</v>
      </c>
      <c r="B35" s="25"/>
      <c r="C35" s="25"/>
      <c r="D35" s="26">
        <v>30580.0</v>
      </c>
      <c r="E35" s="26">
        <v>31049.0</v>
      </c>
      <c r="F35" s="26">
        <v>30621.0</v>
      </c>
      <c r="G35" s="26">
        <v>30319.0</v>
      </c>
      <c r="H35" s="26">
        <v>31609.0</v>
      </c>
      <c r="I35" s="26">
        <v>31292.0</v>
      </c>
      <c r="J35" s="26">
        <v>31633.0</v>
      </c>
      <c r="K35" s="26">
        <v>29785.0</v>
      </c>
      <c r="L35" s="26">
        <v>29863.0</v>
      </c>
      <c r="M35" s="26">
        <v>28984.0</v>
      </c>
      <c r="N35" s="26">
        <v>28761.0</v>
      </c>
      <c r="O35" s="26">
        <v>26530.0</v>
      </c>
      <c r="P35" s="26">
        <v>23526.0</v>
      </c>
      <c r="Q35" s="26">
        <v>25957.0</v>
      </c>
      <c r="R35" s="26">
        <v>26216.0</v>
      </c>
      <c r="S35" s="26">
        <v>25392.0</v>
      </c>
      <c r="T35" s="26">
        <v>27277.0</v>
      </c>
      <c r="U35" s="26">
        <v>26950.0</v>
      </c>
      <c r="V35" s="26">
        <v>27047.0</v>
      </c>
      <c r="W35" s="26">
        <v>25767.0</v>
      </c>
    </row>
    <row r="36">
      <c r="A36" s="28" t="s">
        <v>35</v>
      </c>
      <c r="B36" s="25"/>
      <c r="C36" s="25"/>
      <c r="D36" s="26">
        <v>6878.0</v>
      </c>
      <c r="E36" s="26">
        <v>5120.0</v>
      </c>
      <c r="F36" s="26">
        <v>5005.0</v>
      </c>
      <c r="G36" s="26">
        <v>5602.0</v>
      </c>
      <c r="H36" s="26">
        <v>7425.0</v>
      </c>
      <c r="I36" s="26">
        <v>4068.0</v>
      </c>
      <c r="J36" s="26">
        <v>3762.0</v>
      </c>
      <c r="K36" s="26">
        <v>4251.0</v>
      </c>
      <c r="L36" s="26">
        <v>4999.0</v>
      </c>
      <c r="M36" s="26">
        <v>4889.0</v>
      </c>
      <c r="N36" s="26">
        <v>5045.0</v>
      </c>
      <c r="O36" s="26">
        <v>3910.0</v>
      </c>
      <c r="P36" s="26">
        <v>5505.0</v>
      </c>
      <c r="Q36" s="26">
        <v>5181.0</v>
      </c>
      <c r="R36" s="26">
        <v>4652.0</v>
      </c>
      <c r="S36" s="26">
        <v>4471.0</v>
      </c>
      <c r="T36" s="26">
        <v>5677.0</v>
      </c>
      <c r="U36" s="26">
        <v>4384.0</v>
      </c>
      <c r="V36" s="26">
        <v>4829.0</v>
      </c>
      <c r="W36" s="26">
        <v>4432.0</v>
      </c>
    </row>
    <row r="37">
      <c r="A37" s="28" t="s">
        <v>36</v>
      </c>
      <c r="B37" s="25"/>
      <c r="C37" s="25"/>
      <c r="D37" s="26">
        <v>83764.0</v>
      </c>
      <c r="E37" s="26">
        <v>80653.0</v>
      </c>
      <c r="F37" s="26">
        <v>80640.0</v>
      </c>
      <c r="G37" s="26">
        <v>76087.0</v>
      </c>
      <c r="H37" s="26">
        <v>71232.0</v>
      </c>
      <c r="I37" s="26">
        <v>68027.0</v>
      </c>
      <c r="J37" s="26">
        <v>64974.0</v>
      </c>
      <c r="K37" s="26">
        <v>62396.0</v>
      </c>
      <c r="L37" s="26">
        <v>63592.0</v>
      </c>
      <c r="M37" s="26">
        <v>63397.0</v>
      </c>
      <c r="N37" s="26">
        <v>60934.0</v>
      </c>
      <c r="O37" s="26">
        <v>56022.0</v>
      </c>
      <c r="P37" s="26">
        <v>58725.0</v>
      </c>
      <c r="Q37" s="26">
        <v>56966.0</v>
      </c>
      <c r="R37" s="26">
        <v>61259.0</v>
      </c>
      <c r="S37" s="26">
        <v>54339.0</v>
      </c>
      <c r="T37" s="26">
        <v>26479.0</v>
      </c>
      <c r="U37" s="26">
        <v>56053.0</v>
      </c>
      <c r="V37" s="26">
        <v>56011.0</v>
      </c>
      <c r="W37" s="26">
        <v>53521.0</v>
      </c>
    </row>
    <row r="38">
      <c r="A38" s="29" t="s">
        <v>37</v>
      </c>
      <c r="B38" s="25"/>
      <c r="C38" s="25"/>
      <c r="D38" s="16">
        <v>26124.0</v>
      </c>
      <c r="E38" s="26">
        <v>-8824.0</v>
      </c>
      <c r="F38" s="26">
        <v>24775.0</v>
      </c>
      <c r="G38" s="26">
        <v>24337.0</v>
      </c>
      <c r="H38" s="26">
        <v>12349.0</v>
      </c>
      <c r="I38" s="26">
        <v>-1832.0</v>
      </c>
      <c r="J38" s="26">
        <v>-29754.0</v>
      </c>
      <c r="K38" s="26">
        <v>3702.0</v>
      </c>
      <c r="L38" s="26">
        <v>26452.0</v>
      </c>
      <c r="M38" s="26">
        <v>6882.0</v>
      </c>
      <c r="N38" s="26">
        <v>18488.0</v>
      </c>
      <c r="O38" s="26">
        <v>7638.0</v>
      </c>
      <c r="P38" s="26">
        <v>22013.0</v>
      </c>
      <c r="Q38" s="26">
        <v>18994.0</v>
      </c>
      <c r="R38" s="26">
        <v>16314.0</v>
      </c>
      <c r="S38" s="26">
        <v>-30653.0</v>
      </c>
      <c r="T38" s="26">
        <v>17892.0</v>
      </c>
      <c r="U38" s="26">
        <v>10119.0</v>
      </c>
      <c r="V38" s="26">
        <v>8608.0</v>
      </c>
      <c r="W38" s="26">
        <v>13209.0</v>
      </c>
    </row>
    <row r="39">
      <c r="A39" s="30" t="s">
        <v>38</v>
      </c>
      <c r="B39" s="31"/>
      <c r="C39" s="31"/>
      <c r="D39" s="32">
        <v>5.6200000000000045</v>
      </c>
      <c r="E39" s="29">
        <v>5.88</v>
      </c>
      <c r="F39" s="29">
        <v>16.52</v>
      </c>
      <c r="G39" s="29">
        <v>16.25</v>
      </c>
      <c r="H39" s="29">
        <v>8.23</v>
      </c>
      <c r="I39" s="29">
        <v>-1.22</v>
      </c>
      <c r="J39" s="29">
        <v>-19.84</v>
      </c>
      <c r="K39" s="26">
        <v>2.47</v>
      </c>
      <c r="L39" s="29">
        <v>17.63</v>
      </c>
      <c r="M39" s="26">
        <v>4.59</v>
      </c>
      <c r="N39" s="29">
        <v>12.33</v>
      </c>
      <c r="O39" s="26">
        <v>5.09</v>
      </c>
      <c r="P39" s="29">
        <v>14.680000000000003</v>
      </c>
      <c r="Q39" s="29">
        <v>12.66</v>
      </c>
      <c r="R39" s="29">
        <v>10.88</v>
      </c>
      <c r="S39" s="29">
        <v>-20.44</v>
      </c>
      <c r="T39" s="26">
        <v>11.919999999999998</v>
      </c>
      <c r="U39" s="29">
        <v>6.75</v>
      </c>
      <c r="V39" s="29">
        <v>5.74</v>
      </c>
      <c r="W39" s="29">
        <v>8.81</v>
      </c>
    </row>
    <row r="40">
      <c r="A40" s="28" t="s">
        <v>39</v>
      </c>
      <c r="B40" s="31"/>
      <c r="C40" s="31"/>
      <c r="D40" s="29">
        <v>38083.0</v>
      </c>
      <c r="E40" s="29">
        <v>-12799.0</v>
      </c>
      <c r="F40" s="29">
        <v>36648.0</v>
      </c>
      <c r="G40" s="29">
        <v>35580.0</v>
      </c>
      <c r="H40" s="29">
        <v>19807.0</v>
      </c>
      <c r="I40" s="29">
        <v>-4747.0</v>
      </c>
      <c r="J40" s="29">
        <v>-45502.0</v>
      </c>
      <c r="K40" s="26">
        <v>5059.0</v>
      </c>
      <c r="L40" s="29">
        <v>40317.0</v>
      </c>
      <c r="M40" s="29">
        <v>9729.0</v>
      </c>
      <c r="N40" s="29">
        <v>28581.0</v>
      </c>
      <c r="O40" s="26">
        <v>11384.0</v>
      </c>
      <c r="P40" s="29">
        <v>36782.0</v>
      </c>
      <c r="Q40" s="29">
        <v>30914.0</v>
      </c>
      <c r="R40" s="29">
        <v>27049.0</v>
      </c>
      <c r="S40" s="29">
        <v>-51224.0</v>
      </c>
      <c r="T40" s="29">
        <v>29324.0</v>
      </c>
      <c r="U40" s="29">
        <v>15794.0</v>
      </c>
      <c r="V40" s="29">
        <v>14122.0</v>
      </c>
      <c r="W40" s="29">
        <v>21949.0</v>
      </c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</row>
    <row r="41">
      <c r="A41" s="34" t="s">
        <v>40</v>
      </c>
      <c r="B41" s="24"/>
      <c r="C41" s="24"/>
      <c r="D41" s="35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>
      <c r="A42" s="25" t="s">
        <v>41</v>
      </c>
      <c r="B42" s="25"/>
      <c r="C42" s="25"/>
      <c r="D42" s="26">
        <v>10.17</v>
      </c>
      <c r="E42" s="26">
        <v>8.99</v>
      </c>
      <c r="F42" s="26">
        <v>99.46</v>
      </c>
      <c r="G42" s="26">
        <v>91.24</v>
      </c>
      <c r="H42" s="26">
        <v>90.78</v>
      </c>
      <c r="I42" s="26">
        <v>52.87</v>
      </c>
      <c r="J42" s="26">
        <v>7.377</v>
      </c>
      <c r="K42" s="26">
        <v>8.95</v>
      </c>
      <c r="L42" s="26">
        <v>8.06</v>
      </c>
      <c r="M42" s="26">
        <v>6.14</v>
      </c>
      <c r="N42" s="26">
        <v>6.33</v>
      </c>
      <c r="O42" s="26">
        <v>14.26</v>
      </c>
      <c r="P42" s="26">
        <v>15.28</v>
      </c>
      <c r="Q42" s="26">
        <v>23.1</v>
      </c>
      <c r="R42" s="26">
        <v>19.6</v>
      </c>
      <c r="S42" s="26">
        <v>5.515</v>
      </c>
      <c r="T42" s="26">
        <v>6.819</v>
      </c>
      <c r="U42" s="26">
        <v>18.84</v>
      </c>
      <c r="V42" s="26">
        <v>18.26</v>
      </c>
      <c r="W42" s="26">
        <v>18.0</v>
      </c>
    </row>
    <row r="43">
      <c r="A43" s="25" t="s">
        <v>42</v>
      </c>
      <c r="B43" s="25"/>
      <c r="C43" s="25"/>
      <c r="D43" s="16">
        <v>25990.0</v>
      </c>
      <c r="E43" s="26">
        <v>-8824.0</v>
      </c>
      <c r="F43" s="26">
        <v>24775.0</v>
      </c>
      <c r="G43" s="26">
        <v>24377.0</v>
      </c>
      <c r="H43" s="26">
        <v>12274.0</v>
      </c>
      <c r="I43" s="26">
        <v>-1907.0</v>
      </c>
      <c r="J43" s="26">
        <v>-29663.0</v>
      </c>
      <c r="K43" s="26">
        <v>3784.0</v>
      </c>
      <c r="L43" s="26">
        <v>26529.0</v>
      </c>
      <c r="M43" s="26">
        <v>6882.0</v>
      </c>
      <c r="N43" s="26">
        <v>18488.0</v>
      </c>
      <c r="O43" s="26">
        <v>7638.0</v>
      </c>
      <c r="P43" s="26">
        <v>22508.0</v>
      </c>
      <c r="Q43" s="26">
        <v>18994.0</v>
      </c>
      <c r="R43" s="26">
        <v>16314.0</v>
      </c>
      <c r="S43" s="26">
        <v>-30653.0</v>
      </c>
      <c r="T43" s="26">
        <v>17884.0</v>
      </c>
      <c r="U43" s="26">
        <v>10119.0</v>
      </c>
      <c r="V43" s="26">
        <v>8608.0</v>
      </c>
      <c r="W43" s="26">
        <v>13209.0</v>
      </c>
      <c r="X43" s="36"/>
      <c r="Y43" s="36"/>
      <c r="Z43" s="36"/>
      <c r="AA43" s="36"/>
      <c r="AB43" s="36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</row>
    <row r="44">
      <c r="A44" s="25" t="s">
        <v>43</v>
      </c>
      <c r="B44" s="25"/>
      <c r="C44" s="25"/>
      <c r="D44" s="16">
        <v>0.2285</v>
      </c>
      <c r="E44" s="26">
        <v>0.2375</v>
      </c>
      <c r="F44" s="26">
        <v>0.2322</v>
      </c>
      <c r="G44" s="26">
        <v>0.245</v>
      </c>
      <c r="H44" s="26">
        <v>0.2593</v>
      </c>
      <c r="I44" s="26">
        <v>0.2558</v>
      </c>
      <c r="J44" s="26">
        <v>0.2582</v>
      </c>
      <c r="K44" s="26">
        <v>0.2355</v>
      </c>
      <c r="L44" s="26">
        <v>0.2257</v>
      </c>
      <c r="M44" s="26">
        <v>0.2594</v>
      </c>
      <c r="N44" s="26">
        <v>0.2711</v>
      </c>
      <c r="O44" s="26">
        <v>0.2805</v>
      </c>
      <c r="P44" s="26">
        <v>0.2638</v>
      </c>
      <c r="Q44" s="26">
        <v>0.2594</v>
      </c>
      <c r="R44" s="26">
        <v>0.2711</v>
      </c>
      <c r="S44" s="26">
        <v>0.2805</v>
      </c>
      <c r="T44" s="26">
        <v>0.2433</v>
      </c>
      <c r="U44" s="26">
        <v>0.247</v>
      </c>
      <c r="V44" s="26">
        <v>0.2612</v>
      </c>
      <c r="W44" s="26">
        <v>0.2635</v>
      </c>
      <c r="X44" s="36"/>
      <c r="Y44" s="36"/>
      <c r="Z44" s="36"/>
      <c r="AA44" s="36"/>
      <c r="AB44" s="36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</row>
    <row r="45">
      <c r="A45" s="25" t="s">
        <v>44</v>
      </c>
      <c r="B45" s="25"/>
      <c r="C45" s="25"/>
      <c r="D45" s="26">
        <v>17.81</v>
      </c>
      <c r="E45" s="26">
        <v>14.79</v>
      </c>
      <c r="F45" s="26">
        <v>17.28</v>
      </c>
      <c r="G45" s="26">
        <v>1.49</v>
      </c>
      <c r="H45" s="26">
        <v>-4.71</v>
      </c>
      <c r="I45" s="26">
        <v>-0.21</v>
      </c>
      <c r="J45" s="26">
        <v>2.44</v>
      </c>
      <c r="K45" s="26">
        <v>16.83</v>
      </c>
      <c r="L45" s="26">
        <v>18.63</v>
      </c>
      <c r="M45" s="26">
        <v>18.42</v>
      </c>
      <c r="N45" s="26">
        <v>23.43</v>
      </c>
      <c r="O45" s="26">
        <v>24.12</v>
      </c>
      <c r="P45" s="26">
        <v>10.35</v>
      </c>
      <c r="Q45" s="26">
        <v>8.85</v>
      </c>
      <c r="R45" s="26">
        <v>5.55</v>
      </c>
      <c r="S45" s="26">
        <v>2.52</v>
      </c>
      <c r="T45" s="26">
        <v>20.49</v>
      </c>
      <c r="U45" s="26">
        <v>7.1</v>
      </c>
      <c r="V45" s="26">
        <v>7.75</v>
      </c>
      <c r="W45" s="26">
        <v>7.32</v>
      </c>
      <c r="X45" s="36"/>
      <c r="Y45" s="36"/>
      <c r="Z45" s="36"/>
      <c r="AA45" s="36"/>
      <c r="AB45" s="36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</row>
    <row r="46">
      <c r="A46" s="14" t="s">
        <v>45</v>
      </c>
      <c r="B46" s="14"/>
      <c r="C46" s="25"/>
      <c r="D46" s="16">
        <v>9.32</v>
      </c>
      <c r="E46" s="26">
        <v>7.66</v>
      </c>
      <c r="F46" s="16">
        <v>8.92</v>
      </c>
      <c r="G46" s="16">
        <v>0.76</v>
      </c>
      <c r="H46" s="16">
        <v>-2.44</v>
      </c>
      <c r="I46" s="16">
        <v>-0.11</v>
      </c>
      <c r="J46" s="16">
        <v>1.29</v>
      </c>
      <c r="K46" s="16">
        <v>8.91</v>
      </c>
      <c r="L46" s="16">
        <v>9.79</v>
      </c>
      <c r="M46" s="16">
        <v>9.58</v>
      </c>
      <c r="N46" s="16">
        <v>12.09</v>
      </c>
      <c r="O46" s="16">
        <v>12.32</v>
      </c>
      <c r="P46" s="16">
        <v>5.23</v>
      </c>
      <c r="Q46" s="16">
        <v>4.49</v>
      </c>
      <c r="R46" s="16">
        <v>2.82</v>
      </c>
      <c r="S46" s="16">
        <v>1.28</v>
      </c>
      <c r="T46" s="16">
        <v>10.49</v>
      </c>
      <c r="U46" s="16">
        <v>3.59</v>
      </c>
      <c r="V46" s="16">
        <v>3.93</v>
      </c>
      <c r="W46" s="16">
        <v>3.71</v>
      </c>
    </row>
    <row r="47">
      <c r="A47" s="14" t="s">
        <v>46</v>
      </c>
      <c r="B47" s="14"/>
      <c r="C47" s="25"/>
      <c r="D47" s="16">
        <v>5.2</v>
      </c>
      <c r="E47" s="26">
        <v>5.2</v>
      </c>
      <c r="F47" s="16">
        <v>4.7</v>
      </c>
      <c r="G47" s="16">
        <v>4.5</v>
      </c>
      <c r="H47" s="16">
        <v>4.5</v>
      </c>
      <c r="I47" s="16">
        <v>4.9</v>
      </c>
      <c r="J47" s="16">
        <v>4.7</v>
      </c>
      <c r="K47" s="16">
        <v>4.3</v>
      </c>
      <c r="L47" s="16">
        <v>4.3</v>
      </c>
      <c r="M47" s="16">
        <v>4.2</v>
      </c>
      <c r="N47" s="16">
        <v>4.2</v>
      </c>
      <c r="O47" s="16">
        <v>2.7</v>
      </c>
      <c r="P47" s="16">
        <v>3.7</v>
      </c>
      <c r="Q47" s="16">
        <v>3.9</v>
      </c>
      <c r="R47" s="16">
        <v>4.4</v>
      </c>
      <c r="S47" s="16">
        <v>4.8</v>
      </c>
      <c r="T47" s="16">
        <v>4.7</v>
      </c>
      <c r="U47" s="16">
        <v>4.9</v>
      </c>
      <c r="V47" s="16">
        <v>4.9</v>
      </c>
      <c r="W47" s="16">
        <v>5.1</v>
      </c>
      <c r="X47" s="36"/>
      <c r="Y47" s="36"/>
      <c r="Z47" s="36"/>
      <c r="AA47" s="36"/>
      <c r="AB47" s="36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</row>
    <row r="48">
      <c r="A48" s="14" t="s">
        <v>47</v>
      </c>
      <c r="B48" s="14"/>
      <c r="C48" s="25"/>
      <c r="D48" s="26">
        <v>4.3</v>
      </c>
      <c r="E48" s="26">
        <v>4.2</v>
      </c>
      <c r="F48" s="16">
        <v>3.8</v>
      </c>
      <c r="G48" s="16">
        <v>5.0</v>
      </c>
      <c r="H48" s="16">
        <v>3.44</v>
      </c>
      <c r="I48" s="16">
        <v>0.5</v>
      </c>
      <c r="J48" s="16">
        <v>4.8</v>
      </c>
      <c r="K48" s="16">
        <v>3.6</v>
      </c>
      <c r="L48" s="16">
        <v>3.7</v>
      </c>
      <c r="M48" s="16">
        <v>3.5</v>
      </c>
      <c r="N48" s="16">
        <v>3.4</v>
      </c>
      <c r="O48" s="16">
        <v>2.2</v>
      </c>
      <c r="P48" s="16">
        <v>3.0</v>
      </c>
      <c r="Q48" s="16">
        <v>3.1</v>
      </c>
      <c r="R48" s="16">
        <v>3.4</v>
      </c>
      <c r="S48" s="16">
        <v>4.2</v>
      </c>
      <c r="T48" s="16">
        <v>3.9</v>
      </c>
      <c r="U48" s="16">
        <v>4.1</v>
      </c>
      <c r="V48" s="16">
        <v>4.1</v>
      </c>
      <c r="W48" s="16">
        <v>4.3</v>
      </c>
      <c r="X48" s="36"/>
      <c r="Y48" s="36"/>
      <c r="Z48" s="36"/>
      <c r="AA48" s="36"/>
      <c r="AB48" s="36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</row>
    <row r="49">
      <c r="A49" s="39" t="s">
        <v>48</v>
      </c>
      <c r="B49" s="14"/>
      <c r="C49" s="25"/>
      <c r="D49" s="16">
        <v>34.9</v>
      </c>
      <c r="E49" s="26">
        <v>29.2</v>
      </c>
      <c r="F49" s="16">
        <v>34.42</v>
      </c>
      <c r="G49" s="16">
        <v>4.52</v>
      </c>
      <c r="H49" s="16">
        <v>-7.62</v>
      </c>
      <c r="I49" s="16">
        <v>1.7</v>
      </c>
      <c r="J49" s="16">
        <v>7.61</v>
      </c>
      <c r="K49" s="16">
        <v>40.06</v>
      </c>
      <c r="L49" s="16">
        <v>43.73</v>
      </c>
      <c r="M49" s="16">
        <v>43.51</v>
      </c>
      <c r="N49" s="16">
        <v>54.58</v>
      </c>
      <c r="O49" s="16">
        <v>61.26</v>
      </c>
      <c r="P49" s="16">
        <v>30.37</v>
      </c>
      <c r="Q49" s="16">
        <v>26.65</v>
      </c>
      <c r="R49" s="16">
        <v>19.15</v>
      </c>
      <c r="S49" s="16">
        <v>7.44</v>
      </c>
      <c r="T49" s="16">
        <v>43.04</v>
      </c>
      <c r="U49" s="16">
        <v>17.27</v>
      </c>
      <c r="V49" s="16">
        <v>18.52</v>
      </c>
      <c r="W49" s="16">
        <v>17.45</v>
      </c>
      <c r="X49" s="36"/>
      <c r="Y49" s="36"/>
      <c r="Z49" s="36"/>
      <c r="AA49" s="36"/>
      <c r="AB49" s="36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</row>
    <row r="50">
      <c r="A50" s="40" t="s">
        <v>49</v>
      </c>
      <c r="B50" s="41"/>
      <c r="C50" s="41"/>
      <c r="D50" s="42">
        <v>542625.0</v>
      </c>
      <c r="E50" s="42">
        <v>531477.0</v>
      </c>
      <c r="F50" s="42">
        <v>517810.0</v>
      </c>
      <c r="G50" s="42">
        <v>465600.0</v>
      </c>
      <c r="H50" s="43">
        <v>468711.0</v>
      </c>
      <c r="I50" s="43">
        <v>406470.0</v>
      </c>
      <c r="J50" s="43">
        <v>408950.0</v>
      </c>
      <c r="K50" s="43">
        <v>528921.0</v>
      </c>
      <c r="L50" s="43">
        <v>450662.0</v>
      </c>
      <c r="M50" s="43">
        <v>411379.0</v>
      </c>
      <c r="N50" s="43">
        <v>418601.0</v>
      </c>
      <c r="O50" s="43">
        <v>385702.0</v>
      </c>
      <c r="P50" s="43">
        <v>347815.0</v>
      </c>
      <c r="Q50" s="43">
        <v>320001.0</v>
      </c>
      <c r="R50" s="43">
        <v>267300.0</v>
      </c>
      <c r="S50" s="43">
        <v>272000.0</v>
      </c>
      <c r="T50" s="43">
        <v>339590.0</v>
      </c>
      <c r="U50" s="43">
        <v>311832.0</v>
      </c>
      <c r="V50" s="43">
        <v>318350.0</v>
      </c>
      <c r="W50" s="44">
        <v>301215.0</v>
      </c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</row>
    <row r="51">
      <c r="A51" s="40" t="s">
        <v>50</v>
      </c>
      <c r="B51" s="41"/>
      <c r="C51" s="41"/>
      <c r="D51" s="43">
        <v>356.660004</v>
      </c>
      <c r="E51" s="43">
        <v>350.299988</v>
      </c>
      <c r="F51" s="43">
        <v>341.0</v>
      </c>
      <c r="G51" s="43">
        <v>308.769989</v>
      </c>
      <c r="H51" s="43">
        <v>308.899994</v>
      </c>
      <c r="I51" s="43">
        <v>267.019989</v>
      </c>
      <c r="J51" s="43">
        <v>273.019989</v>
      </c>
      <c r="K51" s="43">
        <v>352.910004</v>
      </c>
      <c r="L51" s="43">
        <v>299.0</v>
      </c>
      <c r="M51" s="43">
        <v>272.940002</v>
      </c>
      <c r="N51" s="43">
        <v>277.920013</v>
      </c>
      <c r="O51" s="43">
        <v>255.470001</v>
      </c>
      <c r="P51" s="43">
        <v>231.869995</v>
      </c>
      <c r="Q51" s="43">
        <v>212.940002</v>
      </c>
      <c r="R51" s="43">
        <v>178.509995</v>
      </c>
      <c r="S51" s="43">
        <v>182.830002</v>
      </c>
      <c r="T51" s="43">
        <v>226.5</v>
      </c>
      <c r="U51" s="43">
        <v>208.020004</v>
      </c>
      <c r="V51" s="43">
        <v>213.169998</v>
      </c>
      <c r="W51" s="46">
        <v>200.89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</row>
    <row r="52">
      <c r="A52" s="14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</row>
    <row r="53">
      <c r="A53" s="14"/>
      <c r="X53" s="47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</row>
    <row r="54">
      <c r="A54" s="48" t="s">
        <v>51</v>
      </c>
      <c r="B54" s="42" t="s">
        <v>49</v>
      </c>
      <c r="C54" s="41"/>
      <c r="D54" s="42">
        <v>578020.0</v>
      </c>
      <c r="E54" s="42">
        <v>517825.0</v>
      </c>
      <c r="F54" s="42">
        <v>535400.0</v>
      </c>
      <c r="G54" s="42">
        <v>502880.0</v>
      </c>
      <c r="H54" s="42">
        <v>473000.0</v>
      </c>
      <c r="I54" s="42">
        <v>445050.0</v>
      </c>
      <c r="J54" s="43">
        <v>451700.0</v>
      </c>
      <c r="K54" s="43">
        <v>484340.0</v>
      </c>
      <c r="L54" s="43">
        <v>469805.0</v>
      </c>
      <c r="M54" s="43">
        <v>432902.0</v>
      </c>
      <c r="N54" s="43">
        <v>418900.0</v>
      </c>
      <c r="O54" s="43">
        <v>412500.0</v>
      </c>
      <c r="P54" s="43">
        <v>344100.0</v>
      </c>
      <c r="Q54" s="43">
        <v>302500.0</v>
      </c>
      <c r="R54" s="43">
        <v>293631.0</v>
      </c>
      <c r="S54" s="43">
        <v>281700.0</v>
      </c>
      <c r="T54" s="43">
        <v>335996.0</v>
      </c>
      <c r="U54" s="43">
        <v>318939.0</v>
      </c>
      <c r="V54" s="43">
        <v>308666.0</v>
      </c>
      <c r="W54" s="43">
        <v>325080.0</v>
      </c>
      <c r="X54" s="25"/>
      <c r="Y54" s="25"/>
      <c r="Z54" s="25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</row>
    <row r="55">
      <c r="A55" s="48" t="s">
        <v>52</v>
      </c>
      <c r="B55" s="42" t="s">
        <v>49</v>
      </c>
      <c r="C55" s="41"/>
      <c r="D55" s="42">
        <v>616561.0</v>
      </c>
      <c r="E55" s="42">
        <v>545900.0</v>
      </c>
      <c r="F55" s="42">
        <v>546725.0</v>
      </c>
      <c r="G55" s="42">
        <v>488024.0</v>
      </c>
      <c r="H55" s="42">
        <v>463525.0</v>
      </c>
      <c r="I55" s="43">
        <v>480280.0</v>
      </c>
      <c r="J55" s="43">
        <v>421308.0</v>
      </c>
      <c r="K55" s="43">
        <v>474050.0</v>
      </c>
      <c r="L55" s="43">
        <v>476205.0</v>
      </c>
      <c r="M55" s="43">
        <v>416876.0</v>
      </c>
      <c r="N55" s="43">
        <v>429900.0</v>
      </c>
      <c r="O55" s="43">
        <v>436000.0</v>
      </c>
      <c r="P55" s="43">
        <v>364580.0</v>
      </c>
      <c r="Q55" s="43">
        <v>343688.0</v>
      </c>
      <c r="R55" s="43">
        <v>327560.0</v>
      </c>
      <c r="S55" s="43">
        <v>278640.0</v>
      </c>
      <c r="T55" s="43">
        <v>309096.0</v>
      </c>
      <c r="U55" s="43">
        <v>330495.0</v>
      </c>
      <c r="V55" s="43">
        <v>303078.0</v>
      </c>
      <c r="W55" s="43">
        <v>297060.0</v>
      </c>
      <c r="X55" s="27"/>
      <c r="Y55" s="25"/>
      <c r="Z55" s="25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</row>
    <row r="56">
      <c r="A56" s="48" t="s">
        <v>53</v>
      </c>
      <c r="B56" s="42" t="s">
        <v>49</v>
      </c>
      <c r="C56" s="41"/>
      <c r="D56" s="42">
        <v>628390.0</v>
      </c>
      <c r="E56" s="42">
        <v>542625.0</v>
      </c>
      <c r="F56" s="42">
        <v>531477.0</v>
      </c>
      <c r="G56" s="42">
        <v>517810.0</v>
      </c>
      <c r="H56" s="42">
        <v>465600.0</v>
      </c>
      <c r="I56" s="43">
        <v>468711.0</v>
      </c>
      <c r="J56" s="43">
        <v>406470.0</v>
      </c>
      <c r="K56" s="43">
        <v>408950.0</v>
      </c>
      <c r="L56" s="43">
        <v>528921.0</v>
      </c>
      <c r="M56" s="43">
        <v>450662.0</v>
      </c>
      <c r="N56" s="43">
        <v>411379.0</v>
      </c>
      <c r="O56" s="43">
        <v>418601.0</v>
      </c>
      <c r="P56" s="43">
        <v>385702.0</v>
      </c>
      <c r="Q56" s="43">
        <v>347815.0</v>
      </c>
      <c r="R56" s="43">
        <v>320001.0</v>
      </c>
      <c r="S56" s="43">
        <v>267300.0</v>
      </c>
      <c r="T56" s="43">
        <v>272000.0</v>
      </c>
      <c r="U56" s="43">
        <v>339590.0</v>
      </c>
      <c r="V56" s="43">
        <v>311832.0</v>
      </c>
      <c r="W56" s="43">
        <v>318350.0</v>
      </c>
      <c r="X56" s="28"/>
      <c r="Y56" s="25"/>
      <c r="Z56" s="25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49"/>
      <c r="AV56" s="49"/>
      <c r="AW56" s="49"/>
      <c r="AX56" s="49"/>
      <c r="AY56" s="49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</row>
    <row r="57">
      <c r="X57" s="28"/>
      <c r="Y57" s="25"/>
      <c r="Z57" s="25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</row>
    <row r="58">
      <c r="A58" s="48" t="s">
        <v>51</v>
      </c>
      <c r="B58" s="50" t="s">
        <v>50</v>
      </c>
      <c r="C58" s="51"/>
      <c r="D58" s="52">
        <v>383.73999</v>
      </c>
      <c r="E58" s="52">
        <v>341.329987</v>
      </c>
      <c r="F58" s="52">
        <v>351.959991</v>
      </c>
      <c r="G58" s="52">
        <v>328.549988</v>
      </c>
      <c r="H58" s="52">
        <v>311.519989</v>
      </c>
      <c r="I58" s="52">
        <v>295.089996</v>
      </c>
      <c r="J58" s="52">
        <v>300.600006</v>
      </c>
      <c r="K58" s="52">
        <v>322.829987</v>
      </c>
      <c r="L58" s="52">
        <v>313.019989</v>
      </c>
      <c r="M58" s="52">
        <v>287.01001</v>
      </c>
      <c r="N58" s="52">
        <v>278.290009</v>
      </c>
      <c r="O58" s="52">
        <v>274.950012</v>
      </c>
      <c r="P58" s="52">
        <v>227.869995</v>
      </c>
      <c r="Q58" s="52">
        <v>201.899994</v>
      </c>
      <c r="R58" s="52">
        <v>195.779999</v>
      </c>
      <c r="S58" s="52">
        <v>187.360001</v>
      </c>
      <c r="T58" s="52">
        <v>224.429993</v>
      </c>
      <c r="U58" s="52">
        <v>212.580002</v>
      </c>
      <c r="V58" s="52">
        <v>205.429993</v>
      </c>
      <c r="W58" s="52">
        <v>216.710007</v>
      </c>
      <c r="X58" s="28"/>
      <c r="Y58" s="25"/>
      <c r="Z58" s="25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</row>
    <row r="59">
      <c r="A59" s="48" t="s">
        <v>52</v>
      </c>
      <c r="B59" s="50" t="s">
        <v>50</v>
      </c>
      <c r="C59" s="51"/>
      <c r="D59" s="52">
        <v>409.399994</v>
      </c>
      <c r="E59" s="52">
        <v>360.0</v>
      </c>
      <c r="F59" s="52">
        <v>360.200012</v>
      </c>
      <c r="G59" s="52">
        <v>321.079987</v>
      </c>
      <c r="H59" s="52">
        <v>305.179993</v>
      </c>
      <c r="I59" s="52">
        <v>318.600006</v>
      </c>
      <c r="J59" s="52">
        <v>280.799988</v>
      </c>
      <c r="K59" s="52">
        <v>315.980011</v>
      </c>
      <c r="L59" s="52">
        <v>321.450012</v>
      </c>
      <c r="M59" s="52">
        <v>276.690002</v>
      </c>
      <c r="N59" s="52">
        <v>285.769989</v>
      </c>
      <c r="O59" s="52">
        <v>289.440002</v>
      </c>
      <c r="P59" s="52">
        <v>240.509995</v>
      </c>
      <c r="Q59" s="52">
        <v>228.910004</v>
      </c>
      <c r="R59" s="52">
        <v>218.039993</v>
      </c>
      <c r="S59" s="52">
        <v>185.580002</v>
      </c>
      <c r="T59" s="52">
        <v>206.339996</v>
      </c>
      <c r="U59" s="52">
        <v>220.300003</v>
      </c>
      <c r="V59" s="52">
        <v>203.410004</v>
      </c>
      <c r="W59" s="52">
        <v>197.419998</v>
      </c>
      <c r="X59" s="29"/>
      <c r="Y59" s="25"/>
      <c r="Z59" s="25"/>
      <c r="AA59" s="1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</row>
    <row r="60">
      <c r="A60" s="48" t="s">
        <v>53</v>
      </c>
      <c r="B60" s="50" t="s">
        <v>50</v>
      </c>
      <c r="C60" s="51"/>
      <c r="D60" s="52">
        <v>416.109985</v>
      </c>
      <c r="E60" s="52">
        <v>356.660004</v>
      </c>
      <c r="F60" s="52">
        <v>350.299988</v>
      </c>
      <c r="G60" s="52">
        <v>341.0</v>
      </c>
      <c r="H60" s="52">
        <v>308.769989</v>
      </c>
      <c r="I60" s="52">
        <v>308.899994</v>
      </c>
      <c r="J60" s="52">
        <v>267.019989</v>
      </c>
      <c r="K60" s="52">
        <v>273.019989</v>
      </c>
      <c r="L60" s="52">
        <v>352.910004</v>
      </c>
      <c r="M60" s="52">
        <v>299.0</v>
      </c>
      <c r="N60" s="52">
        <v>272.940002</v>
      </c>
      <c r="O60" s="52">
        <v>277.920013</v>
      </c>
      <c r="P60" s="52">
        <v>255.470001</v>
      </c>
      <c r="Q60" s="52">
        <v>231.869995</v>
      </c>
      <c r="R60" s="52">
        <v>212.940002</v>
      </c>
      <c r="S60" s="52">
        <v>178.509995</v>
      </c>
      <c r="T60" s="52">
        <v>182.830002</v>
      </c>
      <c r="U60" s="52">
        <v>226.5</v>
      </c>
      <c r="V60" s="52">
        <v>208.020004</v>
      </c>
      <c r="W60" s="52">
        <v>213.169998</v>
      </c>
      <c r="X60" s="30"/>
      <c r="Y60" s="31"/>
      <c r="Z60" s="31"/>
      <c r="AA60" s="32"/>
      <c r="AB60" s="29"/>
      <c r="AC60" s="29"/>
      <c r="AD60" s="29"/>
      <c r="AE60" s="29"/>
      <c r="AF60" s="29"/>
      <c r="AG60" s="29"/>
      <c r="AH60" s="26"/>
      <c r="AI60" s="29"/>
      <c r="AJ60" s="26"/>
      <c r="AK60" s="29"/>
      <c r="AL60" s="26"/>
      <c r="AM60" s="29"/>
      <c r="AN60" s="29"/>
      <c r="AO60" s="29"/>
      <c r="AP60" s="29"/>
      <c r="AQ60" s="26"/>
      <c r="AR60" s="29"/>
      <c r="AS60" s="29"/>
      <c r="AT60" s="29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31"/>
      <c r="Z61" s="31"/>
      <c r="AA61" s="29"/>
      <c r="AB61" s="29"/>
      <c r="AC61" s="29"/>
      <c r="AD61" s="29"/>
      <c r="AE61" s="29"/>
      <c r="AF61" s="29"/>
      <c r="AG61" s="29"/>
      <c r="AH61" s="26"/>
      <c r="AI61" s="29"/>
      <c r="AJ61" s="29"/>
      <c r="AK61" s="29"/>
      <c r="AL61" s="26"/>
      <c r="AM61" s="29"/>
      <c r="AN61" s="29"/>
      <c r="AO61" s="29"/>
      <c r="AP61" s="29"/>
      <c r="AQ61" s="29"/>
      <c r="AR61" s="29"/>
      <c r="AS61" s="29"/>
      <c r="AT61" s="29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53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25"/>
      <c r="Z63" s="25"/>
      <c r="AA63" s="1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1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1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</row>
    <row r="67">
      <c r="A67" s="25"/>
      <c r="B67" s="25"/>
      <c r="C67" s="25"/>
      <c r="D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</row>
    <row r="68">
      <c r="A68" s="14"/>
      <c r="B68" s="14"/>
      <c r="C68" s="14"/>
      <c r="D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25"/>
      <c r="AA68" s="16"/>
      <c r="AB68" s="2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</row>
    <row r="69">
      <c r="A69" s="14"/>
      <c r="B69" s="14"/>
      <c r="C69" s="14"/>
      <c r="D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25"/>
      <c r="AA69" s="16"/>
      <c r="AB69" s="2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</row>
    <row r="70">
      <c r="A70" s="14"/>
      <c r="B70" s="14"/>
      <c r="C70" s="14"/>
      <c r="D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25"/>
      <c r="AA70" s="26"/>
      <c r="AB70" s="2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</row>
    <row r="71">
      <c r="A71" s="39"/>
      <c r="B71" s="39"/>
      <c r="C71" s="39"/>
      <c r="D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14"/>
      <c r="Z71" s="25"/>
      <c r="AA71" s="16"/>
      <c r="AB71" s="2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</row>
    <row r="72">
      <c r="C72" s="55"/>
      <c r="D72" s="39"/>
    </row>
    <row r="73">
      <c r="C73" s="56"/>
      <c r="D73" s="55"/>
    </row>
    <row r="74">
      <c r="A74" s="56"/>
      <c r="B74" s="56"/>
      <c r="C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</row>
    <row r="86">
      <c r="C86" s="56"/>
    </row>
    <row r="87">
      <c r="C87" s="56"/>
    </row>
    <row r="88">
      <c r="C88" s="56"/>
    </row>
    <row r="89">
      <c r="C89" s="56"/>
    </row>
    <row r="90">
      <c r="C90" s="56"/>
    </row>
    <row r="91">
      <c r="C91" s="56"/>
    </row>
    <row r="92">
      <c r="C92" s="56"/>
    </row>
    <row r="93">
      <c r="C93" s="56"/>
    </row>
    <row r="94">
      <c r="C94" s="56"/>
    </row>
    <row r="95">
      <c r="C95" s="56"/>
    </row>
    <row r="96">
      <c r="C96" s="56"/>
    </row>
    <row r="97">
      <c r="C97" s="56"/>
    </row>
    <row r="98">
      <c r="C98" s="56"/>
    </row>
    <row r="99">
      <c r="C99" s="56"/>
    </row>
    <row r="100">
      <c r="C100" s="56"/>
    </row>
    <row r="101">
      <c r="C101" s="56"/>
    </row>
    <row r="102">
      <c r="C102" s="56"/>
    </row>
    <row r="103">
      <c r="C103" s="56"/>
    </row>
  </sheetData>
  <mergeCells count="8">
    <mergeCell ref="D1:G1"/>
    <mergeCell ref="H1:K1"/>
    <mergeCell ref="L1:O1"/>
    <mergeCell ref="P1:S1"/>
    <mergeCell ref="T1:W1"/>
    <mergeCell ref="A25:B25"/>
    <mergeCell ref="AB1:AE1"/>
    <mergeCell ref="AB4:AE4"/>
  </mergeCells>
  <drawing r:id="rId1"/>
</worksheet>
</file>