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ou\Documents\GitHub\CACBarcode\Spreadsheets (Like Excel)\"/>
    </mc:Choice>
  </mc:AlternateContent>
  <bookViews>
    <workbookView xWindow="0" yWindow="0" windowWidth="28800" windowHeight="12210"/>
  </bookViews>
  <sheets>
    <sheet name="PDF417 Reader" sheetId="1" r:id="rId1"/>
    <sheet name="CODE39 Reader" sheetId="2" r:id="rId2"/>
  </sheets>
  <calcPr calcId="171027"/>
</workbook>
</file>

<file path=xl/calcChain.xml><?xml version="1.0" encoding="utf-8"?>
<calcChain xmlns="http://schemas.openxmlformats.org/spreadsheetml/2006/main">
  <c r="H2" i="2" l="1"/>
  <c r="D2" i="2"/>
  <c r="Z3" i="1"/>
  <c r="Z2" i="1"/>
  <c r="N3" i="1"/>
  <c r="N2" i="1"/>
  <c r="I3" i="1"/>
  <c r="I2" i="1"/>
  <c r="E3" i="1"/>
  <c r="E2" i="1"/>
  <c r="M2" i="2" l="1"/>
  <c r="K2" i="2"/>
  <c r="L2" i="2" s="1"/>
  <c r="I2" i="2"/>
  <c r="J2" i="2" s="1"/>
  <c r="G2" i="2"/>
  <c r="E2" i="2"/>
  <c r="F2" i="2" s="1"/>
  <c r="C2" i="2"/>
  <c r="B2" i="2"/>
  <c r="AE3" i="1"/>
  <c r="AB3" i="1"/>
  <c r="Y3" i="1"/>
  <c r="AA3" i="1" s="1"/>
  <c r="X3" i="1"/>
  <c r="W3" i="1"/>
  <c r="V3" i="1"/>
  <c r="U3" i="1"/>
  <c r="T3" i="1"/>
  <c r="R3" i="1"/>
  <c r="S3" i="1" s="1"/>
  <c r="P3" i="1"/>
  <c r="Q3" i="1" s="1"/>
  <c r="M3" i="1"/>
  <c r="O3" i="1" s="1"/>
  <c r="L3" i="1"/>
  <c r="K3" i="1"/>
  <c r="J3" i="1"/>
  <c r="H3" i="1"/>
  <c r="F3" i="1"/>
  <c r="G3" i="1" s="1"/>
  <c r="D3" i="1"/>
  <c r="C3" i="1"/>
  <c r="B3" i="1"/>
  <c r="AE2" i="1"/>
  <c r="AB2" i="1"/>
  <c r="Y2" i="1"/>
  <c r="AA2" i="1" s="1"/>
  <c r="X2" i="1"/>
  <c r="W2" i="1"/>
  <c r="V2" i="1"/>
  <c r="T2" i="1"/>
  <c r="U2" i="1" s="1"/>
  <c r="S2" i="1"/>
  <c r="R2" i="1"/>
  <c r="P2" i="1"/>
  <c r="Q2" i="1" s="1"/>
  <c r="M2" i="1"/>
  <c r="O2" i="1" s="1"/>
  <c r="L2" i="1"/>
  <c r="K2" i="1"/>
  <c r="J2" i="1"/>
  <c r="H2" i="1"/>
  <c r="F2" i="1"/>
  <c r="G2" i="1" s="1"/>
  <c r="D2" i="1"/>
  <c r="C2" i="1"/>
  <c r="B2" i="1"/>
  <c r="AC3" i="1"/>
  <c r="AC2" i="1"/>
  <c r="AD2" i="1" l="1"/>
  <c r="AD3" i="1"/>
</calcChain>
</file>

<file path=xl/sharedStrings.xml><?xml version="1.0" encoding="utf-8"?>
<sst xmlns="http://schemas.openxmlformats.org/spreadsheetml/2006/main" count="49" uniqueCount="37">
  <si>
    <t>PDF417</t>
  </si>
  <si>
    <t>Error?</t>
  </si>
  <si>
    <t>Version</t>
  </si>
  <si>
    <t>PDI Code</t>
  </si>
  <si>
    <t>PDI</t>
  </si>
  <si>
    <t>PDI Type Code</t>
  </si>
  <si>
    <t>PDI Type</t>
  </si>
  <si>
    <t>EDIPI Code</t>
  </si>
  <si>
    <t>EDIPI</t>
  </si>
  <si>
    <t>First</t>
  </si>
  <si>
    <t>Last</t>
  </si>
  <si>
    <t>Middle</t>
  </si>
  <si>
    <t>DOB Code</t>
  </si>
  <si>
    <t>PCC Code</t>
  </si>
  <si>
    <t>PCC</t>
  </si>
  <si>
    <t>Branch Code</t>
  </si>
  <si>
    <t>Branch</t>
  </si>
  <si>
    <t>PECT Code</t>
  </si>
  <si>
    <t>PECT</t>
  </si>
  <si>
    <t>Rank</t>
  </si>
  <si>
    <t>Pay Plan Code</t>
  </si>
  <si>
    <t>Pay Plan Grade Code</t>
  </si>
  <si>
    <t>Issued Code</t>
  </si>
  <si>
    <t>Expires Code</t>
  </si>
  <si>
    <t>Card instance Identifier</t>
  </si>
  <si>
    <t>NIBBB8SS1BBBC33Robotic             Rice                      BBBQVM00PVT/LCME02B9QEBASLVD</t>
  </si>
  <si>
    <t>NTONMLLF0TVJ7IUJohn                Doe                       AS7OT414TSGT  ME06BA4TBAGATF</t>
  </si>
  <si>
    <t>CODE39</t>
  </si>
  <si>
    <t>1TPPP1DX1BBBC33VMV</t>
  </si>
  <si>
    <t>DOB #</t>
  </si>
  <si>
    <t>DOB Date</t>
  </si>
  <si>
    <t>^^ See https://www.opm.gov/policy-data-oversight/pay-leave/pay-administration/fact-sheets/pay-plans/</t>
  </si>
  <si>
    <t>Issued #</t>
  </si>
  <si>
    <t>Expires #</t>
  </si>
  <si>
    <t>Exp Date</t>
  </si>
  <si>
    <t>Iss Date</t>
  </si>
  <si>
    <t>^ ME = Marine Enlisted?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</si>
</sst>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7" x14ac:knownFonts="1">
    <font>
      <sz val="11"/>
      <color theme="1"/>
      <name val="Arial"/>
      <family val="2"/>
    </font>
    <font>
      <b/>
      <sz val="11"/>
      <color rgb="FFFA7D00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0000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2" xfId="0" applyBorder="1"/>
    <xf numFmtId="14" fontId="0" fillId="0" borderId="0" xfId="0" applyNumberFormat="1"/>
    <xf numFmtId="0" fontId="1" fillId="2" borderId="1" xfId="1"/>
    <xf numFmtId="0" fontId="1" fillId="2" borderId="3" xfId="1" applyBorder="1"/>
    <xf numFmtId="0" fontId="1" fillId="2" borderId="4" xfId="1" applyBorder="1"/>
    <xf numFmtId="0" fontId="0" fillId="0" borderId="5" xfId="0" applyBorder="1"/>
  </cellXfs>
  <cellStyles count="6">
    <cellStyle name="Calculation" xfId="1" builtinId="22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6"/>
  <sheetViews>
    <sheetView tabSelected="1" workbookViewId="0">
      <selection activeCell="A4" sqref="A4"/>
    </sheetView>
  </sheetViews>
  <sheetFormatPr defaultRowHeight="14.25" x14ac:dyDescent="0.2"/>
  <cols>
    <col min="1" max="1" width="81" style="10" bestFit="1" customWidth="1"/>
    <col min="2" max="2" width="9.75" customWidth="1"/>
    <col min="3" max="3" width="8.75" customWidth="1"/>
    <col min="4" max="4" width="10.875" customWidth="1"/>
    <col min="5" max="5" width="11.625" customWidth="1"/>
    <col min="6" max="6" width="12.875" customWidth="1"/>
    <col min="7" max="7" width="24.5" customWidth="1"/>
    <col min="8" max="8" width="10.125" customWidth="1"/>
    <col min="9" max="9" width="10.625" customWidth="1"/>
    <col min="10" max="10" width="15.5" customWidth="1"/>
    <col min="11" max="11" width="16.375" customWidth="1"/>
    <col min="12" max="12" width="5.75" customWidth="1"/>
    <col min="13" max="13" width="9.625" customWidth="1"/>
    <col min="14" max="14" width="9.5" customWidth="1"/>
    <col min="15" max="15" width="10.75" customWidth="1"/>
    <col min="16" max="16" width="9.5" customWidth="1"/>
    <col min="17" max="17" width="19.875" customWidth="1"/>
    <col min="18" max="18" width="11.25" customWidth="1"/>
    <col min="19" max="20" width="10.375" customWidth="1"/>
    <col min="21" max="21" width="47.25" customWidth="1"/>
    <col min="22" max="22" width="6.5" customWidth="1"/>
    <col min="23" max="23" width="12.5" customWidth="1"/>
    <col min="24" max="24" width="18" customWidth="1"/>
    <col min="25" max="30" width="10.75" customWidth="1"/>
    <col min="31" max="31" width="18.75" customWidth="1"/>
  </cols>
  <sheetData>
    <row r="1" spans="1:31" s="7" customFormat="1" ht="15" x14ac:dyDescent="0.25">
      <c r="A1" s="9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29</v>
      </c>
      <c r="O1" s="7" t="s">
        <v>30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32</v>
      </c>
      <c r="AA1" s="7" t="s">
        <v>35</v>
      </c>
      <c r="AB1" s="7" t="s">
        <v>23</v>
      </c>
      <c r="AC1" s="7" t="s">
        <v>33</v>
      </c>
      <c r="AD1" s="7" t="s">
        <v>34</v>
      </c>
      <c r="AE1" s="7" t="s">
        <v>24</v>
      </c>
    </row>
    <row r="2" spans="1:31" x14ac:dyDescent="0.2">
      <c r="A2" s="10" t="s">
        <v>25</v>
      </c>
      <c r="B2" t="str">
        <f>IF(OR(LEN(A2)=89, LEN(A2)=88), "No Error", "Len Error")</f>
        <v>No Error</v>
      </c>
      <c r="C2" t="str">
        <f>MID(A2, 1, 1)</f>
        <v>N</v>
      </c>
      <c r="D2" t="str">
        <f>MID(A2, 2, 6)</f>
        <v>IBBB8S</v>
      </c>
      <c r="E2">
        <f>exhex2dec(D2)</f>
        <v>615886108</v>
      </c>
      <c r="F2" t="str">
        <f>MID(A2,8,1)</f>
        <v>S</v>
      </c>
      <c r="G2" t="str">
        <f>IF(F2="S","Social Security Number (SSN)",IF(F2="N","9 digits, not valid SSN",IF(F2="P","Special code before SSNs",IF(F2="D","Temporary Identifier Number (TIN)",IF(F2="F","Foereign Identifier Number (FIN)",IF(F2="T","Test (858 series)",IF(F2="I","Individual Taxpayer Indentification Number","Other")))))))</f>
        <v>Social Security Number (SSN)</v>
      </c>
      <c r="H2" t="str">
        <f>MID(A2, 9, 7)</f>
        <v>1BBBC33</v>
      </c>
      <c r="I2">
        <f>exhex2dec(H2)</f>
        <v>1454747747</v>
      </c>
      <c r="J2" t="str">
        <f>MID(A2,16,20)</f>
        <v xml:space="preserve">Robotic             </v>
      </c>
      <c r="K2" t="str">
        <f>MID(A2,36,26)</f>
        <v xml:space="preserve">Rice                      </v>
      </c>
      <c r="L2" t="str">
        <f>IF(LEN(A2)=89, MID(A2, 89, 1), "N/A")</f>
        <v>D</v>
      </c>
      <c r="M2" t="str">
        <f>MID(A2,62,4)</f>
        <v>BBBQ</v>
      </c>
      <c r="N2">
        <f>exhex2dec(M2)</f>
        <v>372090</v>
      </c>
      <c r="O2" s="6">
        <f t="shared" ref="O2:O3" si="0">DATE(YEAR(DATE(1000,1,1)+N2)-1900,MONTH(DATE(1000,1,1)+N2),DAY(DATE(1000,1,1)+N2))</f>
        <v>43375</v>
      </c>
      <c r="P2" t="str">
        <f>MID(A2,66,1)</f>
        <v>V</v>
      </c>
      <c r="Q2" t="str">
        <f>IF(P2="A","Active Duty member",IF(P2="B","Presidential Appointee",IF(P2="C","DoD civil service employee",IF(P2="D","100% disabled American veteran",IF(P2="E","DoD contract employee",IF(P2="F","Former member",IF(OR(P2="G",P2="N"),"National Guard member",IF(P2="H","Medal of Honor recipient",IF(P2="I","Non-DoD Civil Service Employee",IF(P2="J","Academy student",IF(P2="K","non-appropriated fund (NAF) DoD employee",IF(P2="L","Lighthouse service",IF(P2="M","Non-Government agency personnel",IF(P2="O","Non-Dod contract employee",IF(P2="Q","Reserve retiree not yet eligible for retired pay",IF(P2="R","Retired Uniformed Service member eligible for retired pay",IF(OR(P2="S",P2="V"),"Reserve",IF(P2="T","Foreign military member",IF(P2="U","Foreign national employee",IF(P2="W","DoD Beneficiary",IF(P2="Y","Retired DoD Civil Service Employees","Other")))))))))))))))))))))</f>
        <v>Reserve</v>
      </c>
      <c r="R2" t="str">
        <f>MID(A2,67,1)</f>
        <v>M</v>
      </c>
      <c r="S2" t="str">
        <f>IF(R2="A","USA",IF(R2="C","USCG",IF(R2="D","DOD",IF(R2="F","USAF",IF(R2="H","USPHS",IF(R2="M","USMC",IF(R2="N","USN",IF(R2="O","NOAA",IF(R2="1","Foreign Army",IF(R2="2","Foreign Marine Corps",IF(R2="3","Foreign Air Force","Other")))))))))))</f>
        <v>USMC</v>
      </c>
      <c r="T2" t="str">
        <f>MID(A2,68,2)</f>
        <v>00</v>
      </c>
      <c r="U2" t="str">
        <f>IF(T2="01","On Active Duty. Segment condition.",IF(T2="02","Mobilization. Segment condition.",IF(T2="03","On appellate leave. Segment condition.",IF(T2="04","Military prisoner. Segment condition",IF(T2="05","POW/MIA. Segment condition.",IF(T2="06","Seperated from Selected Reserve. Event condition.",IF(T2="07","Declared permanently disabled after temporary disability period. Event condition.",IF(T2="08","On non-CONUS assignment. Segment condition.",IF(T2="09","Living in Guam or Puerto Rico. Segment condition.",IF(T2="10","Living in government quarters. Segment condition.",IF(T2="11","Death determined to be related to an injury, illness, or disease while on Active duty for training or while traveling to or from a place of duty. Event condition.",IF(T2="12","Discharged due to misconduct involving family member abuse. (Sponsors who are eligible for retirement.) Segment condition.",IF(T2="13","Granted retired pay. Event condition.",IF(T2="14","DoD sponsored in U.S. (foreign military). Segment condition.",IF(T2="15","Dod non-sponsored in U.S. (foreign military). Segment condition.",IF(T2="16","Dod sponsored overseas. Segment condition.",IF(T2="17","Deserter. Segment condition.",IF(T2="18","Discharged due to misconduct involving family member abuse. (Sponsors who are not eligible for retirement.) Segment condition.",IF(T2="19","Reservist who dies after receiving their 20 year letter. Event condition.",IF(T2="20","Transitional assistance (TA-30). Segment condition.",IF(T2="21","Transitional assistance (TA-Res). Segment condition.",IF(T2="22","Transitional assistance (TA-60). Segment condition.",IF(T2="23","Transitional assistance (TA-120). Segment condition.",IF(T2="24","Transitional assistance (SSB program). Segment condition.",IF(T2="25","Transitional assistance (VSI program). Segment condition.",IF(T2="26","Transitional assistance (composite). Segment condition.",IF(T2="27","Senior Executive Service (SES).",IF(T2="28","Emergency Essential - overseas only.",IF(T2="29","Emergency Essential - CONUS.",IF(T2="30","Emergency Essential - CONUS in living quarters, living on base, and not drawing a basic allowance for quarters, serving in an emergency capacity.",IF(T2="31","Reserve Component TA-120 Reserve Component Transitional Assistance TA 120 (Jan 1, 2002 or later)",IF(T2="32","On MSC owned and operated vessels Deployed to foreign countries on Military Sealift Command owned and operated vessels. Segment condition.",IF(T2="33","Guard/Reserve Alert Notification Period",IF(OR(T2="34",T2="35"),"Reserve Component TA-180 - 180 days TAMPS for reserve return from named contingencies.",IF(OR(T2="36",T2="37"),"TA-180 - 180 days TAMP for involuntary separation.",IF(T2="38","Living in Government Quarters in Guam or Puerto Rico, Living on base and not drawing an allowance for quaters in Guam or Puerto Rico.",IF(T2="39","Reserve Component TA-180 - TAMP - Mobilized for Contingency.",IF(T2="40","TA-180 TAMP - SPD Code Seperation.",IF(T2="41","TA-180 - TAMP - Stop/Loss Seperation.",IF(T2="42","DoD Non-Sponsored Overseas - Foreign Military personnel serving OCONUS not sponsored by DoD.","Other"))))))))))))))))))))))))))))))))))))))))</f>
        <v>Other</v>
      </c>
      <c r="V2" t="str">
        <f>MID(A2,70,6)</f>
        <v>PVT/LC</v>
      </c>
      <c r="W2" t="str">
        <f>MID(A2,76,2)</f>
        <v>ME</v>
      </c>
      <c r="X2" t="str">
        <f>MID(A2,78,2)</f>
        <v>02</v>
      </c>
      <c r="Y2" t="str">
        <f>MID(A2,80,4)</f>
        <v>B9QE</v>
      </c>
      <c r="Z2">
        <f>exhex2dec(Y2)</f>
        <v>370510</v>
      </c>
      <c r="AA2" s="6">
        <f>DATE(YEAR(DATE(1000,1,1)+Z2)-1900,MONTH(DATE(1000,1,1)+Z2),DAY(DATE(1000,1,1)+Z2))</f>
        <v>41795</v>
      </c>
      <c r="AB2" t="str">
        <f>MID(A2,84,4)</f>
        <v>BASL</v>
      </c>
      <c r="AC2">
        <f>exhex2dec(AB2)</f>
        <v>371605</v>
      </c>
      <c r="AD2" s="6">
        <f>DATE(YEAR(DATE(1000,1,1)+AC2)-1900,MONTH(DATE(1000,1,1)+AC2),DAY(DATE(1000,1,1)+AC2))</f>
        <v>42890</v>
      </c>
      <c r="AE2" t="str">
        <f>MID(A2,88,1)</f>
        <v>V</v>
      </c>
    </row>
    <row r="3" spans="1:31" x14ac:dyDescent="0.2">
      <c r="A3" s="10" t="s">
        <v>26</v>
      </c>
      <c r="B3" t="str">
        <f>IF(OR(LEN(A3)=89, LEN(A3)=88), "No Error", "Len Error")</f>
        <v>No Error</v>
      </c>
      <c r="C3" t="str">
        <f>MID(A3, 1, 1)</f>
        <v>N</v>
      </c>
      <c r="D3" t="str">
        <f>MID(A3, 2, 6)</f>
        <v>TONMLL</v>
      </c>
      <c r="E3">
        <f>exhex2dec(D3)</f>
        <v>999021237</v>
      </c>
      <c r="F3" t="str">
        <f>MID(A3,8,1)</f>
        <v>F</v>
      </c>
      <c r="G3" t="str">
        <f>IF(F3="S","Social Security Number (SSN)",IF(F3="N","9 digits, not valid SSN",IF(F3="P","Special code before SSNs",IF(F3="D","Temporary Identifier Number (TIN)",IF(F3="F","Foereign Identifier Number (FIN)",IF(F3="T","Test (858 series)",IF(F3="I","Individual Taxpayer Indentification Number","Other")))))))</f>
        <v>Foereign Identifier Number (FIN)</v>
      </c>
      <c r="H3" t="str">
        <f>MID(A3, 9, 7)</f>
        <v>0TVJ7IU</v>
      </c>
      <c r="I3">
        <f>exhex2dec(H3)</f>
        <v>1006214750</v>
      </c>
      <c r="J3" t="str">
        <f>MID(A3,16,20)</f>
        <v xml:space="preserve">John                </v>
      </c>
      <c r="K3" t="str">
        <f>MID(A3,36,26)</f>
        <v xml:space="preserve">Doe                       </v>
      </c>
      <c r="L3" t="str">
        <f>IF(LEN(A3)=89, MID(A3, 89, 1), "N/A")</f>
        <v>F</v>
      </c>
      <c r="M3" t="str">
        <f>MID(A3,62,4)</f>
        <v>AS7O</v>
      </c>
      <c r="N3">
        <f>exhex2dec(M3)</f>
        <v>356600</v>
      </c>
      <c r="O3" s="6">
        <f t="shared" si="0"/>
        <v>27884</v>
      </c>
      <c r="P3" t="str">
        <f>MID(A3,66,1)</f>
        <v>T</v>
      </c>
      <c r="Q3" t="str">
        <f>IF(P3="A","Active Duty member",IF(P3="B","Presidential Appointee",IF(P3="C","DoD civil service employee",IF(P3="D","100% disabled American veteran",IF(P3="E","DoD contract employee",IF(P3="F","Former member",IF(OR(P3="G",P3="N"),"National Guard member",IF(P3="H","Medal of Honor recipient",IF(P3="I","Non-DoD Civil Service Employee",IF(P3="J","Academy student",IF(P3="K","non-appropriated fund (NAF) DoD employee",IF(P3="L","Lighthouse service",IF(P3="M","Non-Government agency personnel",IF(P3="O","Non-Dod contract employee",IF(P3="Q","Reserve retiree not yet eligible for retired pay",IF(P3="R","Retired Uniformed Service member eligible for retired pay",IF(OR(P3="S",P3="V"),"Reserve",IF(P3="T","Foreign military member",IF(P3="U","Foreign national employee",IF(P3="W","DoD Beneficiary",IF(P3="Y","Retired DoD Civil Service Employees","Other")))))))))))))))))))))</f>
        <v>Foreign military member</v>
      </c>
      <c r="R3" t="str">
        <f>MID(A3,67,1)</f>
        <v>4</v>
      </c>
      <c r="S3" t="str">
        <f>IF(R3="A","USA",IF(R3="C","USCG",IF(R3="D","DOD",IF(R3="F","USAF",IF(R3="H","USPHS",IF(R3="M","USMC",IF(R3="N","USN",IF(R3="O","NOAA",IF(R3="1","Foreign Army",IF(R3="2","Foreign Marine Corps",IF(R3="3","Foreign Air Force","Other")))))))))))</f>
        <v>Other</v>
      </c>
      <c r="T3" t="str">
        <f>MID(A3,68,2)</f>
        <v>14</v>
      </c>
      <c r="U3" t="str">
        <f>IF(T3="01","On Active Duty. Segment condition.",IF(T3="02","Mobilization. Segment condition.",IF(T3="03","On appellate leave. Segment condition.",IF(T3="04","Military prisoner. Segment condition",IF(T3="05","POW/MIA. Segment condition.",IF(T3="06","Seperated from Selected Reserve. Event condition.",IF(T3="07","Declared permanently disabled after temporary disability period. Event condition.",IF(T3="08","On non-CONUS assignment. Segment condition.",IF(T3="09","Living in Guam or Puerto Rico. Segment condition.",IF(T3="10","Living in government quarters. Segment condition.",IF(T3="11","Death determined to be related to an injury, illness, or disease while on Active duty for training or while traveling to or from a place of duty. Event condition.",IF(T3="12","Discharged due to misconduct involving family member abuse. (Sponsors who are eligible for retirement.) Segment condition.",IF(T3="13","Granted retired pay. Event condition.",IF(T3="14","DoD sponsored in U.S. (foreign military). Segment condition.",IF(T3="15","Dod non-sponsored in U.S. (foreign military). Segment condition.",IF(T3="16","Dod sponsored overseas. Segment condition.",IF(T3="17","Deserter. Segment condition.",IF(T3="18","Discharged due to misconduct involving family member abuse. (Sponsors who are not eligible for retirement.) Segment condition.",IF(T3="19","Reservist who dies after receiving their 20 year letter. Event condition.",IF(T3="20","Transitional assistance (TA-30). Segment condition.",IF(T3="21","Transitional assistance (TA-Res). Segment condition.",IF(T3="22","Transitional assistance (TA-60). Segment condition.",IF(T3="23","Transitional assistance (TA-120). Segment condition.",IF(T3="24","Transitional assistance (SSB program). Segment condition.",IF(T3="25","Transitional assistance (VSI program). Segment condition.",IF(T3="26","Transitional assistance (composite). Segment condition.",IF(T3="27","Senior Executive Service (SES).",IF(T3="28","Emergency Essential - overseas only.",IF(T3="29","Emergency Essential - CONUS.",IF(T3="30","Emergency Essential - CONUS in living quarters, living on base, and not drawing a basic allowance for quarters, serving in an emergency capacity.",IF(T3="31","Reserve Component TA-120 Reserve Component Transitional Assistance TA 120 (Jan 1, 2002 or later)",IF(T3="32","On MSC owned and operated vessels Deployed to foreign countries on Military Sealift Command owned and operated vessels. Segment condition.",IF(T3="33","Guard/Reserve Alert Notification Period",IF(OR(T3="34",T3="35"),"Reserve Component TA-180 - 180 days TAMPS for reserve return from named contingencies.",IF(OR(T3="36",T3="37"),"TA-180 - 180 days TAMP for involuntary separation.",IF(T3="38","Living in Government Quarters in Guam or Puerto Rico, Living on base and not drawing an allowance for quaters in Guam or Puerto Rico.",IF(T3="39","Reserve Component TA-180 - TAMP - Mobilized for Contingency.",IF(T3="40","TA-180 TAMP - SPD Code Seperation.",IF(T3="41","TA-180 - TAMP - Stop/Loss Seperation.",IF(T3="42","DoD Non-Sponsored Overseas - Foreign Military personnel serving OCONUS not sponsored by DoD.","Other"))))))))))))))))))))))))))))))))))))))))</f>
        <v>DoD sponsored in U.S. (foreign military). Segment condition.</v>
      </c>
      <c r="V3" t="str">
        <f>MID(A3,70,6)</f>
        <v xml:space="preserve">TSGT  </v>
      </c>
      <c r="W3" t="str">
        <f>MID(A3,76,2)</f>
        <v>ME</v>
      </c>
      <c r="X3" t="str">
        <f>MID(A3,78,2)</f>
        <v>06</v>
      </c>
      <c r="Y3" t="str">
        <f>MID(A3,80,4)</f>
        <v>BA4T</v>
      </c>
      <c r="Z3">
        <f>exhex2dec(Y3)</f>
        <v>370845</v>
      </c>
      <c r="AA3" s="6">
        <f t="shared" ref="AA3" si="1">DATE(YEAR(DATE(1000,1,1)+Z3)-1900,MONTH(DATE(1000,1,1)+Z3),DAY(DATE(1000,1,1)+Z3))</f>
        <v>42130</v>
      </c>
      <c r="AB3" t="str">
        <f>MID(A3,84,4)</f>
        <v>BAGA</v>
      </c>
      <c r="AC3">
        <f>exhex2dec(AB3)</f>
        <v>371210</v>
      </c>
      <c r="AD3" s="6">
        <f t="shared" ref="AD3" si="2">DATE(YEAR(DATE(1000,1,1)+AC3)-1900,MONTH(DATE(1000,1,1)+AC3),DAY(DATE(1000,1,1)+AC3))</f>
        <v>42495</v>
      </c>
      <c r="AE3" t="str">
        <f>MID(A3,88,1)</f>
        <v>T</v>
      </c>
    </row>
    <row r="4" spans="1:31" x14ac:dyDescent="0.2">
      <c r="O4" s="6"/>
      <c r="AA4" s="6"/>
      <c r="AD4" s="6"/>
    </row>
    <row r="5" spans="1:31" ht="15" x14ac:dyDescent="0.25"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ht="15" x14ac:dyDescent="0.25">
      <c r="N6" s="1"/>
      <c r="O6" s="1"/>
      <c r="P6" s="1"/>
      <c r="Q6" s="1"/>
      <c r="R6" s="1"/>
      <c r="S6" s="1"/>
      <c r="T6" s="1"/>
      <c r="U6" s="1"/>
      <c r="V6" s="1"/>
      <c r="W6" s="1" t="s">
        <v>36</v>
      </c>
      <c r="X6" s="1"/>
      <c r="Y6" s="1"/>
      <c r="Z6" s="1"/>
      <c r="AA6" s="1"/>
      <c r="AB6" s="1"/>
      <c r="AC6" s="1"/>
      <c r="AD6" s="1"/>
    </row>
    <row r="7" spans="1:31" x14ac:dyDescent="0.2">
      <c r="W7" t="s">
        <v>31</v>
      </c>
    </row>
    <row r="23" spans="8:9" x14ac:dyDescent="0.2">
      <c r="H23" s="2"/>
    </row>
    <row r="26" spans="8:9" x14ac:dyDescent="0.2">
      <c r="H26" s="3"/>
      <c r="I26" s="4"/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"/>
  <sheetViews>
    <sheetView workbookViewId="0">
      <selection activeCell="H3" sqref="H3"/>
    </sheetView>
  </sheetViews>
  <sheetFormatPr defaultRowHeight="14.25" x14ac:dyDescent="0.2"/>
  <cols>
    <col min="1" max="1" width="22.375" bestFit="1" customWidth="1"/>
    <col min="2" max="2" width="7.25" style="5" customWidth="1"/>
    <col min="3" max="3" width="8.625" customWidth="1"/>
    <col min="4" max="4" width="12.125" customWidth="1"/>
    <col min="5" max="5" width="12.875" customWidth="1"/>
    <col min="6" max="7" width="10.25" customWidth="1"/>
    <col min="8" max="8" width="10.625" customWidth="1"/>
    <col min="9" max="9" width="9.5" customWidth="1"/>
    <col min="10" max="10" width="7.5" customWidth="1"/>
    <col min="11" max="11" width="11.25" customWidth="1"/>
    <col min="12" max="12" width="6.875" customWidth="1"/>
    <col min="13" max="13" width="18.75" customWidth="1"/>
    <col min="14" max="1024" width="10.75" customWidth="1"/>
  </cols>
  <sheetData>
    <row r="1" spans="1:13" s="7" customFormat="1" ht="15" x14ac:dyDescent="0.25">
      <c r="A1" s="7" t="s">
        <v>27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24</v>
      </c>
    </row>
    <row r="2" spans="1:13" x14ac:dyDescent="0.2">
      <c r="A2" t="s">
        <v>28</v>
      </c>
      <c r="B2" s="5" t="str">
        <f>MID(A2,1,1)</f>
        <v>1</v>
      </c>
      <c r="C2" t="str">
        <f>MID(A2,2,6)</f>
        <v>TPPP1D</v>
      </c>
      <c r="D2">
        <f>exhex2dec(C2)</f>
        <v>1000137773</v>
      </c>
      <c r="E2" t="str">
        <f>MID(A2,8,1)</f>
        <v>X</v>
      </c>
      <c r="F2" t="str">
        <f>IF(E2="S","Social Security Number (SSN)",IF(E2="N","9 digits, not valid SSN",IF(E2="P","Special code before SSNs",IF(E2="D","Temporary Identifier Number (TIN)",IF(E2="F","Foereign Identifier Number (FIN)",IF(E2="T","Test (858 series)",IF(E2="I","Individual Taxpayer Indentification Number","Other")))))))</f>
        <v>Other</v>
      </c>
      <c r="G2" t="str">
        <f>MID(A2,9,7)</f>
        <v>1BBBC33</v>
      </c>
      <c r="H2">
        <f>exhex2dec(G2)</f>
        <v>1454747747</v>
      </c>
      <c r="I2" t="str">
        <f>MID(A2,16,1)</f>
        <v>V</v>
      </c>
      <c r="J2" t="str">
        <f>IF(I2="A","Active Duty member",IF(I2="B","Presidential Appointee",IF(I2="C","DoD civil service employee",IF(I2="D","100% disabled American veteran",IF(I2="E","DoD contract employee",IF(I2="F","Former member",IF(OR(I2="G",I2="N"),"National Guard member",IF(I2="H","Medal of Honor recipient",IF(I2="I","Non-DoD Civil Service Employee",IF(I2="J","Academy student",IF(I2="K","non-appropriated fund (NAF) DoD employee",IF(I2="L","Lighthouse service",IF(I2="M","Non-Government agency personnel",IF(I2="O","Non-Dod contract employee",IF(I2="Q","Reserve retiree not yet eligible for retired pay",IF(I2="R","Retired Uniformed Service member eligible for retired pay",IF(OR(I2="S",I2="V"),"Reserve",IF(I2="T","Foreign military member",IF(I2="U","Foreign national employee",IF(I2="W","DoD Beneficiary",IF(I2="Y","Retired DoD Civil Service Employees","Other")))))))))))))))))))))</f>
        <v>Reserve</v>
      </c>
      <c r="K2" t="str">
        <f>MID(A2,17,1)</f>
        <v>M</v>
      </c>
      <c r="L2" t="str">
        <f>IF(K2="A","USA",IF(K2="C","USCG",IF(K2="D","DOD",IF(K2="F","USAF",IF(K2="H","USPHS",IF(K2="M","USMC",IF(K2="N","USN",IF(K2="O","NOAA",IF(K2="1","Foreign Army",IF(K2="2","Foreign Marine Corps",IF(K2="3","Foreign Air Force","Other")))))))))))</f>
        <v>USMC</v>
      </c>
      <c r="M2" t="str">
        <f>MID(A2,18,1)</f>
        <v>V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PDF417 Reader</vt:lpstr>
      <vt:lpstr>CODE39 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Rice</dc:creator>
  <cp:lastModifiedBy>Sam Rice</cp:lastModifiedBy>
  <cp:revision>14</cp:revision>
  <dcterms:created xsi:type="dcterms:W3CDTF">2016-11-18T14:00:21Z</dcterms:created>
  <dcterms:modified xsi:type="dcterms:W3CDTF">2018-04-02T04:32:13Z</dcterms:modified>
</cp:coreProperties>
</file>